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WP07 integrated modelling\STEM_Coupling\STEM_LCA\Exchanges Sep - Nov 2024\"/>
    </mc:Choice>
  </mc:AlternateContent>
  <xr:revisionPtr revIDLastSave="0" documentId="13_ncr:1_{E36D7B09-CD07-4E14-881D-F8C855482C3B}" xr6:coauthVersionLast="47" xr6:coauthVersionMax="47" xr10:uidLastSave="{00000000-0000-0000-0000-000000000000}"/>
  <bookViews>
    <workbookView xWindow="-110" yWindow="-110" windowWidth="29020" windowHeight="15700" activeTab="1" xr2:uid="{FF64AF30-3015-1142-92FA-2A2ED079457A}"/>
  </bookViews>
  <sheets>
    <sheet name="Variable_List" sheetId="2" r:id="rId1"/>
    <sheet name="SPS2_NUC_Low" sheetId="1" r:id="rId2"/>
    <sheet name="check" sheetId="4" r:id="rId3"/>
  </sheets>
  <externalReferences>
    <externalReference r:id="rId4"/>
    <externalReference r:id="rId5"/>
  </externalReferences>
  <definedNames>
    <definedName name="_xlnm._FilterDatabase" localSheetId="1" hidden="1">SPS2_NUC_Low!$A$1:$K$2232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40" i="1" l="1" a="1"/>
  <c r="I2340" i="1" s="1"/>
  <c r="H2340" i="1" a="1"/>
  <c r="H2340" i="1" s="1"/>
  <c r="G2340" i="1" a="1"/>
  <c r="G2340" i="1" s="1"/>
  <c r="F2340" i="1" a="1"/>
  <c r="F2340" i="1" s="1"/>
  <c r="I2339" i="1" a="1"/>
  <c r="I2339" i="1" s="1"/>
  <c r="H2339" i="1" a="1"/>
  <c r="H2339" i="1" s="1"/>
  <c r="G2339" i="1" a="1"/>
  <c r="G2339" i="1" s="1"/>
  <c r="F2339" i="1" a="1"/>
  <c r="F2339" i="1" s="1"/>
  <c r="I2338" i="1" a="1"/>
  <c r="I2338" i="1" s="1"/>
  <c r="H2338" i="1" a="1"/>
  <c r="H2338" i="1" s="1"/>
  <c r="G2338" i="1" a="1"/>
  <c r="G2338" i="1" s="1"/>
  <c r="F2338" i="1" a="1"/>
  <c r="F2338" i="1" s="1"/>
  <c r="I2337" i="1" a="1"/>
  <c r="I2337" i="1" s="1"/>
  <c r="H2337" i="1" a="1"/>
  <c r="H2337" i="1" s="1"/>
  <c r="G2337" i="1" a="1"/>
  <c r="G2337" i="1" s="1"/>
  <c r="F2337" i="1" a="1"/>
  <c r="F2337" i="1" s="1"/>
  <c r="I2336" i="1" a="1"/>
  <c r="I2336" i="1" s="1"/>
  <c r="H2336" i="1" a="1"/>
  <c r="H2336" i="1" s="1"/>
  <c r="G2336" i="1" a="1"/>
  <c r="G2336" i="1" s="1"/>
  <c r="F2336" i="1" a="1"/>
  <c r="F2336" i="1" s="1"/>
  <c r="I2335" i="1" a="1"/>
  <c r="I2335" i="1" s="1"/>
  <c r="H2335" i="1" a="1"/>
  <c r="H2335" i="1" s="1"/>
  <c r="G2335" i="1" a="1"/>
  <c r="G2335" i="1" s="1"/>
  <c r="F2335" i="1" a="1"/>
  <c r="F2335" i="1" s="1"/>
  <c r="I2334" i="1" a="1"/>
  <c r="I2334" i="1" s="1"/>
  <c r="H2334" i="1" a="1"/>
  <c r="H2334" i="1" s="1"/>
  <c r="G2334" i="1" a="1"/>
  <c r="G2334" i="1" s="1"/>
  <c r="F2334" i="1" a="1"/>
  <c r="F2334" i="1" s="1"/>
  <c r="I2333" i="1" a="1"/>
  <c r="I2333" i="1" s="1"/>
  <c r="H2333" i="1" a="1"/>
  <c r="H2333" i="1" s="1"/>
  <c r="G2333" i="1" a="1"/>
  <c r="G2333" i="1" s="1"/>
  <c r="F2333" i="1" a="1"/>
  <c r="F2333" i="1" s="1"/>
  <c r="I2332" i="1" a="1"/>
  <c r="I2332" i="1" s="1"/>
  <c r="H2332" i="1" a="1"/>
  <c r="H2332" i="1" s="1"/>
  <c r="G2332" i="1" a="1"/>
  <c r="G2332" i="1" s="1"/>
  <c r="F2332" i="1" a="1"/>
  <c r="F2332" i="1" s="1"/>
  <c r="I2331" i="1" a="1"/>
  <c r="I2331" i="1" s="1"/>
  <c r="H2331" i="1" a="1"/>
  <c r="H2331" i="1" s="1"/>
  <c r="G2331" i="1" a="1"/>
  <c r="G2331" i="1" s="1"/>
  <c r="F2331" i="1" a="1"/>
  <c r="F2331" i="1" s="1"/>
  <c r="I2330" i="1" a="1"/>
  <c r="I2330" i="1" s="1"/>
  <c r="H2330" i="1" a="1"/>
  <c r="H2330" i="1" s="1"/>
  <c r="G2330" i="1" a="1"/>
  <c r="G2330" i="1" s="1"/>
  <c r="F2330" i="1" a="1"/>
  <c r="F2330" i="1" s="1"/>
  <c r="I2329" i="1" a="1"/>
  <c r="I2329" i="1" s="1"/>
  <c r="H2329" i="1" a="1"/>
  <c r="H2329" i="1" s="1"/>
  <c r="G2329" i="1" a="1"/>
  <c r="G2329" i="1" s="1"/>
  <c r="F2329" i="1" a="1"/>
  <c r="F2329" i="1" s="1"/>
  <c r="I2328" i="1" a="1"/>
  <c r="I2328" i="1" s="1"/>
  <c r="H2328" i="1" a="1"/>
  <c r="H2328" i="1" s="1"/>
  <c r="G2328" i="1" a="1"/>
  <c r="G2328" i="1" s="1"/>
  <c r="F2328" i="1" a="1"/>
  <c r="F2328" i="1" s="1"/>
  <c r="I2327" i="1" a="1"/>
  <c r="I2327" i="1" s="1"/>
  <c r="H2327" i="1" a="1"/>
  <c r="H2327" i="1" s="1"/>
  <c r="G2327" i="1" a="1"/>
  <c r="G2327" i="1" s="1"/>
  <c r="F2327" i="1" a="1"/>
  <c r="F2327" i="1" s="1"/>
  <c r="I2326" i="1" a="1"/>
  <c r="I2326" i="1" s="1"/>
  <c r="H2326" i="1" a="1"/>
  <c r="H2326" i="1" s="1"/>
  <c r="G2326" i="1" a="1"/>
  <c r="G2326" i="1" s="1"/>
  <c r="F2326" i="1" a="1"/>
  <c r="F2326" i="1" s="1"/>
  <c r="I2325" i="1" a="1"/>
  <c r="I2325" i="1" s="1"/>
  <c r="H2325" i="1" a="1"/>
  <c r="H2325" i="1" s="1"/>
  <c r="G2325" i="1" a="1"/>
  <c r="G2325" i="1" s="1"/>
  <c r="F2325" i="1" a="1"/>
  <c r="F2325" i="1" s="1"/>
  <c r="I2323" i="1" a="1"/>
  <c r="I2323" i="1" s="1"/>
  <c r="I2322" i="1" s="1" a="1"/>
  <c r="I2322" i="1" s="1"/>
  <c r="H2323" i="1" a="1"/>
  <c r="H2323" i="1" s="1"/>
  <c r="H2322" i="1" s="1" a="1"/>
  <c r="H2322" i="1" s="1"/>
  <c r="G2323" i="1" a="1"/>
  <c r="G2323" i="1" s="1"/>
  <c r="G2322" i="1" s="1" a="1"/>
  <c r="G2322" i="1" s="1"/>
  <c r="F2323" i="1" a="1"/>
  <c r="F2323" i="1" s="1"/>
  <c r="F2322" i="1" s="1" a="1"/>
  <c r="F2322" i="1" s="1"/>
  <c r="I2320" i="1" a="1"/>
  <c r="I2320" i="1" s="1"/>
  <c r="I2319" i="1" s="1" a="1"/>
  <c r="I2319" i="1" s="1"/>
  <c r="H2320" i="1" a="1"/>
  <c r="H2320" i="1" s="1"/>
  <c r="H2319" i="1" s="1" a="1"/>
  <c r="H2319" i="1" s="1"/>
  <c r="G2320" i="1" a="1"/>
  <c r="G2320" i="1" s="1"/>
  <c r="G2319" i="1" s="1" a="1"/>
  <c r="G2319" i="1" s="1"/>
  <c r="F2320" i="1" a="1"/>
  <c r="F2320" i="1" s="1"/>
  <c r="F2319" i="1" s="1" a="1"/>
  <c r="F2319" i="1" s="1"/>
  <c r="I2317" i="1" a="1"/>
  <c r="I2317" i="1" s="1"/>
  <c r="H2317" i="1" a="1"/>
  <c r="H2317" i="1" s="1"/>
  <c r="G2317" i="1" a="1"/>
  <c r="G2317" i="1" s="1"/>
  <c r="F2317" i="1" a="1"/>
  <c r="F2317" i="1" s="1"/>
  <c r="I2316" i="1" a="1"/>
  <c r="I2316" i="1" s="1"/>
  <c r="H2316" i="1" a="1"/>
  <c r="H2316" i="1" s="1"/>
  <c r="G2316" i="1" a="1"/>
  <c r="G2316" i="1" s="1"/>
  <c r="F2316" i="1" a="1"/>
  <c r="F2316" i="1" s="1"/>
  <c r="I2314" i="1" a="1"/>
  <c r="I2314" i="1" s="1"/>
  <c r="H2314" i="1" a="1"/>
  <c r="H2314" i="1" s="1"/>
  <c r="G2314" i="1" a="1"/>
  <c r="G2314" i="1" s="1"/>
  <c r="F2314" i="1" a="1"/>
  <c r="F2314" i="1" s="1"/>
  <c r="I2312" i="1" a="1"/>
  <c r="I2312" i="1" s="1"/>
  <c r="H2312" i="1" a="1"/>
  <c r="H2312" i="1" s="1"/>
  <c r="G2312" i="1" a="1"/>
  <c r="G2312" i="1" s="1"/>
  <c r="F2312" i="1" a="1"/>
  <c r="F2312" i="1" s="1"/>
  <c r="I2310" i="1" a="1"/>
  <c r="I2310" i="1" s="1"/>
  <c r="H2310" i="1" a="1"/>
  <c r="H2310" i="1" s="1"/>
  <c r="G2310" i="1" a="1"/>
  <c r="G2310" i="1" s="1"/>
  <c r="F2310" i="1" a="1"/>
  <c r="F2310" i="1" s="1"/>
  <c r="I2308" i="1" a="1"/>
  <c r="I2308" i="1" s="1"/>
  <c r="H2308" i="1" a="1"/>
  <c r="H2308" i="1" s="1"/>
  <c r="G2308" i="1" a="1"/>
  <c r="G2308" i="1" s="1"/>
  <c r="F2308" i="1" a="1"/>
  <c r="F2308" i="1" s="1"/>
  <c r="I2306" i="1" a="1"/>
  <c r="I2306" i="1" s="1"/>
  <c r="H2306" i="1" a="1"/>
  <c r="H2306" i="1" s="1"/>
  <c r="G2306" i="1" a="1"/>
  <c r="G2306" i="1" s="1"/>
  <c r="F2306" i="1" a="1"/>
  <c r="F2306" i="1" s="1"/>
  <c r="I2304" i="1" a="1"/>
  <c r="I2304" i="1" s="1"/>
  <c r="H2304" i="1" a="1"/>
  <c r="H2304" i="1" s="1"/>
  <c r="G2304" i="1" a="1"/>
  <c r="G2304" i="1" s="1"/>
  <c r="F2304" i="1" a="1"/>
  <c r="F2304" i="1" s="1"/>
  <c r="I2303" i="1" a="1"/>
  <c r="I2303" i="1" s="1"/>
  <c r="H2303" i="1" a="1"/>
  <c r="H2303" i="1" s="1"/>
  <c r="G2303" i="1" a="1"/>
  <c r="G2303" i="1" s="1"/>
  <c r="F2303" i="1" a="1"/>
  <c r="F2303" i="1" s="1"/>
  <c r="I2302" i="1" a="1"/>
  <c r="I2302" i="1" s="1"/>
  <c r="H2302" i="1" a="1"/>
  <c r="H2302" i="1" s="1"/>
  <c r="G2302" i="1" a="1"/>
  <c r="G2302" i="1" s="1"/>
  <c r="F2302" i="1" a="1"/>
  <c r="F2302" i="1" s="1"/>
  <c r="I2300" i="1" a="1"/>
  <c r="I2300" i="1" s="1"/>
  <c r="H2300" i="1" a="1"/>
  <c r="H2300" i="1" s="1"/>
  <c r="G2300" i="1" a="1"/>
  <c r="G2300" i="1" s="1"/>
  <c r="F2300" i="1" a="1"/>
  <c r="F2300" i="1" s="1"/>
  <c r="I2298" i="1" a="1"/>
  <c r="I2298" i="1" s="1"/>
  <c r="H2298" i="1" a="1"/>
  <c r="H2298" i="1" s="1"/>
  <c r="G2298" i="1" a="1"/>
  <c r="G2298" i="1" s="1"/>
  <c r="F2298" i="1" a="1"/>
  <c r="F2298" i="1" s="1"/>
  <c r="I2297" i="1" a="1"/>
  <c r="I2297" i="1" s="1"/>
  <c r="H2297" i="1" a="1"/>
  <c r="H2297" i="1" s="1"/>
  <c r="G2297" i="1" a="1"/>
  <c r="G2297" i="1" s="1"/>
  <c r="F2297" i="1" a="1"/>
  <c r="F2297" i="1" s="1"/>
  <c r="I2294" i="1" a="1"/>
  <c r="I2294" i="1" s="1"/>
  <c r="H2294" i="1" a="1"/>
  <c r="H2294" i="1" s="1"/>
  <c r="G2294" i="1" a="1"/>
  <c r="G2294" i="1" s="1"/>
  <c r="F2294" i="1" a="1"/>
  <c r="F2294" i="1" s="1"/>
  <c r="I2292" i="1" a="1"/>
  <c r="I2292" i="1" s="1"/>
  <c r="H2292" i="1" a="1"/>
  <c r="H2292" i="1" s="1"/>
  <c r="G2292" i="1" a="1"/>
  <c r="G2292" i="1" s="1"/>
  <c r="F2292" i="1" a="1"/>
  <c r="F2292" i="1" s="1"/>
  <c r="I2290" i="1" a="1"/>
  <c r="I2290" i="1" s="1"/>
  <c r="H2290" i="1" a="1"/>
  <c r="H2290" i="1" s="1"/>
  <c r="G2290" i="1" a="1"/>
  <c r="G2290" i="1" s="1"/>
  <c r="F2290" i="1" a="1"/>
  <c r="F2290" i="1" s="1"/>
  <c r="I2288" i="1" a="1"/>
  <c r="I2288" i="1" s="1"/>
  <c r="H2288" i="1" a="1"/>
  <c r="H2288" i="1" s="1"/>
  <c r="G2288" i="1" a="1"/>
  <c r="G2288" i="1" s="1"/>
  <c r="F2288" i="1" a="1"/>
  <c r="F2288" i="1" s="1"/>
  <c r="I2286" i="1" a="1"/>
  <c r="I2286" i="1" s="1"/>
  <c r="H2286" i="1" a="1"/>
  <c r="H2286" i="1" s="1"/>
  <c r="G2286" i="1" a="1"/>
  <c r="G2286" i="1" s="1"/>
  <c r="F2286" i="1" a="1"/>
  <c r="F2286" i="1" s="1"/>
  <c r="I2284" i="1" a="1"/>
  <c r="I2284" i="1" s="1"/>
  <c r="H2284" i="1" a="1"/>
  <c r="H2284" i="1" s="1"/>
  <c r="G2284" i="1" a="1"/>
  <c r="G2284" i="1" s="1"/>
  <c r="F2284" i="1" a="1"/>
  <c r="F2284" i="1" s="1"/>
  <c r="I2282" i="1" a="1"/>
  <c r="I2282" i="1" s="1"/>
  <c r="H2282" i="1" a="1"/>
  <c r="H2282" i="1" s="1"/>
  <c r="G2282" i="1" a="1"/>
  <c r="G2282" i="1" s="1"/>
  <c r="F2282" i="1" a="1"/>
  <c r="F2282" i="1" s="1"/>
  <c r="I2281" i="1" a="1"/>
  <c r="I2281" i="1" s="1"/>
  <c r="H2281" i="1" a="1"/>
  <c r="H2281" i="1" s="1"/>
  <c r="G2281" i="1" a="1"/>
  <c r="G2281" i="1" s="1"/>
  <c r="F2281" i="1" a="1"/>
  <c r="F2281" i="1" s="1"/>
  <c r="I2280" i="1" a="1"/>
  <c r="I2280" i="1" s="1"/>
  <c r="H2280" i="1" a="1"/>
  <c r="H2280" i="1" s="1"/>
  <c r="G2280" i="1" a="1"/>
  <c r="G2280" i="1" s="1"/>
  <c r="F2280" i="1" a="1"/>
  <c r="F2280" i="1" s="1"/>
  <c r="I2278" i="1" a="1"/>
  <c r="I2278" i="1" s="1"/>
  <c r="H2278" i="1" a="1"/>
  <c r="H2278" i="1" s="1"/>
  <c r="G2278" i="1" a="1"/>
  <c r="G2278" i="1" s="1"/>
  <c r="F2278" i="1" a="1"/>
  <c r="F2278" i="1" s="1"/>
  <c r="I2277" i="1" a="1"/>
  <c r="I2277" i="1" s="1"/>
  <c r="H2277" i="1" a="1"/>
  <c r="H2277" i="1" s="1"/>
  <c r="G2277" i="1" a="1"/>
  <c r="G2277" i="1" s="1"/>
  <c r="F2277" i="1" a="1"/>
  <c r="F2277" i="1" s="1"/>
  <c r="I2275" i="1" a="1"/>
  <c r="I2275" i="1" s="1"/>
  <c r="H2275" i="1" a="1"/>
  <c r="H2275" i="1" s="1"/>
  <c r="G2275" i="1" a="1"/>
  <c r="G2275" i="1" s="1"/>
  <c r="F2275" i="1" a="1"/>
  <c r="F2275" i="1" s="1"/>
  <c r="I2274" i="1" a="1"/>
  <c r="I2274" i="1" s="1"/>
  <c r="H2274" i="1" a="1"/>
  <c r="H2274" i="1" s="1"/>
  <c r="G2274" i="1" a="1"/>
  <c r="G2274" i="1" s="1"/>
  <c r="F2274" i="1" a="1"/>
  <c r="F2274" i="1" s="1"/>
  <c r="I2271" i="1" a="1"/>
  <c r="I2271" i="1" s="1"/>
  <c r="H2271" i="1" a="1"/>
  <c r="H2271" i="1" s="1"/>
  <c r="G2271" i="1" a="1"/>
  <c r="G2271" i="1" s="1"/>
  <c r="F2271" i="1" a="1"/>
  <c r="F2271" i="1" s="1"/>
  <c r="I2269" i="1" a="1"/>
  <c r="I2269" i="1" s="1"/>
  <c r="H2269" i="1" a="1"/>
  <c r="H2269" i="1" s="1"/>
  <c r="G2269" i="1" a="1"/>
  <c r="G2269" i="1" s="1"/>
  <c r="F2269" i="1" a="1"/>
  <c r="F2269" i="1" s="1"/>
  <c r="I2267" i="1" a="1"/>
  <c r="I2267" i="1" s="1"/>
  <c r="H2267" i="1" a="1"/>
  <c r="H2267" i="1" s="1"/>
  <c r="G2267" i="1" a="1"/>
  <c r="G2267" i="1" s="1"/>
  <c r="F2267" i="1" a="1"/>
  <c r="F2267" i="1" s="1"/>
  <c r="I2265" i="1" a="1"/>
  <c r="I2265" i="1" s="1"/>
  <c r="H2265" i="1" a="1"/>
  <c r="H2265" i="1" s="1"/>
  <c r="G2265" i="1" a="1"/>
  <c r="G2265" i="1" s="1"/>
  <c r="F2265" i="1" a="1"/>
  <c r="F2265" i="1" s="1"/>
  <c r="I2263" i="1" a="1"/>
  <c r="I2263" i="1" s="1"/>
  <c r="H2263" i="1" a="1"/>
  <c r="H2263" i="1" s="1"/>
  <c r="G2263" i="1" a="1"/>
  <c r="G2263" i="1" s="1"/>
  <c r="F2263" i="1" a="1"/>
  <c r="F2263" i="1" s="1"/>
  <c r="I2261" i="1" a="1"/>
  <c r="I2261" i="1" s="1"/>
  <c r="H2261" i="1" a="1"/>
  <c r="H2261" i="1" s="1"/>
  <c r="G2261" i="1" a="1"/>
  <c r="G2261" i="1" s="1"/>
  <c r="F2261" i="1" a="1"/>
  <c r="F2261" i="1" s="1"/>
  <c r="I2260" i="1" a="1"/>
  <c r="I2260" i="1" s="1"/>
  <c r="H2260" i="1" a="1"/>
  <c r="H2260" i="1" s="1"/>
  <c r="G2260" i="1" a="1"/>
  <c r="G2260" i="1" s="1"/>
  <c r="F2260" i="1" a="1"/>
  <c r="F2260" i="1" s="1"/>
  <c r="I2258" i="1" a="1"/>
  <c r="I2258" i="1" s="1"/>
  <c r="H2258" i="1" a="1"/>
  <c r="H2258" i="1" s="1"/>
  <c r="G2258" i="1" a="1"/>
  <c r="G2258" i="1" s="1"/>
  <c r="F2258" i="1" a="1"/>
  <c r="F2258" i="1" s="1"/>
  <c r="I2256" i="1" a="1"/>
  <c r="I2256" i="1" s="1"/>
  <c r="H2256" i="1" a="1"/>
  <c r="H2256" i="1" s="1"/>
  <c r="G2256" i="1" a="1"/>
  <c r="G2256" i="1" s="1"/>
  <c r="F2256" i="1" a="1"/>
  <c r="F2256" i="1" s="1"/>
  <c r="I2255" i="1" a="1"/>
  <c r="I2255" i="1" s="1"/>
  <c r="H2255" i="1" a="1"/>
  <c r="H2255" i="1" s="1"/>
  <c r="G2255" i="1" a="1"/>
  <c r="G2255" i="1" s="1"/>
  <c r="F2255" i="1" a="1"/>
  <c r="F2255" i="1" s="1"/>
  <c r="I2252" i="1" a="1"/>
  <c r="I2252" i="1" s="1"/>
  <c r="H2252" i="1" a="1"/>
  <c r="H2252" i="1" s="1"/>
  <c r="G2252" i="1" a="1"/>
  <c r="G2252" i="1" s="1"/>
  <c r="F2252" i="1" a="1"/>
  <c r="F2252" i="1" s="1"/>
  <c r="I2250" i="1" a="1"/>
  <c r="I2250" i="1" s="1"/>
  <c r="H2250" i="1" a="1"/>
  <c r="H2250" i="1" s="1"/>
  <c r="G2250" i="1" a="1"/>
  <c r="G2250" i="1" s="1"/>
  <c r="F2250" i="1" a="1"/>
  <c r="F2250" i="1" s="1"/>
  <c r="I2248" i="1" a="1"/>
  <c r="I2248" i="1" s="1"/>
  <c r="H2248" i="1" a="1"/>
  <c r="H2248" i="1" s="1"/>
  <c r="G2248" i="1" a="1"/>
  <c r="G2248" i="1" s="1"/>
  <c r="F2248" i="1" a="1"/>
  <c r="F2248" i="1" s="1"/>
  <c r="I2246" i="1" a="1"/>
  <c r="I2246" i="1" s="1"/>
  <c r="H2246" i="1" a="1"/>
  <c r="H2246" i="1" s="1"/>
  <c r="G2246" i="1" a="1"/>
  <c r="G2246" i="1" s="1"/>
  <c r="F2246" i="1" a="1"/>
  <c r="F2246" i="1" s="1"/>
  <c r="I2244" i="1" a="1"/>
  <c r="I2244" i="1" s="1"/>
  <c r="H2244" i="1" a="1"/>
  <c r="H2244" i="1" s="1"/>
  <c r="G2244" i="1" a="1"/>
  <c r="G2244" i="1" s="1"/>
  <c r="F2244" i="1" a="1"/>
  <c r="F2244" i="1" s="1"/>
  <c r="I2242" i="1" a="1"/>
  <c r="I2242" i="1" s="1"/>
  <c r="H2242" i="1" a="1"/>
  <c r="H2242" i="1" s="1"/>
  <c r="G2242" i="1" a="1"/>
  <c r="G2242" i="1" s="1"/>
  <c r="F2242" i="1" a="1"/>
  <c r="F2242" i="1" s="1"/>
  <c r="I2241" i="1" a="1"/>
  <c r="I2241" i="1" s="1"/>
  <c r="H2241" i="1" a="1"/>
  <c r="H2241" i="1" s="1"/>
  <c r="G2241" i="1" a="1"/>
  <c r="G2241" i="1" s="1"/>
  <c r="F2241" i="1" a="1"/>
  <c r="F2241" i="1" s="1"/>
  <c r="I2239" i="1" a="1"/>
  <c r="I2239" i="1" s="1"/>
  <c r="H2239" i="1" a="1"/>
  <c r="H2239" i="1" s="1"/>
  <c r="G2239" i="1" a="1"/>
  <c r="G2239" i="1" s="1"/>
  <c r="F2239" i="1" a="1"/>
  <c r="F2239" i="1" s="1"/>
  <c r="I2237" i="1" a="1"/>
  <c r="I2237" i="1" s="1"/>
  <c r="H2237" i="1" a="1"/>
  <c r="H2237" i="1" s="1"/>
  <c r="G2237" i="1" a="1"/>
  <c r="G2237" i="1" s="1"/>
  <c r="F2237" i="1" a="1"/>
  <c r="F2237" i="1" s="1"/>
  <c r="I2236" i="1" a="1"/>
  <c r="I2236" i="1" s="1"/>
  <c r="H2236" i="1" a="1"/>
  <c r="H2236" i="1" s="1"/>
  <c r="G2236" i="1" a="1"/>
  <c r="G2236" i="1" s="1"/>
  <c r="F2236" i="1" a="1"/>
  <c r="F2236" i="1" s="1"/>
  <c r="I2232" i="1" a="1"/>
  <c r="I2232" i="1" s="1"/>
  <c r="H2232" i="1" a="1"/>
  <c r="H2232" i="1" s="1"/>
  <c r="G2232" i="1" a="1"/>
  <c r="G2232" i="1" s="1"/>
  <c r="F2232" i="1" a="1"/>
  <c r="F2232" i="1" s="1"/>
  <c r="I2231" i="1" a="1"/>
  <c r="I2231" i="1" s="1"/>
  <c r="H2231" i="1" a="1"/>
  <c r="H2231" i="1" s="1"/>
  <c r="G2231" i="1" a="1"/>
  <c r="G2231" i="1" s="1"/>
  <c r="F2231" i="1" a="1"/>
  <c r="F2231" i="1" s="1"/>
  <c r="I2229" i="1" a="1"/>
  <c r="I2229" i="1" s="1"/>
  <c r="I2230" i="1" s="1" a="1"/>
  <c r="I2230" i="1" s="1"/>
  <c r="H2229" i="1" a="1"/>
  <c r="H2229" i="1" s="1"/>
  <c r="H2230" i="1" s="1" a="1"/>
  <c r="H2230" i="1" s="1"/>
  <c r="G2229" i="1" a="1"/>
  <c r="G2229" i="1" s="1"/>
  <c r="G2230" i="1" s="1" a="1"/>
  <c r="G2230" i="1" s="1"/>
  <c r="F2229" i="1" a="1"/>
  <c r="F2229" i="1" s="1"/>
  <c r="F2230" i="1" s="1" a="1"/>
  <c r="F2230" i="1" s="1"/>
  <c r="I2227" i="1" a="1"/>
  <c r="I2227" i="1" s="1"/>
  <c r="I2228" i="1" s="1" a="1"/>
  <c r="I2228" i="1" s="1"/>
  <c r="H2227" i="1" a="1"/>
  <c r="H2227" i="1" s="1"/>
  <c r="H2228" i="1" s="1" a="1"/>
  <c r="H2228" i="1" s="1"/>
  <c r="G2227" i="1" a="1"/>
  <c r="G2227" i="1" s="1"/>
  <c r="G2228" i="1" s="1" a="1"/>
  <c r="G2228" i="1" s="1"/>
  <c r="F2227" i="1" a="1"/>
  <c r="F2227" i="1" s="1"/>
  <c r="F2228" i="1" s="1" a="1"/>
  <c r="F2228" i="1" s="1"/>
  <c r="I2226" i="1" a="1"/>
  <c r="I2226" i="1" s="1"/>
  <c r="H2226" i="1" a="1"/>
  <c r="H2226" i="1" s="1"/>
  <c r="G2226" i="1" a="1"/>
  <c r="G2226" i="1" s="1"/>
  <c r="F2226" i="1" a="1"/>
  <c r="F2226" i="1" s="1"/>
  <c r="I2224" i="1" a="1"/>
  <c r="I2224" i="1" s="1"/>
  <c r="I2225" i="1" s="1" a="1"/>
  <c r="I2225" i="1" s="1"/>
  <c r="H2224" i="1" a="1"/>
  <c r="H2224" i="1" s="1"/>
  <c r="H2225" i="1" s="1" a="1"/>
  <c r="H2225" i="1" s="1"/>
  <c r="G2224" i="1" a="1"/>
  <c r="G2224" i="1" s="1"/>
  <c r="G2225" i="1" s="1" a="1"/>
  <c r="G2225" i="1" s="1"/>
  <c r="F2224" i="1" a="1"/>
  <c r="F2224" i="1" s="1"/>
  <c r="F2225" i="1" s="1" a="1"/>
  <c r="F2225" i="1" s="1"/>
  <c r="I2222" i="1" a="1"/>
  <c r="I2222" i="1" s="1"/>
  <c r="H2222" i="1" a="1"/>
  <c r="H2222" i="1" s="1"/>
  <c r="G2222" i="1" a="1"/>
  <c r="G2222" i="1" s="1"/>
  <c r="F2222" i="1" a="1"/>
  <c r="F2222" i="1" s="1"/>
  <c r="I2221" i="1" a="1"/>
  <c r="I2221" i="1" s="1"/>
  <c r="H2221" i="1" a="1"/>
  <c r="H2221" i="1" s="1"/>
  <c r="G2221" i="1" a="1"/>
  <c r="G2221" i="1" s="1"/>
  <c r="F2221" i="1" a="1"/>
  <c r="F2221" i="1" s="1"/>
  <c r="I2219" i="1" a="1"/>
  <c r="I2219" i="1" s="1"/>
  <c r="I2220" i="1" s="1" a="1"/>
  <c r="I2220" i="1" s="1"/>
  <c r="H2219" i="1" a="1"/>
  <c r="H2219" i="1" s="1"/>
  <c r="H2220" i="1" s="1" a="1"/>
  <c r="H2220" i="1" s="1"/>
  <c r="G2219" i="1" a="1"/>
  <c r="G2219" i="1" s="1"/>
  <c r="G2220" i="1" s="1" a="1"/>
  <c r="G2220" i="1" s="1"/>
  <c r="F2219" i="1" a="1"/>
  <c r="F2219" i="1" s="1"/>
  <c r="F2220" i="1" s="1" a="1"/>
  <c r="F2220" i="1" s="1"/>
  <c r="I2217" i="1" a="1"/>
  <c r="I2217" i="1" s="1"/>
  <c r="I2218" i="1" s="1" a="1"/>
  <c r="I2218" i="1" s="1"/>
  <c r="H2217" i="1" a="1"/>
  <c r="H2217" i="1" s="1"/>
  <c r="H2218" i="1" s="1" a="1"/>
  <c r="H2218" i="1" s="1"/>
  <c r="G2217" i="1" a="1"/>
  <c r="G2217" i="1" s="1"/>
  <c r="G2218" i="1" s="1" a="1"/>
  <c r="G2218" i="1" s="1"/>
  <c r="F2217" i="1" a="1"/>
  <c r="F2217" i="1" s="1"/>
  <c r="F2218" i="1" s="1" a="1"/>
  <c r="F2218" i="1" s="1"/>
  <c r="I2216" i="1" a="1"/>
  <c r="I2216" i="1" s="1"/>
  <c r="H2216" i="1" a="1"/>
  <c r="H2216" i="1" s="1"/>
  <c r="G2216" i="1" a="1"/>
  <c r="G2216" i="1" s="1"/>
  <c r="F2216" i="1" a="1"/>
  <c r="F2216" i="1" s="1"/>
  <c r="I2214" i="1" a="1"/>
  <c r="I2214" i="1" s="1"/>
  <c r="I2215" i="1" s="1" a="1"/>
  <c r="I2215" i="1" s="1"/>
  <c r="H2214" i="1" a="1"/>
  <c r="H2214" i="1" s="1"/>
  <c r="H2215" i="1" s="1" a="1"/>
  <c r="H2215" i="1" s="1"/>
  <c r="G2214" i="1" a="1"/>
  <c r="G2214" i="1" s="1"/>
  <c r="G2215" i="1" s="1" a="1"/>
  <c r="G2215" i="1" s="1"/>
  <c r="F2214" i="1" a="1"/>
  <c r="F2214" i="1" s="1"/>
  <c r="F2215" i="1" s="1" a="1"/>
  <c r="F2215" i="1" s="1"/>
  <c r="I2212" i="1" a="1"/>
  <c r="I2212" i="1" s="1"/>
  <c r="H2212" i="1" a="1"/>
  <c r="H2212" i="1" s="1"/>
  <c r="G2212" i="1" a="1"/>
  <c r="G2212" i="1" s="1"/>
  <c r="F2212" i="1" a="1"/>
  <c r="F2212" i="1" s="1"/>
  <c r="I2211" i="1" a="1"/>
  <c r="I2211" i="1" s="1"/>
  <c r="H2211" i="1" a="1"/>
  <c r="H2211" i="1" s="1"/>
  <c r="G2211" i="1" a="1"/>
  <c r="G2211" i="1" s="1"/>
  <c r="F2211" i="1" a="1"/>
  <c r="F2211" i="1" s="1"/>
  <c r="I2210" i="1" a="1"/>
  <c r="I2210" i="1" s="1"/>
  <c r="H2210" i="1" a="1"/>
  <c r="H2210" i="1" s="1"/>
  <c r="G2210" i="1" a="1"/>
  <c r="G2210" i="1" s="1"/>
  <c r="F2210" i="1" a="1"/>
  <c r="F2210" i="1" s="1"/>
  <c r="I2209" i="1" a="1"/>
  <c r="I2209" i="1" s="1"/>
  <c r="H2209" i="1" a="1"/>
  <c r="H2209" i="1" s="1"/>
  <c r="G2209" i="1" a="1"/>
  <c r="G2209" i="1" s="1"/>
  <c r="F2209" i="1" a="1"/>
  <c r="F2209" i="1" s="1"/>
  <c r="I2208" i="1" a="1"/>
  <c r="I2208" i="1" s="1"/>
  <c r="H2208" i="1" a="1"/>
  <c r="H2208" i="1" s="1"/>
  <c r="G2208" i="1" a="1"/>
  <c r="G2208" i="1" s="1"/>
  <c r="F2208" i="1" a="1"/>
  <c r="F2208" i="1" s="1"/>
  <c r="I2207" i="1" a="1"/>
  <c r="I2207" i="1" s="1"/>
  <c r="H2207" i="1" a="1"/>
  <c r="H2207" i="1" s="1"/>
  <c r="G2207" i="1" a="1"/>
  <c r="G2207" i="1" s="1"/>
  <c r="F2207" i="1" a="1"/>
  <c r="F2207" i="1" s="1"/>
  <c r="I2206" i="1" a="1"/>
  <c r="I2206" i="1" s="1"/>
  <c r="H2206" i="1" a="1"/>
  <c r="H2206" i="1" s="1"/>
  <c r="G2206" i="1" a="1"/>
  <c r="G2206" i="1" s="1"/>
  <c r="F2206" i="1" a="1"/>
  <c r="F2206" i="1" s="1"/>
  <c r="I2205" i="1" a="1"/>
  <c r="I2205" i="1" s="1"/>
  <c r="H2205" i="1" a="1"/>
  <c r="H2205" i="1" s="1"/>
  <c r="G2205" i="1" a="1"/>
  <c r="G2205" i="1" s="1"/>
  <c r="F2205" i="1" a="1"/>
  <c r="F2205" i="1" s="1"/>
  <c r="I2204" i="1" a="1"/>
  <c r="I2204" i="1" s="1"/>
  <c r="H2204" i="1" a="1"/>
  <c r="H2204" i="1" s="1"/>
  <c r="G2204" i="1" a="1"/>
  <c r="G2204" i="1" s="1"/>
  <c r="F2204" i="1" a="1"/>
  <c r="F2204" i="1" s="1"/>
  <c r="I2203" i="1" a="1"/>
  <c r="I2203" i="1" s="1"/>
  <c r="H2203" i="1" a="1"/>
  <c r="H2203" i="1" s="1"/>
  <c r="G2203" i="1" a="1"/>
  <c r="G2203" i="1" s="1"/>
  <c r="F2203" i="1" a="1"/>
  <c r="F2203" i="1" s="1"/>
  <c r="I2202" i="1" a="1"/>
  <c r="I2202" i="1" s="1"/>
  <c r="H2202" i="1" a="1"/>
  <c r="H2202" i="1" s="1"/>
  <c r="G2202" i="1" a="1"/>
  <c r="G2202" i="1" s="1"/>
  <c r="F2202" i="1" a="1"/>
  <c r="F2202" i="1" s="1"/>
  <c r="I2201" i="1" a="1"/>
  <c r="I2201" i="1" s="1"/>
  <c r="H2201" i="1" a="1"/>
  <c r="H2201" i="1" s="1"/>
  <c r="G2201" i="1" a="1"/>
  <c r="G2201" i="1" s="1"/>
  <c r="F2201" i="1" a="1"/>
  <c r="F2201" i="1" s="1"/>
  <c r="I2200" i="1" a="1"/>
  <c r="I2200" i="1" s="1"/>
  <c r="H2200" i="1" a="1"/>
  <c r="H2200" i="1" s="1"/>
  <c r="G2200" i="1" a="1"/>
  <c r="G2200" i="1" s="1"/>
  <c r="F2200" i="1" a="1"/>
  <c r="F2200" i="1" s="1"/>
  <c r="I2199" i="1" a="1"/>
  <c r="I2199" i="1" s="1"/>
  <c r="H2199" i="1" a="1"/>
  <c r="H2199" i="1" s="1"/>
  <c r="G2199" i="1" a="1"/>
  <c r="G2199" i="1" s="1"/>
  <c r="F2199" i="1" a="1"/>
  <c r="F2199" i="1" s="1"/>
  <c r="I2198" i="1" a="1"/>
  <c r="I2198" i="1" s="1"/>
  <c r="H2198" i="1" a="1"/>
  <c r="H2198" i="1" s="1"/>
  <c r="G2198" i="1" a="1"/>
  <c r="G2198" i="1" s="1"/>
  <c r="F2198" i="1" a="1"/>
  <c r="F2198" i="1" s="1"/>
  <c r="I2197" i="1" a="1"/>
  <c r="I2197" i="1" s="1"/>
  <c r="H2197" i="1" a="1"/>
  <c r="H2197" i="1" s="1"/>
  <c r="G2197" i="1" a="1"/>
  <c r="G2197" i="1" s="1"/>
  <c r="F2197" i="1" a="1"/>
  <c r="F2197" i="1" s="1"/>
  <c r="I2196" i="1" a="1"/>
  <c r="I2196" i="1" s="1"/>
  <c r="H2196" i="1" a="1"/>
  <c r="H2196" i="1" s="1"/>
  <c r="G2196" i="1" a="1"/>
  <c r="G2196" i="1" s="1"/>
  <c r="F2196" i="1" a="1"/>
  <c r="F2196" i="1" s="1"/>
  <c r="I2195" i="1" a="1"/>
  <c r="I2195" i="1" s="1"/>
  <c r="H2195" i="1" a="1"/>
  <c r="H2195" i="1" s="1"/>
  <c r="G2195" i="1" a="1"/>
  <c r="G2195" i="1" s="1"/>
  <c r="F2195" i="1" a="1"/>
  <c r="F2195" i="1" s="1"/>
  <c r="I2194" i="1" a="1"/>
  <c r="I2194" i="1" s="1"/>
  <c r="H2194" i="1" a="1"/>
  <c r="H2194" i="1" s="1"/>
  <c r="G2194" i="1" a="1"/>
  <c r="G2194" i="1" s="1"/>
  <c r="F2194" i="1" a="1"/>
  <c r="F2194" i="1" s="1"/>
  <c r="I2193" i="1" a="1"/>
  <c r="I2193" i="1" s="1"/>
  <c r="H2193" i="1" a="1"/>
  <c r="H2193" i="1" s="1"/>
  <c r="G2193" i="1" a="1"/>
  <c r="G2193" i="1" s="1"/>
  <c r="F2193" i="1" a="1"/>
  <c r="F2193" i="1" s="1"/>
  <c r="I2192" i="1" a="1"/>
  <c r="I2192" i="1" s="1"/>
  <c r="H2192" i="1" a="1"/>
  <c r="H2192" i="1" s="1"/>
  <c r="G2192" i="1" a="1"/>
  <c r="G2192" i="1" s="1"/>
  <c r="F2192" i="1" a="1"/>
  <c r="F2192" i="1" s="1"/>
  <c r="I2191" i="1" a="1"/>
  <c r="I2191" i="1" s="1"/>
  <c r="H2191" i="1" a="1"/>
  <c r="H2191" i="1" s="1"/>
  <c r="G2191" i="1" a="1"/>
  <c r="G2191" i="1" s="1"/>
  <c r="F2191" i="1" a="1"/>
  <c r="F2191" i="1" s="1"/>
  <c r="I2190" i="1" a="1"/>
  <c r="I2190" i="1" s="1"/>
  <c r="H2190" i="1" a="1"/>
  <c r="H2190" i="1" s="1"/>
  <c r="G2190" i="1" a="1"/>
  <c r="G2190" i="1" s="1"/>
  <c r="F2190" i="1" a="1"/>
  <c r="F2190" i="1" s="1"/>
  <c r="I2188" i="1" a="1"/>
  <c r="I2188" i="1" s="1"/>
  <c r="H2188" i="1" a="1"/>
  <c r="H2188" i="1" s="1"/>
  <c r="G2188" i="1" a="1"/>
  <c r="G2188" i="1" s="1"/>
  <c r="F2188" i="1" a="1"/>
  <c r="F2188" i="1" s="1"/>
  <c r="I2187" i="1" a="1"/>
  <c r="I2187" i="1" s="1"/>
  <c r="H2187" i="1" a="1"/>
  <c r="H2187" i="1" s="1"/>
  <c r="G2187" i="1" a="1"/>
  <c r="G2187" i="1" s="1"/>
  <c r="F2187" i="1" a="1"/>
  <c r="F2187" i="1" s="1"/>
  <c r="I2186" i="1" a="1"/>
  <c r="I2186" i="1" s="1"/>
  <c r="H2186" i="1" a="1"/>
  <c r="H2186" i="1" s="1"/>
  <c r="G2186" i="1" a="1"/>
  <c r="G2186" i="1" s="1"/>
  <c r="F2186" i="1" a="1"/>
  <c r="F2186" i="1" s="1"/>
  <c r="I2185" i="1" a="1"/>
  <c r="I2185" i="1" s="1"/>
  <c r="H2185" i="1" a="1"/>
  <c r="H2185" i="1" s="1"/>
  <c r="G2185" i="1" a="1"/>
  <c r="G2185" i="1" s="1"/>
  <c r="F2185" i="1" a="1"/>
  <c r="F2185" i="1" s="1"/>
  <c r="I2184" i="1" a="1"/>
  <c r="I2184" i="1" s="1"/>
  <c r="H2184" i="1" a="1"/>
  <c r="H2184" i="1" s="1"/>
  <c r="G2184" i="1" a="1"/>
  <c r="G2184" i="1" s="1"/>
  <c r="F2184" i="1" a="1"/>
  <c r="F2184" i="1" s="1"/>
  <c r="I2183" i="1" a="1"/>
  <c r="I2183" i="1" s="1"/>
  <c r="H2183" i="1" a="1"/>
  <c r="H2183" i="1" s="1"/>
  <c r="G2183" i="1" a="1"/>
  <c r="G2183" i="1" s="1"/>
  <c r="F2183" i="1" a="1"/>
  <c r="F2183" i="1" s="1"/>
  <c r="I2182" i="1" a="1"/>
  <c r="I2182" i="1" s="1"/>
  <c r="H2182" i="1" a="1"/>
  <c r="H2182" i="1" s="1"/>
  <c r="G2182" i="1" a="1"/>
  <c r="G2182" i="1" s="1"/>
  <c r="F2182" i="1" a="1"/>
  <c r="F2182" i="1" s="1"/>
  <c r="I2181" i="1" a="1"/>
  <c r="I2181" i="1" s="1"/>
  <c r="H2181" i="1" a="1"/>
  <c r="H2181" i="1" s="1"/>
  <c r="G2181" i="1" a="1"/>
  <c r="G2181" i="1" s="1"/>
  <c r="F2181" i="1" a="1"/>
  <c r="F2181" i="1" s="1"/>
  <c r="I2180" i="1" a="1"/>
  <c r="I2180" i="1" s="1"/>
  <c r="H2180" i="1" a="1"/>
  <c r="H2180" i="1" s="1"/>
  <c r="G2180" i="1" a="1"/>
  <c r="G2180" i="1" s="1"/>
  <c r="F2180" i="1" a="1"/>
  <c r="F2180" i="1" s="1"/>
  <c r="I2179" i="1" a="1"/>
  <c r="I2179" i="1" s="1"/>
  <c r="H2179" i="1" a="1"/>
  <c r="H2179" i="1" s="1"/>
  <c r="G2179" i="1" a="1"/>
  <c r="G2179" i="1" s="1"/>
  <c r="F2179" i="1" a="1"/>
  <c r="F2179" i="1" s="1"/>
  <c r="I2178" i="1" a="1"/>
  <c r="I2178" i="1" s="1"/>
  <c r="H2178" i="1" a="1"/>
  <c r="H2178" i="1" s="1"/>
  <c r="G2178" i="1" a="1"/>
  <c r="G2178" i="1" s="1"/>
  <c r="F2178" i="1" a="1"/>
  <c r="F2178" i="1" s="1"/>
  <c r="I2177" i="1" a="1"/>
  <c r="I2177" i="1" s="1"/>
  <c r="H2177" i="1" a="1"/>
  <c r="H2177" i="1" s="1"/>
  <c r="G2177" i="1" a="1"/>
  <c r="G2177" i="1" s="1"/>
  <c r="F2177" i="1" a="1"/>
  <c r="F2177" i="1" s="1"/>
  <c r="I2176" i="1" a="1"/>
  <c r="I2176" i="1" s="1"/>
  <c r="H2176" i="1" a="1"/>
  <c r="H2176" i="1" s="1"/>
  <c r="G2176" i="1" a="1"/>
  <c r="G2176" i="1" s="1"/>
  <c r="F2176" i="1" a="1"/>
  <c r="F2176" i="1" s="1"/>
  <c r="I2175" i="1" a="1"/>
  <c r="I2175" i="1" s="1"/>
  <c r="H2175" i="1" a="1"/>
  <c r="H2175" i="1" s="1"/>
  <c r="G2175" i="1" a="1"/>
  <c r="G2175" i="1" s="1"/>
  <c r="F2175" i="1" a="1"/>
  <c r="F2175" i="1" s="1"/>
  <c r="I2174" i="1" a="1"/>
  <c r="I2174" i="1" s="1"/>
  <c r="H2174" i="1" a="1"/>
  <c r="H2174" i="1" s="1"/>
  <c r="G2174" i="1" a="1"/>
  <c r="G2174" i="1" s="1"/>
  <c r="F2174" i="1" a="1"/>
  <c r="F2174" i="1" s="1"/>
  <c r="I2173" i="1" a="1"/>
  <c r="I2173" i="1" s="1"/>
  <c r="H2173" i="1" a="1"/>
  <c r="H2173" i="1" s="1"/>
  <c r="G2173" i="1" a="1"/>
  <c r="G2173" i="1" s="1"/>
  <c r="F2173" i="1" a="1"/>
  <c r="F2173" i="1" s="1"/>
  <c r="I2172" i="1" a="1"/>
  <c r="I2172" i="1" s="1"/>
  <c r="H2172" i="1" a="1"/>
  <c r="H2172" i="1" s="1"/>
  <c r="G2172" i="1" a="1"/>
  <c r="G2172" i="1" s="1"/>
  <c r="F2172" i="1" a="1"/>
  <c r="F2172" i="1" s="1"/>
  <c r="I2171" i="1" a="1"/>
  <c r="I2171" i="1" s="1"/>
  <c r="H2171" i="1" a="1"/>
  <c r="H2171" i="1" s="1"/>
  <c r="G2171" i="1" a="1"/>
  <c r="G2171" i="1" s="1"/>
  <c r="F2171" i="1" a="1"/>
  <c r="F2171" i="1" s="1"/>
  <c r="I2170" i="1" a="1"/>
  <c r="I2170" i="1" s="1"/>
  <c r="H2170" i="1" a="1"/>
  <c r="H2170" i="1" s="1"/>
  <c r="G2170" i="1" a="1"/>
  <c r="G2170" i="1" s="1"/>
  <c r="F2170" i="1" a="1"/>
  <c r="F2170" i="1" s="1"/>
  <c r="I2169" i="1" a="1"/>
  <c r="I2169" i="1" s="1"/>
  <c r="H2169" i="1" a="1"/>
  <c r="H2169" i="1" s="1"/>
  <c r="G2169" i="1" a="1"/>
  <c r="G2169" i="1" s="1"/>
  <c r="F2169" i="1" a="1"/>
  <c r="F2169" i="1" s="1"/>
  <c r="I2168" i="1" a="1"/>
  <c r="I2168" i="1" s="1"/>
  <c r="H2168" i="1" a="1"/>
  <c r="H2168" i="1" s="1"/>
  <c r="G2168" i="1" a="1"/>
  <c r="G2168" i="1" s="1"/>
  <c r="F2168" i="1" a="1"/>
  <c r="F2168" i="1" s="1"/>
  <c r="I2167" i="1" a="1"/>
  <c r="I2167" i="1" s="1"/>
  <c r="H2167" i="1" a="1"/>
  <c r="H2167" i="1" s="1"/>
  <c r="G2167" i="1" a="1"/>
  <c r="G2167" i="1" s="1"/>
  <c r="F2167" i="1" a="1"/>
  <c r="F2167" i="1" s="1"/>
  <c r="I2166" i="1" a="1"/>
  <c r="I2166" i="1" s="1"/>
  <c r="H2166" i="1" a="1"/>
  <c r="H2166" i="1" s="1"/>
  <c r="G2166" i="1" a="1"/>
  <c r="G2166" i="1" s="1"/>
  <c r="F2166" i="1" a="1"/>
  <c r="F2166" i="1" s="1"/>
  <c r="I2164" i="1" a="1"/>
  <c r="I2164" i="1" s="1"/>
  <c r="H2164" i="1" a="1"/>
  <c r="H2164" i="1" s="1"/>
  <c r="G2164" i="1" a="1"/>
  <c r="G2164" i="1" s="1"/>
  <c r="F2164" i="1" a="1"/>
  <c r="F2164" i="1" s="1"/>
  <c r="I2163" i="1" a="1"/>
  <c r="I2163" i="1" s="1"/>
  <c r="H2163" i="1" a="1"/>
  <c r="H2163" i="1" s="1"/>
  <c r="G2163" i="1" a="1"/>
  <c r="G2163" i="1" s="1"/>
  <c r="F2163" i="1" a="1"/>
  <c r="F2163" i="1" s="1"/>
  <c r="I2162" i="1" a="1"/>
  <c r="I2162" i="1" s="1"/>
  <c r="H2162" i="1" a="1"/>
  <c r="H2162" i="1" s="1"/>
  <c r="G2162" i="1" a="1"/>
  <c r="G2162" i="1" s="1"/>
  <c r="F2162" i="1" a="1"/>
  <c r="F2162" i="1" s="1"/>
  <c r="I2161" i="1" a="1"/>
  <c r="I2161" i="1" s="1"/>
  <c r="H2161" i="1" a="1"/>
  <c r="H2161" i="1" s="1"/>
  <c r="G2161" i="1" a="1"/>
  <c r="G2161" i="1" s="1"/>
  <c r="F2161" i="1" a="1"/>
  <c r="F2161" i="1" s="1"/>
  <c r="I2160" i="1" a="1"/>
  <c r="I2160" i="1" s="1"/>
  <c r="H2160" i="1" a="1"/>
  <c r="H2160" i="1" s="1"/>
  <c r="G2160" i="1" a="1"/>
  <c r="G2160" i="1" s="1"/>
  <c r="F2160" i="1" a="1"/>
  <c r="F2160" i="1" s="1"/>
  <c r="I2159" i="1" a="1"/>
  <c r="I2159" i="1" s="1"/>
  <c r="H2159" i="1" a="1"/>
  <c r="H2159" i="1" s="1"/>
  <c r="G2159" i="1" a="1"/>
  <c r="G2159" i="1" s="1"/>
  <c r="F2159" i="1" a="1"/>
  <c r="F2159" i="1" s="1"/>
  <c r="I2158" i="1" a="1"/>
  <c r="I2158" i="1" s="1"/>
  <c r="H2158" i="1" a="1"/>
  <c r="H2158" i="1" s="1"/>
  <c r="G2158" i="1" a="1"/>
  <c r="G2158" i="1" s="1"/>
  <c r="F2158" i="1" a="1"/>
  <c r="F2158" i="1" s="1"/>
  <c r="I2157" i="1" a="1"/>
  <c r="I2157" i="1" s="1"/>
  <c r="H2157" i="1" a="1"/>
  <c r="H2157" i="1" s="1"/>
  <c r="G2157" i="1" a="1"/>
  <c r="G2157" i="1" s="1"/>
  <c r="F2157" i="1" a="1"/>
  <c r="F2157" i="1" s="1"/>
  <c r="I2156" i="1" a="1"/>
  <c r="I2156" i="1" s="1"/>
  <c r="H2156" i="1" a="1"/>
  <c r="H2156" i="1" s="1"/>
  <c r="G2156" i="1" a="1"/>
  <c r="G2156" i="1" s="1"/>
  <c r="F2156" i="1" a="1"/>
  <c r="F2156" i="1" s="1"/>
  <c r="I2155" i="1" a="1"/>
  <c r="I2155" i="1" s="1"/>
  <c r="H2155" i="1" a="1"/>
  <c r="H2155" i="1" s="1"/>
  <c r="G2155" i="1" a="1"/>
  <c r="G2155" i="1" s="1"/>
  <c r="F2155" i="1" a="1"/>
  <c r="F2155" i="1" s="1"/>
  <c r="I2154" i="1" a="1"/>
  <c r="I2154" i="1" s="1"/>
  <c r="H2154" i="1" a="1"/>
  <c r="H2154" i="1" s="1"/>
  <c r="G2154" i="1" a="1"/>
  <c r="G2154" i="1" s="1"/>
  <c r="F2154" i="1" a="1"/>
  <c r="F2154" i="1" s="1"/>
  <c r="I2153" i="1" a="1"/>
  <c r="I2153" i="1" s="1"/>
  <c r="H2153" i="1" a="1"/>
  <c r="H2153" i="1" s="1"/>
  <c r="G2153" i="1" a="1"/>
  <c r="G2153" i="1" s="1"/>
  <c r="F2153" i="1" a="1"/>
  <c r="F2153" i="1" s="1"/>
  <c r="I2152" i="1" a="1"/>
  <c r="I2152" i="1" s="1"/>
  <c r="H2152" i="1" a="1"/>
  <c r="H2152" i="1" s="1"/>
  <c r="G2152" i="1" a="1"/>
  <c r="G2152" i="1" s="1"/>
  <c r="F2152" i="1" a="1"/>
  <c r="F2152" i="1" s="1"/>
  <c r="I2151" i="1" a="1"/>
  <c r="I2151" i="1" s="1"/>
  <c r="H2151" i="1" a="1"/>
  <c r="H2151" i="1" s="1"/>
  <c r="G2151" i="1" a="1"/>
  <c r="G2151" i="1" s="1"/>
  <c r="F2151" i="1" a="1"/>
  <c r="F2151" i="1" s="1"/>
  <c r="I2150" i="1" a="1"/>
  <c r="I2150" i="1" s="1"/>
  <c r="H2150" i="1" a="1"/>
  <c r="H2150" i="1" s="1"/>
  <c r="G2150" i="1" a="1"/>
  <c r="G2150" i="1" s="1"/>
  <c r="F2150" i="1" a="1"/>
  <c r="F2150" i="1" s="1"/>
  <c r="I2149" i="1" a="1"/>
  <c r="I2149" i="1" s="1"/>
  <c r="H2149" i="1" a="1"/>
  <c r="H2149" i="1" s="1"/>
  <c r="G2149" i="1" a="1"/>
  <c r="G2149" i="1" s="1"/>
  <c r="F2149" i="1" a="1"/>
  <c r="F2149" i="1" s="1"/>
  <c r="I2148" i="1" a="1"/>
  <c r="I2148" i="1" s="1"/>
  <c r="H2148" i="1" a="1"/>
  <c r="H2148" i="1" s="1"/>
  <c r="G2148" i="1" a="1"/>
  <c r="G2148" i="1" s="1"/>
  <c r="F2148" i="1" a="1"/>
  <c r="F2148" i="1" s="1"/>
  <c r="I2147" i="1" a="1"/>
  <c r="I2147" i="1" s="1"/>
  <c r="H2147" i="1" a="1"/>
  <c r="H2147" i="1" s="1"/>
  <c r="G2147" i="1" a="1"/>
  <c r="G2147" i="1" s="1"/>
  <c r="F2147" i="1" a="1"/>
  <c r="F2147" i="1" s="1"/>
  <c r="I2146" i="1" a="1"/>
  <c r="I2146" i="1" s="1"/>
  <c r="H2146" i="1" a="1"/>
  <c r="H2146" i="1" s="1"/>
  <c r="G2146" i="1" a="1"/>
  <c r="G2146" i="1" s="1"/>
  <c r="F2146" i="1" a="1"/>
  <c r="F2146" i="1" s="1"/>
  <c r="I2145" i="1" a="1"/>
  <c r="I2145" i="1" s="1"/>
  <c r="H2145" i="1" a="1"/>
  <c r="H2145" i="1" s="1"/>
  <c r="G2145" i="1" a="1"/>
  <c r="G2145" i="1" s="1"/>
  <c r="F2145" i="1" a="1"/>
  <c r="F2145" i="1" s="1"/>
  <c r="I2144" i="1" a="1"/>
  <c r="I2144" i="1" s="1"/>
  <c r="H2144" i="1" a="1"/>
  <c r="H2144" i="1" s="1"/>
  <c r="G2144" i="1" a="1"/>
  <c r="G2144" i="1" s="1"/>
  <c r="F2144" i="1" a="1"/>
  <c r="F2144" i="1" s="1"/>
  <c r="I2143" i="1" a="1"/>
  <c r="I2143" i="1" s="1"/>
  <c r="H2143" i="1" a="1"/>
  <c r="H2143" i="1" s="1"/>
  <c r="G2143" i="1" a="1"/>
  <c r="G2143" i="1" s="1"/>
  <c r="F2143" i="1" a="1"/>
  <c r="F2143" i="1" s="1"/>
  <c r="I2142" i="1" a="1"/>
  <c r="I2142" i="1" s="1"/>
  <c r="H2142" i="1" a="1"/>
  <c r="H2142" i="1" s="1"/>
  <c r="G2142" i="1" a="1"/>
  <c r="G2142" i="1" s="1"/>
  <c r="F2142" i="1" a="1"/>
  <c r="F2142" i="1" s="1"/>
  <c r="I2141" i="1" a="1"/>
  <c r="I2141" i="1" s="1"/>
  <c r="H2141" i="1" a="1"/>
  <c r="H2141" i="1" s="1"/>
  <c r="G2141" i="1" a="1"/>
  <c r="G2141" i="1" s="1"/>
  <c r="F2141" i="1" a="1"/>
  <c r="F2141" i="1" s="1"/>
  <c r="I2140" i="1" a="1"/>
  <c r="I2140" i="1" s="1"/>
  <c r="H2140" i="1" a="1"/>
  <c r="H2140" i="1" s="1"/>
  <c r="G2140" i="1" a="1"/>
  <c r="G2140" i="1" s="1"/>
  <c r="F2140" i="1" a="1"/>
  <c r="F2140" i="1" s="1"/>
  <c r="I2139" i="1" a="1"/>
  <c r="I2139" i="1" s="1"/>
  <c r="H2139" i="1" a="1"/>
  <c r="H2139" i="1" s="1"/>
  <c r="G2139" i="1" a="1"/>
  <c r="G2139" i="1" s="1"/>
  <c r="F2139" i="1" a="1"/>
  <c r="F2139" i="1" s="1"/>
  <c r="I2138" i="1" a="1"/>
  <c r="I2138" i="1" s="1"/>
  <c r="H2138" i="1" a="1"/>
  <c r="H2138" i="1" s="1"/>
  <c r="G2138" i="1" a="1"/>
  <c r="G2138" i="1" s="1"/>
  <c r="F2138" i="1" a="1"/>
  <c r="F2138" i="1" s="1"/>
  <c r="I2137" i="1" a="1"/>
  <c r="I2137" i="1" s="1"/>
  <c r="H2137" i="1" a="1"/>
  <c r="H2137" i="1" s="1"/>
  <c r="G2137" i="1" a="1"/>
  <c r="G2137" i="1" s="1"/>
  <c r="F2137" i="1" a="1"/>
  <c r="F2137" i="1" s="1"/>
  <c r="I2136" i="1" a="1"/>
  <c r="I2136" i="1" s="1"/>
  <c r="H2136" i="1" a="1"/>
  <c r="H2136" i="1" s="1"/>
  <c r="G2136" i="1" a="1"/>
  <c r="G2136" i="1" s="1"/>
  <c r="F2136" i="1" a="1"/>
  <c r="F2136" i="1" s="1"/>
  <c r="I2135" i="1" a="1"/>
  <c r="I2135" i="1" s="1"/>
  <c r="H2135" i="1" a="1"/>
  <c r="H2135" i="1" s="1"/>
  <c r="G2135" i="1" a="1"/>
  <c r="G2135" i="1" s="1"/>
  <c r="F2135" i="1" a="1"/>
  <c r="F2135" i="1" s="1"/>
  <c r="I2134" i="1" a="1"/>
  <c r="I2134" i="1" s="1"/>
  <c r="H2134" i="1" a="1"/>
  <c r="H2134" i="1" s="1"/>
  <c r="G2134" i="1" a="1"/>
  <c r="G2134" i="1" s="1"/>
  <c r="F2134" i="1" a="1"/>
  <c r="F2134" i="1" s="1"/>
  <c r="I2133" i="1" a="1"/>
  <c r="I2133" i="1" s="1"/>
  <c r="H2133" i="1" a="1"/>
  <c r="H2133" i="1" s="1"/>
  <c r="G2133" i="1" a="1"/>
  <c r="G2133" i="1" s="1"/>
  <c r="F2133" i="1" a="1"/>
  <c r="F2133" i="1" s="1"/>
  <c r="I2132" i="1" a="1"/>
  <c r="I2132" i="1" s="1"/>
  <c r="H2132" i="1" a="1"/>
  <c r="H2132" i="1" s="1"/>
  <c r="G2132" i="1" a="1"/>
  <c r="G2132" i="1" s="1"/>
  <c r="F2132" i="1" a="1"/>
  <c r="F2132" i="1" s="1"/>
  <c r="I2131" i="1" a="1"/>
  <c r="I2131" i="1" s="1"/>
  <c r="H2131" i="1" a="1"/>
  <c r="H2131" i="1" s="1"/>
  <c r="G2131" i="1" a="1"/>
  <c r="G2131" i="1" s="1"/>
  <c r="F2131" i="1" a="1"/>
  <c r="F2131" i="1" s="1"/>
  <c r="I2130" i="1" a="1"/>
  <c r="I2130" i="1" s="1"/>
  <c r="H2130" i="1" a="1"/>
  <c r="H2130" i="1" s="1"/>
  <c r="G2130" i="1" a="1"/>
  <c r="G2130" i="1" s="1"/>
  <c r="F2130" i="1" a="1"/>
  <c r="F2130" i="1" s="1"/>
  <c r="I2129" i="1" a="1"/>
  <c r="I2129" i="1" s="1"/>
  <c r="H2129" i="1" a="1"/>
  <c r="H2129" i="1" s="1"/>
  <c r="G2129" i="1" a="1"/>
  <c r="G2129" i="1" s="1"/>
  <c r="F2129" i="1" a="1"/>
  <c r="F2129" i="1" s="1"/>
  <c r="I2128" i="1" a="1"/>
  <c r="I2128" i="1" s="1"/>
  <c r="H2128" i="1" a="1"/>
  <c r="H2128" i="1" s="1"/>
  <c r="G2128" i="1" a="1"/>
  <c r="G2128" i="1" s="1"/>
  <c r="F2128" i="1" a="1"/>
  <c r="F2128" i="1" s="1"/>
  <c r="I2127" i="1" a="1"/>
  <c r="I2127" i="1" s="1"/>
  <c r="H2127" i="1" a="1"/>
  <c r="H2127" i="1" s="1"/>
  <c r="G2127" i="1" a="1"/>
  <c r="G2127" i="1" s="1"/>
  <c r="F2127" i="1" a="1"/>
  <c r="F2127" i="1" s="1"/>
  <c r="I2126" i="1" a="1"/>
  <c r="I2126" i="1" s="1"/>
  <c r="H2126" i="1" a="1"/>
  <c r="H2126" i="1" s="1"/>
  <c r="G2126" i="1" a="1"/>
  <c r="G2126" i="1" s="1"/>
  <c r="F2126" i="1" a="1"/>
  <c r="F2126" i="1" s="1"/>
  <c r="I2125" i="1" a="1"/>
  <c r="I2125" i="1" s="1"/>
  <c r="H2125" i="1" a="1"/>
  <c r="H2125" i="1" s="1"/>
  <c r="G2125" i="1" a="1"/>
  <c r="G2125" i="1" s="1"/>
  <c r="F2125" i="1" a="1"/>
  <c r="F2125" i="1" s="1"/>
  <c r="I2124" i="1" a="1"/>
  <c r="I2124" i="1" s="1"/>
  <c r="H2124" i="1" a="1"/>
  <c r="H2124" i="1" s="1"/>
  <c r="G2124" i="1" a="1"/>
  <c r="G2124" i="1" s="1"/>
  <c r="F2124" i="1" a="1"/>
  <c r="F2124" i="1" s="1"/>
  <c r="I2123" i="1" a="1"/>
  <c r="I2123" i="1" s="1"/>
  <c r="H2123" i="1" a="1"/>
  <c r="H2123" i="1" s="1"/>
  <c r="G2123" i="1" a="1"/>
  <c r="G2123" i="1" s="1"/>
  <c r="F2123" i="1" a="1"/>
  <c r="F2123" i="1" s="1"/>
  <c r="I2122" i="1" a="1"/>
  <c r="I2122" i="1" s="1"/>
  <c r="H2122" i="1" a="1"/>
  <c r="H2122" i="1" s="1"/>
  <c r="G2122" i="1" a="1"/>
  <c r="G2122" i="1" s="1"/>
  <c r="F2122" i="1" a="1"/>
  <c r="F2122" i="1" s="1"/>
  <c r="I2121" i="1" a="1"/>
  <c r="I2121" i="1" s="1"/>
  <c r="H2121" i="1" a="1"/>
  <c r="H2121" i="1" s="1"/>
  <c r="G2121" i="1" a="1"/>
  <c r="G2121" i="1" s="1"/>
  <c r="F2121" i="1" a="1"/>
  <c r="F2121" i="1" s="1"/>
  <c r="I2120" i="1" a="1"/>
  <c r="I2120" i="1" s="1"/>
  <c r="H2120" i="1" a="1"/>
  <c r="H2120" i="1" s="1"/>
  <c r="G2120" i="1" a="1"/>
  <c r="G2120" i="1" s="1"/>
  <c r="F2120" i="1" a="1"/>
  <c r="F2120" i="1" s="1"/>
  <c r="I2119" i="1" a="1"/>
  <c r="I2119" i="1" s="1"/>
  <c r="H2119" i="1" a="1"/>
  <c r="H2119" i="1" s="1"/>
  <c r="G2119" i="1" a="1"/>
  <c r="G2119" i="1" s="1"/>
  <c r="F2119" i="1" a="1"/>
  <c r="F2119" i="1" s="1"/>
  <c r="I2118" i="1" a="1"/>
  <c r="I2118" i="1" s="1"/>
  <c r="H2118" i="1" a="1"/>
  <c r="H2118" i="1" s="1"/>
  <c r="G2118" i="1" a="1"/>
  <c r="G2118" i="1" s="1"/>
  <c r="F2118" i="1" a="1"/>
  <c r="F2118" i="1" s="1"/>
  <c r="I2117" i="1" a="1"/>
  <c r="I2117" i="1" s="1"/>
  <c r="H2117" i="1" a="1"/>
  <c r="H2117" i="1" s="1"/>
  <c r="G2117" i="1" a="1"/>
  <c r="G2117" i="1" s="1"/>
  <c r="F2117" i="1" a="1"/>
  <c r="F2117" i="1" s="1"/>
  <c r="I2116" i="1" a="1"/>
  <c r="I2116" i="1" s="1"/>
  <c r="H2116" i="1" a="1"/>
  <c r="H2116" i="1" s="1"/>
  <c r="G2116" i="1" a="1"/>
  <c r="G2116" i="1" s="1"/>
  <c r="F2116" i="1" a="1"/>
  <c r="F2116" i="1" s="1"/>
  <c r="I2115" i="1" a="1"/>
  <c r="I2115" i="1" s="1"/>
  <c r="H2115" i="1" a="1"/>
  <c r="H2115" i="1" s="1"/>
  <c r="G2115" i="1" a="1"/>
  <c r="G2115" i="1" s="1"/>
  <c r="F2115" i="1" a="1"/>
  <c r="F2115" i="1" s="1"/>
  <c r="I2113" i="1"/>
  <c r="H2113" i="1"/>
  <c r="G2113" i="1"/>
  <c r="F2113" i="1"/>
  <c r="I2112" i="1"/>
  <c r="H2112" i="1"/>
  <c r="G2112" i="1"/>
  <c r="F2112" i="1"/>
  <c r="I2111" i="1"/>
  <c r="H2111" i="1"/>
  <c r="G2111" i="1"/>
  <c r="F2111" i="1"/>
  <c r="I2110" i="1"/>
  <c r="H2110" i="1"/>
  <c r="G2110" i="1"/>
  <c r="F2110" i="1"/>
  <c r="I2109" i="1"/>
  <c r="H2109" i="1"/>
  <c r="G2109" i="1"/>
  <c r="F2109" i="1"/>
  <c r="I2108" i="1"/>
  <c r="H2108" i="1"/>
  <c r="G2108" i="1"/>
  <c r="F2108" i="1"/>
  <c r="I2107" i="1"/>
  <c r="H2107" i="1"/>
  <c r="G2107" i="1"/>
  <c r="F2107" i="1"/>
  <c r="I2105" i="1"/>
  <c r="H2105" i="1"/>
  <c r="G2105" i="1"/>
  <c r="F2105" i="1"/>
  <c r="I2104" i="1"/>
  <c r="H2104" i="1"/>
  <c r="G2104" i="1"/>
  <c r="F2104" i="1"/>
  <c r="I2103" i="1"/>
  <c r="H2103" i="1"/>
  <c r="G2103" i="1"/>
  <c r="F2103" i="1"/>
  <c r="I2100" i="1"/>
  <c r="H2100" i="1"/>
  <c r="G2100" i="1"/>
  <c r="F2100" i="1"/>
  <c r="I2099" i="1"/>
  <c r="H2099" i="1"/>
  <c r="G2099" i="1"/>
  <c r="F2099" i="1"/>
  <c r="I2098" i="1"/>
  <c r="H2098" i="1"/>
  <c r="G2098" i="1"/>
  <c r="F2098" i="1"/>
  <c r="I2097" i="1"/>
  <c r="H2097" i="1"/>
  <c r="G2097" i="1"/>
  <c r="F2097" i="1"/>
  <c r="I2096" i="1"/>
  <c r="H2096" i="1"/>
  <c r="G2096" i="1"/>
  <c r="F2096" i="1"/>
  <c r="I2095" i="1"/>
  <c r="H2095" i="1"/>
  <c r="G2095" i="1"/>
  <c r="F2095" i="1"/>
  <c r="I2093" i="1"/>
  <c r="H2093" i="1"/>
  <c r="G2093" i="1"/>
  <c r="F2093" i="1"/>
  <c r="I2091" i="1"/>
  <c r="H2091" i="1"/>
  <c r="G2091" i="1"/>
  <c r="F2091" i="1"/>
  <c r="I2090" i="1"/>
  <c r="H2090" i="1"/>
  <c r="G2090" i="1"/>
  <c r="F2090" i="1"/>
  <c r="I2089" i="1"/>
  <c r="H2089" i="1"/>
  <c r="G2089" i="1"/>
  <c r="F2089" i="1"/>
  <c r="I2088" i="1"/>
  <c r="H2088" i="1"/>
  <c r="G2088" i="1"/>
  <c r="F2088" i="1"/>
  <c r="I2087" i="1"/>
  <c r="H2087" i="1"/>
  <c r="G2087" i="1"/>
  <c r="F2087" i="1"/>
  <c r="I2086" i="1"/>
  <c r="H2086" i="1"/>
  <c r="G2086" i="1"/>
  <c r="F2086" i="1"/>
  <c r="I2085" i="1"/>
  <c r="H2085" i="1"/>
  <c r="G2085" i="1"/>
  <c r="F2085" i="1"/>
  <c r="I2083" i="1"/>
  <c r="H2083" i="1"/>
  <c r="G2083" i="1"/>
  <c r="F2083" i="1"/>
  <c r="I2082" i="1"/>
  <c r="H2082" i="1"/>
  <c r="G2082" i="1"/>
  <c r="F2082" i="1"/>
  <c r="I2081" i="1"/>
  <c r="H2081" i="1"/>
  <c r="G2081" i="1"/>
  <c r="F2081" i="1"/>
  <c r="I2080" i="1"/>
  <c r="H2080" i="1"/>
  <c r="G2080" i="1"/>
  <c r="F2080" i="1"/>
  <c r="I2079" i="1"/>
  <c r="H2079" i="1"/>
  <c r="G2079" i="1"/>
  <c r="F2079" i="1"/>
  <c r="I2078" i="1"/>
  <c r="H2078" i="1"/>
  <c r="G2078" i="1"/>
  <c r="F2078" i="1"/>
  <c r="I2076" i="1"/>
  <c r="H2076" i="1"/>
  <c r="G2076" i="1"/>
  <c r="F2076" i="1"/>
  <c r="I2075" i="1"/>
  <c r="H2075" i="1"/>
  <c r="G2075" i="1"/>
  <c r="F2075" i="1"/>
  <c r="I2074" i="1"/>
  <c r="H2074" i="1"/>
  <c r="G2074" i="1"/>
  <c r="F2074" i="1"/>
  <c r="I2073" i="1"/>
  <c r="H2073" i="1"/>
  <c r="G2073" i="1"/>
  <c r="F2073" i="1"/>
  <c r="I2072" i="1"/>
  <c r="H2072" i="1"/>
  <c r="G2072" i="1"/>
  <c r="F2072" i="1"/>
  <c r="I2071" i="1"/>
  <c r="H2071" i="1"/>
  <c r="G2071" i="1"/>
  <c r="F2071" i="1"/>
  <c r="I2070" i="1"/>
  <c r="H2070" i="1"/>
  <c r="G2070" i="1"/>
  <c r="F2070" i="1"/>
  <c r="I2069" i="1"/>
  <c r="H2069" i="1"/>
  <c r="G2069" i="1"/>
  <c r="F2069" i="1"/>
  <c r="I2068" i="1"/>
  <c r="H2068" i="1"/>
  <c r="G2068" i="1"/>
  <c r="F2068" i="1"/>
  <c r="I2067" i="1"/>
  <c r="H2067" i="1"/>
  <c r="G2067" i="1"/>
  <c r="F2067" i="1"/>
  <c r="I2066" i="1"/>
  <c r="H2066" i="1"/>
  <c r="G2066" i="1"/>
  <c r="F2066" i="1"/>
  <c r="I2065" i="1"/>
  <c r="H2065" i="1"/>
  <c r="G2065" i="1"/>
  <c r="F2065" i="1"/>
  <c r="I2064" i="1"/>
  <c r="H2064" i="1"/>
  <c r="G2064" i="1"/>
  <c r="F2064" i="1"/>
  <c r="I2063" i="1"/>
  <c r="H2063" i="1"/>
  <c r="G2063" i="1"/>
  <c r="F2063" i="1"/>
  <c r="I2062" i="1"/>
  <c r="H2062" i="1"/>
  <c r="G2062" i="1"/>
  <c r="F2062" i="1"/>
  <c r="I2060" i="1"/>
  <c r="H2060" i="1"/>
  <c r="G2060" i="1"/>
  <c r="F2060" i="1"/>
  <c r="I2059" i="1"/>
  <c r="H2059" i="1"/>
  <c r="G2059" i="1"/>
  <c r="F2059" i="1"/>
  <c r="I2058" i="1"/>
  <c r="H2058" i="1"/>
  <c r="G2058" i="1"/>
  <c r="F2058" i="1"/>
  <c r="I2056" i="1"/>
  <c r="H2056" i="1"/>
  <c r="G2056" i="1"/>
  <c r="F2056" i="1"/>
  <c r="I2055" i="1"/>
  <c r="H2055" i="1"/>
  <c r="G2055" i="1"/>
  <c r="F2055" i="1"/>
  <c r="I2054" i="1"/>
  <c r="H2054" i="1"/>
  <c r="G2054" i="1"/>
  <c r="F2054" i="1"/>
  <c r="I2052" i="1"/>
  <c r="H2052" i="1"/>
  <c r="G2052" i="1"/>
  <c r="F2052" i="1"/>
  <c r="I2049" i="1" a="1"/>
  <c r="I2049" i="1" s="1"/>
  <c r="H2049" i="1" a="1"/>
  <c r="H2049" i="1" s="1"/>
  <c r="G2049" i="1" a="1"/>
  <c r="G2049" i="1" s="1"/>
  <c r="F2049" i="1" a="1"/>
  <c r="F2049" i="1" s="1"/>
  <c r="I2048" i="1" a="1"/>
  <c r="I2048" i="1" s="1"/>
  <c r="H2048" i="1" a="1"/>
  <c r="H2048" i="1" s="1"/>
  <c r="G2048" i="1" a="1"/>
  <c r="G2048" i="1" s="1"/>
  <c r="F2048" i="1" a="1"/>
  <c r="F2048" i="1" s="1"/>
  <c r="I2047" i="1" a="1"/>
  <c r="I2047" i="1" s="1"/>
  <c r="H2047" i="1" a="1"/>
  <c r="H2047" i="1" s="1"/>
  <c r="G2047" i="1" a="1"/>
  <c r="G2047" i="1" s="1"/>
  <c r="F2047" i="1" a="1"/>
  <c r="F2047" i="1" s="1"/>
  <c r="I2046" i="1" a="1"/>
  <c r="I2046" i="1" s="1"/>
  <c r="H2046" i="1" a="1"/>
  <c r="H2046" i="1" s="1"/>
  <c r="G2046" i="1" a="1"/>
  <c r="G2046" i="1" s="1"/>
  <c r="F2046" i="1" a="1"/>
  <c r="F2046" i="1" s="1"/>
  <c r="I2045" i="1" a="1"/>
  <c r="I2045" i="1" s="1"/>
  <c r="H2045" i="1" a="1"/>
  <c r="H2045" i="1" s="1"/>
  <c r="G2045" i="1" a="1"/>
  <c r="G2045" i="1" s="1"/>
  <c r="F2045" i="1" a="1"/>
  <c r="F2045" i="1" s="1"/>
  <c r="I2044" i="1" a="1"/>
  <c r="I2044" i="1" s="1"/>
  <c r="H2044" i="1" a="1"/>
  <c r="H2044" i="1" s="1"/>
  <c r="G2044" i="1" a="1"/>
  <c r="G2044" i="1" s="1"/>
  <c r="F2044" i="1" a="1"/>
  <c r="F2044" i="1" s="1"/>
  <c r="I2043" i="1" a="1"/>
  <c r="I2043" i="1" s="1"/>
  <c r="H2043" i="1" a="1"/>
  <c r="H2043" i="1" s="1"/>
  <c r="G2043" i="1" a="1"/>
  <c r="G2043" i="1" s="1"/>
  <c r="F2043" i="1" a="1"/>
  <c r="F2043" i="1" s="1"/>
  <c r="I2042" i="1" a="1"/>
  <c r="I2042" i="1" s="1"/>
  <c r="H2042" i="1" a="1"/>
  <c r="H2042" i="1" s="1"/>
  <c r="G2042" i="1" a="1"/>
  <c r="G2042" i="1" s="1"/>
  <c r="F2042" i="1" a="1"/>
  <c r="F2042" i="1" s="1"/>
  <c r="I2041" i="1" a="1"/>
  <c r="I2041" i="1" s="1"/>
  <c r="H2041" i="1" a="1"/>
  <c r="H2041" i="1" s="1"/>
  <c r="G2041" i="1" a="1"/>
  <c r="G2041" i="1" s="1"/>
  <c r="F2041" i="1" a="1"/>
  <c r="F2041" i="1" s="1"/>
  <c r="I2040" i="1" a="1"/>
  <c r="I2040" i="1" s="1"/>
  <c r="H2040" i="1" a="1"/>
  <c r="H2040" i="1" s="1"/>
  <c r="G2040" i="1" a="1"/>
  <c r="G2040" i="1" s="1"/>
  <c r="F2040" i="1" a="1"/>
  <c r="F2040" i="1" s="1"/>
  <c r="I2039" i="1" a="1"/>
  <c r="I2039" i="1" s="1"/>
  <c r="H2039" i="1" a="1"/>
  <c r="H2039" i="1" s="1"/>
  <c r="G2039" i="1" a="1"/>
  <c r="G2039" i="1" s="1"/>
  <c r="F2039" i="1" a="1"/>
  <c r="F2039" i="1" s="1"/>
  <c r="I2038" i="1" a="1"/>
  <c r="I2038" i="1" s="1"/>
  <c r="H2038" i="1" a="1"/>
  <c r="H2038" i="1" s="1"/>
  <c r="G2038" i="1" a="1"/>
  <c r="G2038" i="1" s="1"/>
  <c r="F2038" i="1" a="1"/>
  <c r="F2038" i="1" s="1"/>
  <c r="I2037" i="1" a="1"/>
  <c r="I2037" i="1" s="1"/>
  <c r="H2037" i="1" a="1"/>
  <c r="H2037" i="1" s="1"/>
  <c r="G2037" i="1" a="1"/>
  <c r="G2037" i="1" s="1"/>
  <c r="F2037" i="1" a="1"/>
  <c r="F2037" i="1" s="1"/>
  <c r="I2036" i="1" a="1"/>
  <c r="I2036" i="1" s="1"/>
  <c r="H2036" i="1" a="1"/>
  <c r="H2036" i="1" s="1"/>
  <c r="G2036" i="1" a="1"/>
  <c r="G2036" i="1" s="1"/>
  <c r="F2036" i="1" a="1"/>
  <c r="F2036" i="1" s="1"/>
  <c r="I2035" i="1" a="1"/>
  <c r="I2035" i="1" s="1"/>
  <c r="H2035" i="1" a="1"/>
  <c r="H2035" i="1" s="1"/>
  <c r="G2035" i="1" a="1"/>
  <c r="G2035" i="1" s="1"/>
  <c r="F2035" i="1" a="1"/>
  <c r="F2035" i="1" s="1"/>
  <c r="I2034" i="1" a="1"/>
  <c r="I2034" i="1" s="1"/>
  <c r="H2034" i="1" a="1"/>
  <c r="H2034" i="1" s="1"/>
  <c r="G2034" i="1" a="1"/>
  <c r="G2034" i="1" s="1"/>
  <c r="F2034" i="1" a="1"/>
  <c r="F2034" i="1" s="1"/>
  <c r="I2032" i="1" a="1"/>
  <c r="I2032" i="1" s="1"/>
  <c r="I2031" i="1" s="1" a="1"/>
  <c r="I2031" i="1" s="1"/>
  <c r="H2032" i="1" a="1"/>
  <c r="H2032" i="1" s="1"/>
  <c r="H2031" i="1" s="1" a="1"/>
  <c r="H2031" i="1" s="1"/>
  <c r="G2032" i="1" a="1"/>
  <c r="G2032" i="1" s="1"/>
  <c r="G2031" i="1" s="1" a="1"/>
  <c r="G2031" i="1" s="1"/>
  <c r="F2032" i="1" a="1"/>
  <c r="F2032" i="1" s="1"/>
  <c r="F2031" i="1" s="1" a="1"/>
  <c r="F2031" i="1" s="1"/>
  <c r="I2029" i="1" a="1"/>
  <c r="I2029" i="1" s="1"/>
  <c r="I2028" i="1" s="1" a="1"/>
  <c r="I2028" i="1" s="1"/>
  <c r="H2029" i="1" a="1"/>
  <c r="H2029" i="1" s="1"/>
  <c r="H2028" i="1" s="1" a="1"/>
  <c r="H2028" i="1" s="1"/>
  <c r="G2029" i="1" a="1"/>
  <c r="G2029" i="1" s="1"/>
  <c r="G2028" i="1" s="1" a="1"/>
  <c r="G2028" i="1" s="1"/>
  <c r="F2029" i="1" a="1"/>
  <c r="F2029" i="1" s="1"/>
  <c r="F2028" i="1" s="1" a="1"/>
  <c r="F2028" i="1" s="1"/>
  <c r="I2026" i="1" a="1"/>
  <c r="I2026" i="1" s="1"/>
  <c r="H2026" i="1" a="1"/>
  <c r="H2026" i="1" s="1"/>
  <c r="G2026" i="1" a="1"/>
  <c r="G2026" i="1" s="1"/>
  <c r="F2026" i="1" a="1"/>
  <c r="F2026" i="1" s="1"/>
  <c r="I2025" i="1" a="1"/>
  <c r="I2025" i="1" s="1"/>
  <c r="H2025" i="1" a="1"/>
  <c r="H2025" i="1" s="1"/>
  <c r="G2025" i="1" a="1"/>
  <c r="G2025" i="1" s="1"/>
  <c r="F2025" i="1" a="1"/>
  <c r="F2025" i="1" s="1"/>
  <c r="I2023" i="1" a="1"/>
  <c r="I2023" i="1" s="1"/>
  <c r="H2023" i="1" a="1"/>
  <c r="H2023" i="1" s="1"/>
  <c r="G2023" i="1" a="1"/>
  <c r="G2023" i="1" s="1"/>
  <c r="F2023" i="1" a="1"/>
  <c r="F2023" i="1" s="1"/>
  <c r="I2021" i="1" a="1"/>
  <c r="I2021" i="1" s="1"/>
  <c r="H2021" i="1" a="1"/>
  <c r="H2021" i="1" s="1"/>
  <c r="G2021" i="1" a="1"/>
  <c r="G2021" i="1" s="1"/>
  <c r="F2021" i="1" a="1"/>
  <c r="F2021" i="1" s="1"/>
  <c r="I2020" i="1" a="1"/>
  <c r="I2020" i="1" s="1"/>
  <c r="H2020" i="1" a="1"/>
  <c r="H2020" i="1" s="1"/>
  <c r="G2020" i="1" a="1"/>
  <c r="G2020" i="1" s="1"/>
  <c r="F2020" i="1" a="1"/>
  <c r="F2020" i="1" s="1"/>
  <c r="I2018" i="1" a="1"/>
  <c r="I2018" i="1" s="1"/>
  <c r="I2019" i="1" s="1" a="1"/>
  <c r="I2019" i="1" s="1"/>
  <c r="H2018" i="1" a="1"/>
  <c r="H2018" i="1" s="1"/>
  <c r="H2019" i="1" s="1" a="1"/>
  <c r="H2019" i="1" s="1"/>
  <c r="G2018" i="1" a="1"/>
  <c r="G2018" i="1" s="1"/>
  <c r="G2019" i="1" s="1" a="1"/>
  <c r="G2019" i="1" s="1"/>
  <c r="F2018" i="1" a="1"/>
  <c r="F2018" i="1" s="1"/>
  <c r="F2019" i="1" s="1" a="1"/>
  <c r="F2019" i="1" s="1"/>
  <c r="I2016" i="1" a="1"/>
  <c r="I2016" i="1" s="1"/>
  <c r="I2017" i="1" s="1" a="1"/>
  <c r="I2017" i="1" s="1"/>
  <c r="H2016" i="1" a="1"/>
  <c r="H2016" i="1" s="1"/>
  <c r="H2017" i="1" s="1" a="1"/>
  <c r="H2017" i="1" s="1"/>
  <c r="G2016" i="1" a="1"/>
  <c r="G2016" i="1" s="1"/>
  <c r="G2017" i="1" s="1" a="1"/>
  <c r="G2017" i="1" s="1"/>
  <c r="F2016" i="1" a="1"/>
  <c r="F2016" i="1" s="1"/>
  <c r="F2017" i="1" s="1" a="1"/>
  <c r="F2017" i="1" s="1"/>
  <c r="I2015" i="1" a="1"/>
  <c r="I2015" i="1" s="1"/>
  <c r="H2015" i="1" a="1"/>
  <c r="H2015" i="1" s="1"/>
  <c r="G2015" i="1" a="1"/>
  <c r="G2015" i="1" s="1"/>
  <c r="F2015" i="1" a="1"/>
  <c r="F2015" i="1" s="1"/>
  <c r="I2013" i="1" a="1"/>
  <c r="I2013" i="1" s="1"/>
  <c r="I2014" i="1" s="1" a="1"/>
  <c r="I2014" i="1" s="1"/>
  <c r="H2013" i="1" a="1"/>
  <c r="H2013" i="1" s="1"/>
  <c r="H2014" i="1" s="1" a="1"/>
  <c r="H2014" i="1" s="1"/>
  <c r="G2013" i="1" a="1"/>
  <c r="G2013" i="1" s="1"/>
  <c r="G2014" i="1" s="1" a="1"/>
  <c r="G2014" i="1" s="1"/>
  <c r="F2013" i="1" a="1"/>
  <c r="F2013" i="1" s="1"/>
  <c r="F2014" i="1" s="1" a="1"/>
  <c r="F2014" i="1" s="1"/>
  <c r="I2011" i="1" a="1"/>
  <c r="I2011" i="1" s="1"/>
  <c r="H2011" i="1" a="1"/>
  <c r="H2011" i="1" s="1"/>
  <c r="G2011" i="1" a="1"/>
  <c r="G2011" i="1" s="1"/>
  <c r="F2011" i="1" a="1"/>
  <c r="F2011" i="1" s="1"/>
  <c r="I2010" i="1" a="1"/>
  <c r="I2010" i="1" s="1"/>
  <c r="H2010" i="1" a="1"/>
  <c r="H2010" i="1" s="1"/>
  <c r="G2010" i="1" a="1"/>
  <c r="G2010" i="1" s="1"/>
  <c r="F2010" i="1" a="1"/>
  <c r="F2010" i="1" s="1"/>
  <c r="I2008" i="1" a="1"/>
  <c r="I2008" i="1" s="1"/>
  <c r="I2009" i="1" s="1" a="1"/>
  <c r="I2009" i="1" s="1"/>
  <c r="H2008" i="1" a="1"/>
  <c r="H2008" i="1" s="1"/>
  <c r="H2009" i="1" s="1" a="1"/>
  <c r="H2009" i="1" s="1"/>
  <c r="G2008" i="1" a="1"/>
  <c r="G2008" i="1" s="1"/>
  <c r="G2009" i="1" s="1" a="1"/>
  <c r="G2009" i="1" s="1"/>
  <c r="F2008" i="1" a="1"/>
  <c r="F2008" i="1" s="1"/>
  <c r="F2009" i="1" s="1" a="1"/>
  <c r="F2009" i="1" s="1"/>
  <c r="I2006" i="1" a="1"/>
  <c r="I2006" i="1" s="1"/>
  <c r="I2007" i="1" s="1" a="1"/>
  <c r="I2007" i="1" s="1"/>
  <c r="H2006" i="1" a="1"/>
  <c r="H2006" i="1" s="1"/>
  <c r="H2007" i="1" s="1" a="1"/>
  <c r="H2007" i="1" s="1"/>
  <c r="G2006" i="1" a="1"/>
  <c r="G2006" i="1" s="1"/>
  <c r="G2007" i="1" s="1" a="1"/>
  <c r="G2007" i="1" s="1"/>
  <c r="F2006" i="1" a="1"/>
  <c r="F2006" i="1" s="1"/>
  <c r="F2007" i="1" s="1" a="1"/>
  <c r="F2007" i="1" s="1"/>
  <c r="I2005" i="1" a="1"/>
  <c r="I2005" i="1" s="1"/>
  <c r="H2005" i="1" a="1"/>
  <c r="H2005" i="1" s="1"/>
  <c r="G2005" i="1" a="1"/>
  <c r="G2005" i="1" s="1"/>
  <c r="F2005" i="1" a="1"/>
  <c r="F2005" i="1" s="1"/>
  <c r="I2003" i="1" a="1"/>
  <c r="I2003" i="1" s="1"/>
  <c r="I2004" i="1" s="1" a="1"/>
  <c r="I2004" i="1" s="1"/>
  <c r="H2003" i="1" a="1"/>
  <c r="H2003" i="1" s="1"/>
  <c r="H2004" i="1" s="1" a="1"/>
  <c r="H2004" i="1" s="1"/>
  <c r="G2003" i="1" a="1"/>
  <c r="G2003" i="1" s="1"/>
  <c r="G2004" i="1" s="1" a="1"/>
  <c r="G2004" i="1" s="1"/>
  <c r="F2003" i="1" a="1"/>
  <c r="F2003" i="1" s="1"/>
  <c r="F2004" i="1" s="1" a="1"/>
  <c r="F2004" i="1" s="1"/>
  <c r="I2001" i="1" a="1"/>
  <c r="I2001" i="1" s="1"/>
  <c r="H2001" i="1" a="1"/>
  <c r="H2001" i="1" s="1"/>
  <c r="G2001" i="1" a="1"/>
  <c r="G2001" i="1" s="1"/>
  <c r="F2001" i="1" a="1"/>
  <c r="F2001" i="1" s="1"/>
  <c r="I2000" i="1" a="1"/>
  <c r="I2000" i="1" s="1"/>
  <c r="H2000" i="1" a="1"/>
  <c r="H2000" i="1" s="1"/>
  <c r="G2000" i="1" a="1"/>
  <c r="G2000" i="1" s="1"/>
  <c r="F2000" i="1" a="1"/>
  <c r="F2000" i="1" s="1"/>
  <c r="I1999" i="1" a="1"/>
  <c r="I1999" i="1" s="1"/>
  <c r="H1999" i="1" a="1"/>
  <c r="H1999" i="1" s="1"/>
  <c r="G1999" i="1" a="1"/>
  <c r="G1999" i="1" s="1"/>
  <c r="F1999" i="1" a="1"/>
  <c r="F1999" i="1" s="1"/>
  <c r="I1998" i="1" a="1"/>
  <c r="I1998" i="1" s="1"/>
  <c r="H1998" i="1" a="1"/>
  <c r="H1998" i="1" s="1"/>
  <c r="G1998" i="1" a="1"/>
  <c r="G1998" i="1" s="1"/>
  <c r="F1998" i="1" a="1"/>
  <c r="F1998" i="1" s="1"/>
  <c r="I1997" i="1" a="1"/>
  <c r="I1997" i="1" s="1"/>
  <c r="H1997" i="1" a="1"/>
  <c r="H1997" i="1" s="1"/>
  <c r="G1997" i="1" a="1"/>
  <c r="G1997" i="1" s="1"/>
  <c r="F1997" i="1" a="1"/>
  <c r="F1997" i="1" s="1"/>
  <c r="I1996" i="1" a="1"/>
  <c r="I1996" i="1" s="1"/>
  <c r="H1996" i="1" a="1"/>
  <c r="H1996" i="1" s="1"/>
  <c r="G1996" i="1" a="1"/>
  <c r="G1996" i="1" s="1"/>
  <c r="F1996" i="1" a="1"/>
  <c r="F1996" i="1" s="1"/>
  <c r="I1995" i="1" a="1"/>
  <c r="I1995" i="1" s="1"/>
  <c r="H1995" i="1" a="1"/>
  <c r="H1995" i="1" s="1"/>
  <c r="G1995" i="1" a="1"/>
  <c r="G1995" i="1" s="1"/>
  <c r="F1995" i="1" a="1"/>
  <c r="F1995" i="1" s="1"/>
  <c r="I1994" i="1" a="1"/>
  <c r="I1994" i="1" s="1"/>
  <c r="H1994" i="1" a="1"/>
  <c r="H1994" i="1" s="1"/>
  <c r="G1994" i="1" a="1"/>
  <c r="G1994" i="1" s="1"/>
  <c r="F1994" i="1" a="1"/>
  <c r="F1994" i="1" s="1"/>
  <c r="I1993" i="1" a="1"/>
  <c r="I1993" i="1" s="1"/>
  <c r="H1993" i="1" a="1"/>
  <c r="H1993" i="1" s="1"/>
  <c r="G1993" i="1" a="1"/>
  <c r="G1993" i="1" s="1"/>
  <c r="F1993" i="1" a="1"/>
  <c r="F1993" i="1" s="1"/>
  <c r="I1992" i="1" a="1"/>
  <c r="I1992" i="1" s="1"/>
  <c r="H1992" i="1" a="1"/>
  <c r="H1992" i="1" s="1"/>
  <c r="G1992" i="1" a="1"/>
  <c r="G1992" i="1" s="1"/>
  <c r="F1992" i="1" a="1"/>
  <c r="F1992" i="1" s="1"/>
  <c r="I1991" i="1" a="1"/>
  <c r="I1991" i="1" s="1"/>
  <c r="H1991" i="1" a="1"/>
  <c r="H1991" i="1" s="1"/>
  <c r="G1991" i="1" a="1"/>
  <c r="G1991" i="1" s="1"/>
  <c r="F1991" i="1" a="1"/>
  <c r="F1991" i="1" s="1"/>
  <c r="I1990" i="1" a="1"/>
  <c r="I1990" i="1" s="1"/>
  <c r="H1990" i="1" a="1"/>
  <c r="H1990" i="1" s="1"/>
  <c r="G1990" i="1" a="1"/>
  <c r="G1990" i="1" s="1"/>
  <c r="F1990" i="1" a="1"/>
  <c r="F1990" i="1" s="1"/>
  <c r="I1989" i="1" a="1"/>
  <c r="I1989" i="1" s="1"/>
  <c r="H1989" i="1" a="1"/>
  <c r="H1989" i="1" s="1"/>
  <c r="G1989" i="1" a="1"/>
  <c r="G1989" i="1" s="1"/>
  <c r="F1989" i="1" a="1"/>
  <c r="F1989" i="1" s="1"/>
  <c r="I1988" i="1" a="1"/>
  <c r="I1988" i="1" s="1"/>
  <c r="H1988" i="1" a="1"/>
  <c r="H1988" i="1" s="1"/>
  <c r="G1988" i="1" a="1"/>
  <c r="G1988" i="1" s="1"/>
  <c r="F1988" i="1" a="1"/>
  <c r="F1988" i="1" s="1"/>
  <c r="I1987" i="1" a="1"/>
  <c r="I1987" i="1" s="1"/>
  <c r="H1987" i="1" a="1"/>
  <c r="H1987" i="1" s="1"/>
  <c r="G1987" i="1" a="1"/>
  <c r="G1987" i="1" s="1"/>
  <c r="F1987" i="1" a="1"/>
  <c r="F1987" i="1" s="1"/>
  <c r="I1986" i="1" a="1"/>
  <c r="I1986" i="1" s="1"/>
  <c r="H1986" i="1" a="1"/>
  <c r="H1986" i="1" s="1"/>
  <c r="G1986" i="1" a="1"/>
  <c r="G1986" i="1" s="1"/>
  <c r="F1986" i="1" a="1"/>
  <c r="F1986" i="1" s="1"/>
  <c r="I1985" i="1" a="1"/>
  <c r="I1985" i="1" s="1"/>
  <c r="H1985" i="1" a="1"/>
  <c r="H1985" i="1" s="1"/>
  <c r="G1985" i="1" a="1"/>
  <c r="G1985" i="1" s="1"/>
  <c r="F1985" i="1" a="1"/>
  <c r="F1985" i="1" s="1"/>
  <c r="I1984" i="1" a="1"/>
  <c r="I1984" i="1" s="1"/>
  <c r="H1984" i="1" a="1"/>
  <c r="H1984" i="1" s="1"/>
  <c r="G1984" i="1" a="1"/>
  <c r="G1984" i="1" s="1"/>
  <c r="F1984" i="1" a="1"/>
  <c r="F1984" i="1" s="1"/>
  <c r="I1983" i="1" a="1"/>
  <c r="I1983" i="1" s="1"/>
  <c r="H1983" i="1" a="1"/>
  <c r="H1983" i="1" s="1"/>
  <c r="G1983" i="1" a="1"/>
  <c r="G1983" i="1" s="1"/>
  <c r="F1983" i="1" a="1"/>
  <c r="F1983" i="1" s="1"/>
  <c r="I1982" i="1" a="1"/>
  <c r="I1982" i="1" s="1"/>
  <c r="H1982" i="1" a="1"/>
  <c r="H1982" i="1" s="1"/>
  <c r="G1982" i="1" a="1"/>
  <c r="G1982" i="1" s="1"/>
  <c r="F1982" i="1" a="1"/>
  <c r="F1982" i="1" s="1"/>
  <c r="I1981" i="1" a="1"/>
  <c r="I1981" i="1" s="1"/>
  <c r="H1981" i="1" a="1"/>
  <c r="H1981" i="1" s="1"/>
  <c r="G1981" i="1" a="1"/>
  <c r="G1981" i="1" s="1"/>
  <c r="F1981" i="1" a="1"/>
  <c r="F1981" i="1" s="1"/>
  <c r="I1980" i="1" a="1"/>
  <c r="I1980" i="1" s="1"/>
  <c r="H1980" i="1" a="1"/>
  <c r="H1980" i="1" s="1"/>
  <c r="G1980" i="1" a="1"/>
  <c r="G1980" i="1" s="1"/>
  <c r="F1980" i="1" a="1"/>
  <c r="F1980" i="1" s="1"/>
  <c r="I1979" i="1" a="1"/>
  <c r="I1979" i="1" s="1"/>
  <c r="H1979" i="1" a="1"/>
  <c r="H1979" i="1" s="1"/>
  <c r="G1979" i="1" a="1"/>
  <c r="G1979" i="1" s="1"/>
  <c r="F1979" i="1" a="1"/>
  <c r="F1979" i="1" s="1"/>
  <c r="I1977" i="1" a="1"/>
  <c r="I1977" i="1" s="1"/>
  <c r="H1977" i="1" a="1"/>
  <c r="H1977" i="1" s="1"/>
  <c r="G1977" i="1" a="1"/>
  <c r="G1977" i="1" s="1"/>
  <c r="F1977" i="1" a="1"/>
  <c r="F1977" i="1" s="1"/>
  <c r="I1976" i="1" a="1"/>
  <c r="I1976" i="1" s="1"/>
  <c r="H1976" i="1" a="1"/>
  <c r="H1976" i="1" s="1"/>
  <c r="G1976" i="1" a="1"/>
  <c r="G1976" i="1" s="1"/>
  <c r="F1976" i="1" a="1"/>
  <c r="F1976" i="1" s="1"/>
  <c r="I1975" i="1" a="1"/>
  <c r="I1975" i="1" s="1"/>
  <c r="H1975" i="1" a="1"/>
  <c r="H1975" i="1" s="1"/>
  <c r="G1975" i="1" a="1"/>
  <c r="G1975" i="1" s="1"/>
  <c r="F1975" i="1" a="1"/>
  <c r="F1975" i="1" s="1"/>
  <c r="I1974" i="1" a="1"/>
  <c r="I1974" i="1" s="1"/>
  <c r="H1974" i="1" a="1"/>
  <c r="H1974" i="1" s="1"/>
  <c r="G1974" i="1" a="1"/>
  <c r="G1974" i="1" s="1"/>
  <c r="F1974" i="1" a="1"/>
  <c r="F1974" i="1" s="1"/>
  <c r="I1973" i="1" a="1"/>
  <c r="I1973" i="1" s="1"/>
  <c r="H1973" i="1" a="1"/>
  <c r="H1973" i="1" s="1"/>
  <c r="G1973" i="1" a="1"/>
  <c r="G1973" i="1" s="1"/>
  <c r="F1973" i="1" a="1"/>
  <c r="F1973" i="1" s="1"/>
  <c r="I1972" i="1" a="1"/>
  <c r="I1972" i="1" s="1"/>
  <c r="H1972" i="1" a="1"/>
  <c r="H1972" i="1" s="1"/>
  <c r="G1972" i="1" a="1"/>
  <c r="G1972" i="1" s="1"/>
  <c r="F1972" i="1" a="1"/>
  <c r="F1972" i="1" s="1"/>
  <c r="I1971" i="1" a="1"/>
  <c r="I1971" i="1" s="1"/>
  <c r="H1971" i="1" a="1"/>
  <c r="H1971" i="1" s="1"/>
  <c r="G1971" i="1" a="1"/>
  <c r="G1971" i="1" s="1"/>
  <c r="F1971" i="1" a="1"/>
  <c r="F1971" i="1" s="1"/>
  <c r="I1970" i="1" a="1"/>
  <c r="I1970" i="1" s="1"/>
  <c r="H1970" i="1" a="1"/>
  <c r="H1970" i="1" s="1"/>
  <c r="G1970" i="1" a="1"/>
  <c r="G1970" i="1" s="1"/>
  <c r="F1970" i="1" a="1"/>
  <c r="F1970" i="1" s="1"/>
  <c r="I1969" i="1" a="1"/>
  <c r="I1969" i="1" s="1"/>
  <c r="H1969" i="1" a="1"/>
  <c r="H1969" i="1" s="1"/>
  <c r="G1969" i="1" a="1"/>
  <c r="G1969" i="1" s="1"/>
  <c r="F1969" i="1" a="1"/>
  <c r="F1969" i="1" s="1"/>
  <c r="I1968" i="1" a="1"/>
  <c r="I1968" i="1" s="1"/>
  <c r="H1968" i="1" a="1"/>
  <c r="H1968" i="1" s="1"/>
  <c r="G1968" i="1" a="1"/>
  <c r="G1968" i="1" s="1"/>
  <c r="F1968" i="1" a="1"/>
  <c r="F1968" i="1" s="1"/>
  <c r="I1967" i="1" a="1"/>
  <c r="I1967" i="1" s="1"/>
  <c r="H1967" i="1" a="1"/>
  <c r="H1967" i="1" s="1"/>
  <c r="G1967" i="1" a="1"/>
  <c r="G1967" i="1" s="1"/>
  <c r="F1967" i="1" a="1"/>
  <c r="F1967" i="1" s="1"/>
  <c r="I1966" i="1" a="1"/>
  <c r="I1966" i="1" s="1"/>
  <c r="H1966" i="1" a="1"/>
  <c r="H1966" i="1" s="1"/>
  <c r="G1966" i="1" a="1"/>
  <c r="G1966" i="1" s="1"/>
  <c r="F1966" i="1" a="1"/>
  <c r="F1966" i="1" s="1"/>
  <c r="I1965" i="1" a="1"/>
  <c r="I1965" i="1" s="1"/>
  <c r="H1965" i="1" a="1"/>
  <c r="H1965" i="1" s="1"/>
  <c r="G1965" i="1" a="1"/>
  <c r="G1965" i="1" s="1"/>
  <c r="F1965" i="1" a="1"/>
  <c r="F1965" i="1" s="1"/>
  <c r="I1964" i="1" a="1"/>
  <c r="I1964" i="1" s="1"/>
  <c r="H1964" i="1" a="1"/>
  <c r="H1964" i="1" s="1"/>
  <c r="G1964" i="1" a="1"/>
  <c r="G1964" i="1" s="1"/>
  <c r="F1964" i="1" a="1"/>
  <c r="F1964" i="1" s="1"/>
  <c r="I1963" i="1" a="1"/>
  <c r="I1963" i="1" s="1"/>
  <c r="H1963" i="1" a="1"/>
  <c r="H1963" i="1" s="1"/>
  <c r="G1963" i="1" a="1"/>
  <c r="G1963" i="1" s="1"/>
  <c r="F1963" i="1" a="1"/>
  <c r="F1963" i="1" s="1"/>
  <c r="I1962" i="1" a="1"/>
  <c r="I1962" i="1" s="1"/>
  <c r="H1962" i="1" a="1"/>
  <c r="H1962" i="1" s="1"/>
  <c r="G1962" i="1" a="1"/>
  <c r="G1962" i="1" s="1"/>
  <c r="F1962" i="1" a="1"/>
  <c r="F1962" i="1" s="1"/>
  <c r="I1961" i="1" a="1"/>
  <c r="I1961" i="1" s="1"/>
  <c r="H1961" i="1" a="1"/>
  <c r="H1961" i="1" s="1"/>
  <c r="G1961" i="1" a="1"/>
  <c r="G1961" i="1" s="1"/>
  <c r="F1961" i="1" a="1"/>
  <c r="F1961" i="1" s="1"/>
  <c r="I1960" i="1" a="1"/>
  <c r="I1960" i="1" s="1"/>
  <c r="H1960" i="1" a="1"/>
  <c r="H1960" i="1" s="1"/>
  <c r="G1960" i="1" a="1"/>
  <c r="G1960" i="1" s="1"/>
  <c r="F1960" i="1"/>
  <c r="F1960" i="1" a="1"/>
  <c r="I1959" i="1" a="1"/>
  <c r="I1959" i="1" s="1"/>
  <c r="H1959" i="1" a="1"/>
  <c r="H1959" i="1" s="1"/>
  <c r="G1959" i="1" a="1"/>
  <c r="G1959" i="1" s="1"/>
  <c r="F1959" i="1" a="1"/>
  <c r="F1959" i="1" s="1"/>
  <c r="I1958" i="1" a="1"/>
  <c r="I1958" i="1" s="1"/>
  <c r="H1958" i="1" a="1"/>
  <c r="H1958" i="1" s="1"/>
  <c r="G1958" i="1" a="1"/>
  <c r="G1958" i="1" s="1"/>
  <c r="F1958" i="1" a="1"/>
  <c r="F1958" i="1" s="1"/>
  <c r="I1957" i="1" a="1"/>
  <c r="I1957" i="1" s="1"/>
  <c r="H1957" i="1" a="1"/>
  <c r="H1957" i="1" s="1"/>
  <c r="G1957" i="1" a="1"/>
  <c r="G1957" i="1" s="1"/>
  <c r="F1957" i="1" a="1"/>
  <c r="F1957" i="1" s="1"/>
  <c r="I1956" i="1" a="1"/>
  <c r="I1956" i="1" s="1"/>
  <c r="H1956" i="1" a="1"/>
  <c r="H1956" i="1" s="1"/>
  <c r="G1956" i="1" a="1"/>
  <c r="G1956" i="1" s="1"/>
  <c r="F1956" i="1" a="1"/>
  <c r="F1956" i="1" s="1"/>
  <c r="I1955" i="1" a="1"/>
  <c r="I1955" i="1" s="1"/>
  <c r="H1955" i="1" a="1"/>
  <c r="H1955" i="1" s="1"/>
  <c r="G1955" i="1" a="1"/>
  <c r="G1955" i="1" s="1"/>
  <c r="F1955" i="1" a="1"/>
  <c r="F1955" i="1" s="1"/>
  <c r="I1953" i="1" a="1"/>
  <c r="I1953" i="1" s="1"/>
  <c r="H1953" i="1" a="1"/>
  <c r="H1953" i="1" s="1"/>
  <c r="G1953" i="1" a="1"/>
  <c r="G1953" i="1" s="1"/>
  <c r="F1953" i="1" a="1"/>
  <c r="F1953" i="1" s="1"/>
  <c r="I1952" i="1" a="1"/>
  <c r="I1952" i="1" s="1"/>
  <c r="H1952" i="1" a="1"/>
  <c r="H1952" i="1" s="1"/>
  <c r="G1952" i="1" a="1"/>
  <c r="G1952" i="1" s="1"/>
  <c r="F1952" i="1" a="1"/>
  <c r="F1952" i="1" s="1"/>
  <c r="I1951" i="1" a="1"/>
  <c r="I1951" i="1" s="1"/>
  <c r="H1951" i="1" a="1"/>
  <c r="H1951" i="1" s="1"/>
  <c r="G1951" i="1" a="1"/>
  <c r="G1951" i="1" s="1"/>
  <c r="F1951" i="1" a="1"/>
  <c r="F1951" i="1" s="1"/>
  <c r="I1950" i="1" a="1"/>
  <c r="I1950" i="1" s="1"/>
  <c r="H1950" i="1" a="1"/>
  <c r="H1950" i="1" s="1"/>
  <c r="G1950" i="1" a="1"/>
  <c r="G1950" i="1" s="1"/>
  <c r="F1950" i="1" a="1"/>
  <c r="F1950" i="1" s="1"/>
  <c r="I1949" i="1" a="1"/>
  <c r="I1949" i="1" s="1"/>
  <c r="H1949" i="1" a="1"/>
  <c r="H1949" i="1" s="1"/>
  <c r="G1949" i="1" a="1"/>
  <c r="G1949" i="1" s="1"/>
  <c r="F1949" i="1" a="1"/>
  <c r="F1949" i="1" s="1"/>
  <c r="I1948" i="1" a="1"/>
  <c r="I1948" i="1" s="1"/>
  <c r="H1948" i="1" a="1"/>
  <c r="H1948" i="1" s="1"/>
  <c r="G1948" i="1" a="1"/>
  <c r="G1948" i="1" s="1"/>
  <c r="F1948" i="1" a="1"/>
  <c r="F1948" i="1" s="1"/>
  <c r="I1947" i="1" a="1"/>
  <c r="I1947" i="1" s="1"/>
  <c r="H1947" i="1" a="1"/>
  <c r="H1947" i="1" s="1"/>
  <c r="G1947" i="1" a="1"/>
  <c r="G1947" i="1" s="1"/>
  <c r="F1947" i="1" a="1"/>
  <c r="F1947" i="1" s="1"/>
  <c r="I1946" i="1" a="1"/>
  <c r="I1946" i="1" s="1"/>
  <c r="H1946" i="1" a="1"/>
  <c r="H1946" i="1" s="1"/>
  <c r="G1946" i="1" a="1"/>
  <c r="G1946" i="1" s="1"/>
  <c r="F1946" i="1" a="1"/>
  <c r="F1946" i="1" s="1"/>
  <c r="I1945" i="1" a="1"/>
  <c r="I1945" i="1" s="1"/>
  <c r="H1945" i="1" a="1"/>
  <c r="H1945" i="1" s="1"/>
  <c r="G1945" i="1" a="1"/>
  <c r="G1945" i="1" s="1"/>
  <c r="F1945" i="1" a="1"/>
  <c r="F1945" i="1" s="1"/>
  <c r="I1944" i="1" a="1"/>
  <c r="I1944" i="1" s="1"/>
  <c r="H1944" i="1" a="1"/>
  <c r="H1944" i="1" s="1"/>
  <c r="G1944" i="1" a="1"/>
  <c r="G1944" i="1" s="1"/>
  <c r="F1944" i="1" a="1"/>
  <c r="F1944" i="1" s="1"/>
  <c r="I1943" i="1" a="1"/>
  <c r="I1943" i="1" s="1"/>
  <c r="H1943" i="1" a="1"/>
  <c r="H1943" i="1" s="1"/>
  <c r="G1943" i="1" a="1"/>
  <c r="G1943" i="1" s="1"/>
  <c r="F1943" i="1" a="1"/>
  <c r="F1943" i="1" s="1"/>
  <c r="I1942" i="1" a="1"/>
  <c r="I1942" i="1" s="1"/>
  <c r="H1942" i="1" a="1"/>
  <c r="H1942" i="1" s="1"/>
  <c r="G1942" i="1" a="1"/>
  <c r="G1942" i="1" s="1"/>
  <c r="F1942" i="1" a="1"/>
  <c r="F1942" i="1" s="1"/>
  <c r="I1941" i="1" a="1"/>
  <c r="I1941" i="1" s="1"/>
  <c r="H1941" i="1" a="1"/>
  <c r="H1941" i="1" s="1"/>
  <c r="G1941" i="1" a="1"/>
  <c r="G1941" i="1" s="1"/>
  <c r="F1941" i="1" a="1"/>
  <c r="F1941" i="1" s="1"/>
  <c r="I1940" i="1" a="1"/>
  <c r="I1940" i="1" s="1"/>
  <c r="H1940" i="1" a="1"/>
  <c r="H1940" i="1" s="1"/>
  <c r="G1940" i="1" a="1"/>
  <c r="G1940" i="1" s="1"/>
  <c r="F1940" i="1" a="1"/>
  <c r="F1940" i="1" s="1"/>
  <c r="I1939" i="1" a="1"/>
  <c r="I1939" i="1" s="1"/>
  <c r="H1939" i="1" a="1"/>
  <c r="H1939" i="1" s="1"/>
  <c r="G1939" i="1" a="1"/>
  <c r="G1939" i="1" s="1"/>
  <c r="F1939" i="1" a="1"/>
  <c r="F1939" i="1" s="1"/>
  <c r="I1938" i="1" a="1"/>
  <c r="I1938" i="1" s="1"/>
  <c r="H1938" i="1" a="1"/>
  <c r="H1938" i="1" s="1"/>
  <c r="G1938" i="1" a="1"/>
  <c r="G1938" i="1" s="1"/>
  <c r="F1938" i="1" a="1"/>
  <c r="F1938" i="1" s="1"/>
  <c r="I1937" i="1" a="1"/>
  <c r="I1937" i="1" s="1"/>
  <c r="H1937" i="1" a="1"/>
  <c r="H1937" i="1" s="1"/>
  <c r="G1937" i="1" a="1"/>
  <c r="G1937" i="1" s="1"/>
  <c r="F1937" i="1" a="1"/>
  <c r="F1937" i="1" s="1"/>
  <c r="I1936" i="1" a="1"/>
  <c r="I1936" i="1" s="1"/>
  <c r="H1936" i="1" a="1"/>
  <c r="H1936" i="1" s="1"/>
  <c r="G1936" i="1" a="1"/>
  <c r="G1936" i="1" s="1"/>
  <c r="F1936" i="1" a="1"/>
  <c r="F1936" i="1" s="1"/>
  <c r="I1935" i="1" a="1"/>
  <c r="I1935" i="1" s="1"/>
  <c r="H1935" i="1" a="1"/>
  <c r="H1935" i="1" s="1"/>
  <c r="G1935" i="1" a="1"/>
  <c r="G1935" i="1" s="1"/>
  <c r="F1935" i="1" a="1"/>
  <c r="F1935" i="1" s="1"/>
  <c r="I1934" i="1" a="1"/>
  <c r="I1934" i="1" s="1"/>
  <c r="H1934" i="1" a="1"/>
  <c r="H1934" i="1" s="1"/>
  <c r="G1934" i="1" a="1"/>
  <c r="G1934" i="1" s="1"/>
  <c r="F1934" i="1" a="1"/>
  <c r="F1934" i="1" s="1"/>
  <c r="I1933" i="1" a="1"/>
  <c r="I1933" i="1" s="1"/>
  <c r="H1933" i="1" a="1"/>
  <c r="H1933" i="1" s="1"/>
  <c r="G1933" i="1" a="1"/>
  <c r="G1933" i="1" s="1"/>
  <c r="F1933" i="1" a="1"/>
  <c r="F1933" i="1" s="1"/>
  <c r="I1932" i="1" a="1"/>
  <c r="I1932" i="1" s="1"/>
  <c r="H1932" i="1" a="1"/>
  <c r="H1932" i="1" s="1"/>
  <c r="G1932" i="1" a="1"/>
  <c r="G1932" i="1" s="1"/>
  <c r="F1932" i="1" a="1"/>
  <c r="F1932" i="1" s="1"/>
  <c r="I1931" i="1" a="1"/>
  <c r="I1931" i="1" s="1"/>
  <c r="H1931" i="1" a="1"/>
  <c r="H1931" i="1" s="1"/>
  <c r="G1931" i="1" a="1"/>
  <c r="G1931" i="1" s="1"/>
  <c r="F1931" i="1" a="1"/>
  <c r="F1931" i="1" s="1"/>
  <c r="I1930" i="1" a="1"/>
  <c r="I1930" i="1" s="1"/>
  <c r="H1930" i="1" a="1"/>
  <c r="H1930" i="1" s="1"/>
  <c r="G1930" i="1" a="1"/>
  <c r="G1930" i="1" s="1"/>
  <c r="F1930" i="1" a="1"/>
  <c r="F1930" i="1" s="1"/>
  <c r="I1929" i="1" a="1"/>
  <c r="I1929" i="1" s="1"/>
  <c r="H1929" i="1" a="1"/>
  <c r="H1929" i="1" s="1"/>
  <c r="G1929" i="1" a="1"/>
  <c r="G1929" i="1" s="1"/>
  <c r="F1929" i="1" a="1"/>
  <c r="F1929" i="1" s="1"/>
  <c r="I1928" i="1" a="1"/>
  <c r="I1928" i="1" s="1"/>
  <c r="H1928" i="1" a="1"/>
  <c r="H1928" i="1" s="1"/>
  <c r="G1928" i="1" a="1"/>
  <c r="G1928" i="1" s="1"/>
  <c r="F1928" i="1" a="1"/>
  <c r="F1928" i="1" s="1"/>
  <c r="I1927" i="1" a="1"/>
  <c r="I1927" i="1" s="1"/>
  <c r="H1927" i="1" a="1"/>
  <c r="H1927" i="1" s="1"/>
  <c r="G1927" i="1" a="1"/>
  <c r="G1927" i="1" s="1"/>
  <c r="F1927" i="1" a="1"/>
  <c r="F1927" i="1" s="1"/>
  <c r="I1926" i="1" a="1"/>
  <c r="I1926" i="1" s="1"/>
  <c r="H1926" i="1" a="1"/>
  <c r="H1926" i="1" s="1"/>
  <c r="G1926" i="1" a="1"/>
  <c r="G1926" i="1" s="1"/>
  <c r="F1926" i="1" a="1"/>
  <c r="F1926" i="1" s="1"/>
  <c r="I1925" i="1" a="1"/>
  <c r="I1925" i="1" s="1"/>
  <c r="H1925" i="1" a="1"/>
  <c r="H1925" i="1" s="1"/>
  <c r="G1925" i="1" a="1"/>
  <c r="G1925" i="1" s="1"/>
  <c r="F1925" i="1" a="1"/>
  <c r="F1925" i="1" s="1"/>
  <c r="I1924" i="1" a="1"/>
  <c r="I1924" i="1" s="1"/>
  <c r="H1924" i="1" a="1"/>
  <c r="H1924" i="1" s="1"/>
  <c r="G1924" i="1" a="1"/>
  <c r="G1924" i="1" s="1"/>
  <c r="F1924" i="1" a="1"/>
  <c r="F1924" i="1" s="1"/>
  <c r="I1923" i="1" a="1"/>
  <c r="I1923" i="1" s="1"/>
  <c r="H1923" i="1" a="1"/>
  <c r="H1923" i="1" s="1"/>
  <c r="G1923" i="1" a="1"/>
  <c r="G1923" i="1" s="1"/>
  <c r="F1923" i="1" a="1"/>
  <c r="F1923" i="1" s="1"/>
  <c r="I1922" i="1" a="1"/>
  <c r="I1922" i="1" s="1"/>
  <c r="H1922" i="1" a="1"/>
  <c r="H1922" i="1" s="1"/>
  <c r="G1922" i="1" a="1"/>
  <c r="G1922" i="1" s="1"/>
  <c r="F1922" i="1" a="1"/>
  <c r="F1922" i="1" s="1"/>
  <c r="I1921" i="1" a="1"/>
  <c r="I1921" i="1" s="1"/>
  <c r="H1921" i="1" a="1"/>
  <c r="H1921" i="1" s="1"/>
  <c r="G1921" i="1" a="1"/>
  <c r="G1921" i="1" s="1"/>
  <c r="F1921" i="1" a="1"/>
  <c r="F1921" i="1" s="1"/>
  <c r="I1920" i="1" a="1"/>
  <c r="I1920" i="1" s="1"/>
  <c r="H1920" i="1" a="1"/>
  <c r="H1920" i="1" s="1"/>
  <c r="G1920" i="1" a="1"/>
  <c r="G1920" i="1" s="1"/>
  <c r="F1920" i="1" a="1"/>
  <c r="F1920" i="1" s="1"/>
  <c r="I1919" i="1" a="1"/>
  <c r="I1919" i="1" s="1"/>
  <c r="H1919" i="1" a="1"/>
  <c r="H1919" i="1" s="1"/>
  <c r="G1919" i="1" a="1"/>
  <c r="G1919" i="1" s="1"/>
  <c r="F1919" i="1" a="1"/>
  <c r="F1919" i="1" s="1"/>
  <c r="I1918" i="1" a="1"/>
  <c r="I1918" i="1" s="1"/>
  <c r="H1918" i="1" a="1"/>
  <c r="H1918" i="1" s="1"/>
  <c r="G1918" i="1" a="1"/>
  <c r="G1918" i="1" s="1"/>
  <c r="F1918" i="1" a="1"/>
  <c r="F1918" i="1" s="1"/>
  <c r="I1917" i="1" a="1"/>
  <c r="I1917" i="1" s="1"/>
  <c r="H1917" i="1" a="1"/>
  <c r="H1917" i="1" s="1"/>
  <c r="G1917" i="1" a="1"/>
  <c r="G1917" i="1" s="1"/>
  <c r="F1917" i="1" a="1"/>
  <c r="F1917" i="1" s="1"/>
  <c r="I1916" i="1" a="1"/>
  <c r="I1916" i="1" s="1"/>
  <c r="H1916" i="1" a="1"/>
  <c r="H1916" i="1" s="1"/>
  <c r="G1916" i="1" a="1"/>
  <c r="G1916" i="1" s="1"/>
  <c r="F1916" i="1" a="1"/>
  <c r="F1916" i="1" s="1"/>
  <c r="I1915" i="1" a="1"/>
  <c r="I1915" i="1" s="1"/>
  <c r="H1915" i="1" a="1"/>
  <c r="H1915" i="1" s="1"/>
  <c r="G1915" i="1" a="1"/>
  <c r="G1915" i="1" s="1"/>
  <c r="F1915" i="1" a="1"/>
  <c r="F1915" i="1" s="1"/>
  <c r="I1914" i="1" a="1"/>
  <c r="I1914" i="1" s="1"/>
  <c r="H1914" i="1" a="1"/>
  <c r="H1914" i="1" s="1"/>
  <c r="G1914" i="1" a="1"/>
  <c r="G1914" i="1" s="1"/>
  <c r="F1914" i="1" a="1"/>
  <c r="F1914" i="1" s="1"/>
  <c r="I1913" i="1" a="1"/>
  <c r="I1913" i="1" s="1"/>
  <c r="H1913" i="1" a="1"/>
  <c r="H1913" i="1" s="1"/>
  <c r="G1913" i="1" a="1"/>
  <c r="G1913" i="1" s="1"/>
  <c r="F1913" i="1" a="1"/>
  <c r="F1913" i="1" s="1"/>
  <c r="I1912" i="1" a="1"/>
  <c r="I1912" i="1" s="1"/>
  <c r="H1912" i="1" a="1"/>
  <c r="H1912" i="1" s="1"/>
  <c r="G1912" i="1" a="1"/>
  <c r="G1912" i="1" s="1"/>
  <c r="F1912" i="1" a="1"/>
  <c r="F1912" i="1" s="1"/>
  <c r="I1911" i="1" a="1"/>
  <c r="I1911" i="1" s="1"/>
  <c r="H1911" i="1" a="1"/>
  <c r="H1911" i="1" s="1"/>
  <c r="G1911" i="1" a="1"/>
  <c r="G1911" i="1" s="1"/>
  <c r="F1911" i="1" a="1"/>
  <c r="F1911" i="1" s="1"/>
  <c r="I1910" i="1" a="1"/>
  <c r="I1910" i="1" s="1"/>
  <c r="H1910" i="1" a="1"/>
  <c r="H1910" i="1" s="1"/>
  <c r="G1910" i="1" a="1"/>
  <c r="G1910" i="1" s="1"/>
  <c r="F1910" i="1" a="1"/>
  <c r="F1910" i="1" s="1"/>
  <c r="I1909" i="1" a="1"/>
  <c r="I1909" i="1" s="1"/>
  <c r="H1909" i="1" a="1"/>
  <c r="H1909" i="1" s="1"/>
  <c r="G1909" i="1" a="1"/>
  <c r="G1909" i="1" s="1"/>
  <c r="F1909" i="1" a="1"/>
  <c r="F1909" i="1" s="1"/>
  <c r="I1908" i="1" a="1"/>
  <c r="I1908" i="1" s="1"/>
  <c r="H1908" i="1" a="1"/>
  <c r="H1908" i="1" s="1"/>
  <c r="G1908" i="1" a="1"/>
  <c r="G1908" i="1" s="1"/>
  <c r="F1908" i="1" a="1"/>
  <c r="F1908" i="1" s="1"/>
  <c r="I1907" i="1" a="1"/>
  <c r="I1907" i="1" s="1"/>
  <c r="H1907" i="1" a="1"/>
  <c r="H1907" i="1" s="1"/>
  <c r="G1907" i="1" a="1"/>
  <c r="G1907" i="1" s="1"/>
  <c r="F1907" i="1" a="1"/>
  <c r="F1907" i="1" s="1"/>
  <c r="I1906" i="1" a="1"/>
  <c r="I1906" i="1" s="1"/>
  <c r="H1906" i="1" a="1"/>
  <c r="H1906" i="1" s="1"/>
  <c r="G1906" i="1" a="1"/>
  <c r="G1906" i="1" s="1"/>
  <c r="F1906" i="1" a="1"/>
  <c r="F1906" i="1" s="1"/>
  <c r="I1905" i="1" a="1"/>
  <c r="I1905" i="1" s="1"/>
  <c r="H1905" i="1" a="1"/>
  <c r="H1905" i="1" s="1"/>
  <c r="G1905" i="1" a="1"/>
  <c r="G1905" i="1" s="1"/>
  <c r="F1905" i="1" a="1"/>
  <c r="F1905" i="1" s="1"/>
  <c r="I1904" i="1" a="1"/>
  <c r="I1904" i="1" s="1"/>
  <c r="H1904" i="1" a="1"/>
  <c r="H1904" i="1" s="1"/>
  <c r="G1904" i="1" a="1"/>
  <c r="G1904" i="1" s="1"/>
  <c r="F1904" i="1" a="1"/>
  <c r="F1904" i="1" s="1"/>
  <c r="I1902" i="1" a="1"/>
  <c r="I1902" i="1" s="1"/>
  <c r="H1902" i="1" a="1"/>
  <c r="H1902" i="1" s="1"/>
  <c r="G1902" i="1" a="1"/>
  <c r="G1902" i="1" s="1"/>
  <c r="F1902" i="1" a="1"/>
  <c r="F1902" i="1" s="1"/>
  <c r="I1900" i="1" a="1"/>
  <c r="I1900" i="1" s="1"/>
  <c r="H1900" i="1" a="1"/>
  <c r="H1900" i="1" s="1"/>
  <c r="G1900" i="1" a="1"/>
  <c r="G1900" i="1" s="1"/>
  <c r="F1900" i="1" a="1"/>
  <c r="F1900" i="1" s="1"/>
  <c r="I1898" i="1" a="1"/>
  <c r="I1898" i="1" s="1"/>
  <c r="H1898" i="1" a="1"/>
  <c r="H1898" i="1" s="1"/>
  <c r="G1898" i="1" a="1"/>
  <c r="G1898" i="1" s="1"/>
  <c r="F1898" i="1" a="1"/>
  <c r="F1898" i="1" s="1"/>
  <c r="I1896" i="1" a="1"/>
  <c r="I1896" i="1" s="1"/>
  <c r="H1896" i="1" a="1"/>
  <c r="H1896" i="1" s="1"/>
  <c r="G1896" i="1" a="1"/>
  <c r="G1896" i="1" s="1"/>
  <c r="F1896" i="1" a="1"/>
  <c r="F1896" i="1" s="1"/>
  <c r="I1894" i="1" a="1"/>
  <c r="I1894" i="1" s="1"/>
  <c r="H1894" i="1" a="1"/>
  <c r="H1894" i="1" s="1"/>
  <c r="G1894" i="1" a="1"/>
  <c r="G1894" i="1" s="1"/>
  <c r="F1894" i="1" a="1"/>
  <c r="F1894" i="1" s="1"/>
  <c r="I1893" i="1" a="1"/>
  <c r="I1893" i="1" s="1"/>
  <c r="H1893" i="1" a="1"/>
  <c r="H1893" i="1" s="1"/>
  <c r="G1893" i="1" a="1"/>
  <c r="G1893" i="1" s="1"/>
  <c r="F1893" i="1" a="1"/>
  <c r="F1893" i="1" s="1"/>
  <c r="I1892" i="1" a="1"/>
  <c r="I1892" i="1" s="1"/>
  <c r="H1892" i="1" a="1"/>
  <c r="H1892" i="1" s="1"/>
  <c r="G1892" i="1" a="1"/>
  <c r="G1892" i="1" s="1"/>
  <c r="F1892" i="1" a="1"/>
  <c r="F1892" i="1" s="1"/>
  <c r="I1890" i="1" a="1"/>
  <c r="I1890" i="1" s="1"/>
  <c r="H1890" i="1" a="1"/>
  <c r="H1890" i="1" s="1"/>
  <c r="G1890" i="1" a="1"/>
  <c r="G1890" i="1" s="1"/>
  <c r="F1890" i="1" a="1"/>
  <c r="F1890" i="1" s="1"/>
  <c r="I1888" i="1" a="1"/>
  <c r="I1888" i="1" s="1"/>
  <c r="H1888" i="1" a="1"/>
  <c r="H1888" i="1" s="1"/>
  <c r="G1888" i="1" a="1"/>
  <c r="G1888" i="1" s="1"/>
  <c r="F1888" i="1" a="1"/>
  <c r="F1888" i="1" s="1"/>
  <c r="I1887" i="1" a="1"/>
  <c r="I1887" i="1" s="1"/>
  <c r="H1887" i="1" a="1"/>
  <c r="H1887" i="1" s="1"/>
  <c r="G1887" i="1" a="1"/>
  <c r="G1887" i="1" s="1"/>
  <c r="F1887" i="1" a="1"/>
  <c r="F1887" i="1" s="1"/>
  <c r="I1884" i="1" a="1"/>
  <c r="I1884" i="1" s="1"/>
  <c r="H1884" i="1" a="1"/>
  <c r="H1884" i="1" s="1"/>
  <c r="G1884" i="1" a="1"/>
  <c r="G1884" i="1" s="1"/>
  <c r="F1884" i="1" a="1"/>
  <c r="F1884" i="1" s="1"/>
  <c r="I1882" i="1" a="1"/>
  <c r="I1882" i="1" s="1"/>
  <c r="H1882" i="1" a="1"/>
  <c r="H1882" i="1" s="1"/>
  <c r="G1882" i="1" a="1"/>
  <c r="G1882" i="1" s="1"/>
  <c r="F1882" i="1" a="1"/>
  <c r="F1882" i="1" s="1"/>
  <c r="I1880" i="1" a="1"/>
  <c r="I1880" i="1" s="1"/>
  <c r="H1880" i="1" a="1"/>
  <c r="H1880" i="1" s="1"/>
  <c r="G1880" i="1" a="1"/>
  <c r="G1880" i="1" s="1"/>
  <c r="F1880" i="1" a="1"/>
  <c r="F1880" i="1" s="1"/>
  <c r="I1878" i="1" a="1"/>
  <c r="I1878" i="1" s="1"/>
  <c r="H1878" i="1" a="1"/>
  <c r="H1878" i="1" s="1"/>
  <c r="G1878" i="1" a="1"/>
  <c r="G1878" i="1" s="1"/>
  <c r="F1878" i="1" a="1"/>
  <c r="F1878" i="1" s="1"/>
  <c r="I1876" i="1" a="1"/>
  <c r="I1876" i="1" s="1"/>
  <c r="H1876" i="1" a="1"/>
  <c r="H1876" i="1" s="1"/>
  <c r="G1876" i="1" a="1"/>
  <c r="G1876" i="1" s="1"/>
  <c r="F1876" i="1" a="1"/>
  <c r="F1876" i="1" s="1"/>
  <c r="I1874" i="1" a="1"/>
  <c r="I1874" i="1" s="1"/>
  <c r="H1874" i="1" a="1"/>
  <c r="H1874" i="1" s="1"/>
  <c r="G1874" i="1" a="1"/>
  <c r="G1874" i="1" s="1"/>
  <c r="F1874" i="1" a="1"/>
  <c r="F1874" i="1" s="1"/>
  <c r="I1872" i="1" a="1"/>
  <c r="I1872" i="1" s="1"/>
  <c r="H1872" i="1" a="1"/>
  <c r="H1872" i="1" s="1"/>
  <c r="G1872" i="1" a="1"/>
  <c r="G1872" i="1" s="1"/>
  <c r="F1872" i="1" a="1"/>
  <c r="F1872" i="1" s="1"/>
  <c r="I1871" i="1" a="1"/>
  <c r="I1871" i="1" s="1"/>
  <c r="H1871" i="1" a="1"/>
  <c r="H1871" i="1" s="1"/>
  <c r="G1871" i="1" a="1"/>
  <c r="G1871" i="1" s="1"/>
  <c r="F1871" i="1" a="1"/>
  <c r="F1871" i="1" s="1"/>
  <c r="I1870" i="1" a="1"/>
  <c r="I1870" i="1" s="1"/>
  <c r="H1870" i="1" a="1"/>
  <c r="H1870" i="1" s="1"/>
  <c r="G1870" i="1" a="1"/>
  <c r="G1870" i="1" s="1"/>
  <c r="F1870" i="1" a="1"/>
  <c r="F1870" i="1" s="1"/>
  <c r="I1868" i="1" a="1"/>
  <c r="I1868" i="1" s="1"/>
  <c r="H1868" i="1" a="1"/>
  <c r="H1868" i="1" s="1"/>
  <c r="G1868" i="1" a="1"/>
  <c r="G1868" i="1" s="1"/>
  <c r="F1868" i="1" a="1"/>
  <c r="F1868" i="1" s="1"/>
  <c r="I1867" i="1" a="1"/>
  <c r="I1867" i="1" s="1"/>
  <c r="H1867" i="1" a="1"/>
  <c r="H1867" i="1" s="1"/>
  <c r="G1867" i="1" a="1"/>
  <c r="G1867" i="1" s="1"/>
  <c r="F1867" i="1" a="1"/>
  <c r="F1867" i="1" s="1"/>
  <c r="I1865" i="1" a="1"/>
  <c r="I1865" i="1" s="1"/>
  <c r="H1865" i="1" a="1"/>
  <c r="H1865" i="1" s="1"/>
  <c r="G1865" i="1" a="1"/>
  <c r="G1865" i="1" s="1"/>
  <c r="F1865" i="1" a="1"/>
  <c r="F1865" i="1" s="1"/>
  <c r="I1864" i="1" a="1"/>
  <c r="I1864" i="1" s="1"/>
  <c r="H1864" i="1" a="1"/>
  <c r="H1864" i="1" s="1"/>
  <c r="G1864" i="1" a="1"/>
  <c r="G1864" i="1" s="1"/>
  <c r="F1864" i="1" a="1"/>
  <c r="F1864" i="1" s="1"/>
  <c r="I1861" i="1" a="1"/>
  <c r="I1861" i="1" s="1"/>
  <c r="H1861" i="1" a="1"/>
  <c r="H1861" i="1" s="1"/>
  <c r="G1861" i="1" a="1"/>
  <c r="G1861" i="1" s="1"/>
  <c r="F1861" i="1" a="1"/>
  <c r="F1861" i="1" s="1"/>
  <c r="I1859" i="1" a="1"/>
  <c r="I1859" i="1" s="1"/>
  <c r="H1859" i="1" a="1"/>
  <c r="H1859" i="1" s="1"/>
  <c r="G1859" i="1" a="1"/>
  <c r="G1859" i="1" s="1"/>
  <c r="F1859" i="1" a="1"/>
  <c r="F1859" i="1" s="1"/>
  <c r="I1857" i="1" a="1"/>
  <c r="I1857" i="1" s="1"/>
  <c r="H1857" i="1" a="1"/>
  <c r="H1857" i="1" s="1"/>
  <c r="G1857" i="1" a="1"/>
  <c r="G1857" i="1" s="1"/>
  <c r="F1857" i="1" a="1"/>
  <c r="F1857" i="1" s="1"/>
  <c r="I1855" i="1" a="1"/>
  <c r="I1855" i="1" s="1"/>
  <c r="H1855" i="1" a="1"/>
  <c r="H1855" i="1" s="1"/>
  <c r="G1855" i="1" a="1"/>
  <c r="G1855" i="1" s="1"/>
  <c r="F1855" i="1" a="1"/>
  <c r="F1855" i="1" s="1"/>
  <c r="I1853" i="1" a="1"/>
  <c r="I1853" i="1" s="1"/>
  <c r="H1853" i="1" a="1"/>
  <c r="H1853" i="1" s="1"/>
  <c r="G1853" i="1" a="1"/>
  <c r="G1853" i="1" s="1"/>
  <c r="F1853" i="1" a="1"/>
  <c r="F1853" i="1" s="1"/>
  <c r="I1851" i="1" a="1"/>
  <c r="I1851" i="1" s="1"/>
  <c r="H1851" i="1" a="1"/>
  <c r="H1851" i="1" s="1"/>
  <c r="G1851" i="1" a="1"/>
  <c r="G1851" i="1" s="1"/>
  <c r="F1851" i="1" a="1"/>
  <c r="F1851" i="1" s="1"/>
  <c r="I1850" i="1" a="1"/>
  <c r="I1850" i="1" s="1"/>
  <c r="H1850" i="1" a="1"/>
  <c r="H1850" i="1" s="1"/>
  <c r="G1850" i="1" a="1"/>
  <c r="G1850" i="1" s="1"/>
  <c r="F1850" i="1" a="1"/>
  <c r="F1850" i="1" s="1"/>
  <c r="I1848" i="1" a="1"/>
  <c r="I1848" i="1" s="1"/>
  <c r="H1848" i="1" a="1"/>
  <c r="H1848" i="1" s="1"/>
  <c r="G1848" i="1" a="1"/>
  <c r="G1848" i="1" s="1"/>
  <c r="F1848" i="1" a="1"/>
  <c r="F1848" i="1" s="1"/>
  <c r="I1846" i="1" a="1"/>
  <c r="I1846" i="1" s="1"/>
  <c r="H1846" i="1" a="1"/>
  <c r="H1846" i="1" s="1"/>
  <c r="G1846" i="1" a="1"/>
  <c r="G1846" i="1" s="1"/>
  <c r="F1846" i="1" a="1"/>
  <c r="F1846" i="1" s="1"/>
  <c r="I1845" i="1" a="1"/>
  <c r="I1845" i="1" s="1"/>
  <c r="H1845" i="1" a="1"/>
  <c r="H1845" i="1" s="1"/>
  <c r="G1845" i="1" a="1"/>
  <c r="G1845" i="1" s="1"/>
  <c r="F1845" i="1" a="1"/>
  <c r="F1845" i="1" s="1"/>
  <c r="I1842" i="1" a="1"/>
  <c r="I1842" i="1" s="1"/>
  <c r="H1842" i="1" a="1"/>
  <c r="H1842" i="1" s="1"/>
  <c r="G1842" i="1" a="1"/>
  <c r="G1842" i="1" s="1"/>
  <c r="F1842" i="1" a="1"/>
  <c r="F1842" i="1" s="1"/>
  <c r="I1840" i="1" a="1"/>
  <c r="I1840" i="1" s="1"/>
  <c r="H1840" i="1" a="1"/>
  <c r="H1840" i="1" s="1"/>
  <c r="G1840" i="1" a="1"/>
  <c r="G1840" i="1" s="1"/>
  <c r="F1840" i="1" a="1"/>
  <c r="F1840" i="1" s="1"/>
  <c r="I1838" i="1" a="1"/>
  <c r="I1838" i="1" s="1"/>
  <c r="H1838" i="1" a="1"/>
  <c r="H1838" i="1" s="1"/>
  <c r="G1838" i="1" a="1"/>
  <c r="G1838" i="1" s="1"/>
  <c r="F1838" i="1" a="1"/>
  <c r="F1838" i="1" s="1"/>
  <c r="I1836" i="1" a="1"/>
  <c r="I1836" i="1" s="1"/>
  <c r="H1836" i="1" a="1"/>
  <c r="H1836" i="1" s="1"/>
  <c r="G1836" i="1" a="1"/>
  <c r="G1836" i="1" s="1"/>
  <c r="F1836" i="1" a="1"/>
  <c r="F1836" i="1" s="1"/>
  <c r="I1834" i="1" a="1"/>
  <c r="I1834" i="1" s="1"/>
  <c r="H1834" i="1" a="1"/>
  <c r="H1834" i="1" s="1"/>
  <c r="G1834" i="1" a="1"/>
  <c r="G1834" i="1" s="1"/>
  <c r="F1834" i="1" a="1"/>
  <c r="F1834" i="1" s="1"/>
  <c r="I1832" i="1" a="1"/>
  <c r="I1832" i="1" s="1"/>
  <c r="H1832" i="1" a="1"/>
  <c r="H1832" i="1" s="1"/>
  <c r="G1832" i="1" a="1"/>
  <c r="G1832" i="1" s="1"/>
  <c r="F1832" i="1" a="1"/>
  <c r="F1832" i="1" s="1"/>
  <c r="I1831" i="1" a="1"/>
  <c r="I1831" i="1" s="1"/>
  <c r="H1831" i="1" a="1"/>
  <c r="H1831" i="1" s="1"/>
  <c r="G1831" i="1" a="1"/>
  <c r="G1831" i="1" s="1"/>
  <c r="F1831" i="1" a="1"/>
  <c r="F1831" i="1" s="1"/>
  <c r="I1829" i="1" a="1"/>
  <c r="I1829" i="1" s="1"/>
  <c r="H1829" i="1" a="1"/>
  <c r="H1829" i="1" s="1"/>
  <c r="G1829" i="1" a="1"/>
  <c r="G1829" i="1" s="1"/>
  <c r="F1829" i="1" a="1"/>
  <c r="F1829" i="1" s="1"/>
  <c r="I1827" i="1" a="1"/>
  <c r="I1827" i="1" s="1"/>
  <c r="H1827" i="1" a="1"/>
  <c r="H1827" i="1" s="1"/>
  <c r="G1827" i="1" a="1"/>
  <c r="G1827" i="1" s="1"/>
  <c r="F1827" i="1" a="1"/>
  <c r="F1827" i="1" s="1"/>
  <c r="I1826" i="1" a="1"/>
  <c r="I1826" i="1" s="1"/>
  <c r="H1826" i="1" a="1"/>
  <c r="H1826" i="1" s="1"/>
  <c r="G1826" i="1" a="1"/>
  <c r="G1826" i="1" s="1"/>
  <c r="F1826" i="1" a="1"/>
  <c r="F1826" i="1" s="1"/>
  <c r="I1822" i="1"/>
  <c r="H1822" i="1"/>
  <c r="G1822" i="1"/>
  <c r="F1822" i="1"/>
  <c r="I1821" i="1"/>
  <c r="H1821" i="1"/>
  <c r="G1821" i="1"/>
  <c r="F1821" i="1"/>
  <c r="I1820" i="1"/>
  <c r="H1820" i="1"/>
  <c r="G1820" i="1"/>
  <c r="F1820" i="1"/>
  <c r="I1819" i="1"/>
  <c r="H1819" i="1"/>
  <c r="G1819" i="1"/>
  <c r="F1819" i="1"/>
  <c r="I1818" i="1"/>
  <c r="H1818" i="1"/>
  <c r="G1818" i="1"/>
  <c r="F1818" i="1"/>
  <c r="I1817" i="1"/>
  <c r="H1817" i="1"/>
  <c r="G1817" i="1"/>
  <c r="F1817" i="1"/>
  <c r="I1816" i="1"/>
  <c r="H1816" i="1"/>
  <c r="G1816" i="1"/>
  <c r="F1816" i="1"/>
  <c r="I1814" i="1"/>
  <c r="H1814" i="1"/>
  <c r="G1814" i="1"/>
  <c r="F1814" i="1"/>
  <c r="I1813" i="1"/>
  <c r="H1813" i="1"/>
  <c r="G1813" i="1"/>
  <c r="F1813" i="1"/>
  <c r="I1812" i="1"/>
  <c r="H1812" i="1"/>
  <c r="G1812" i="1"/>
  <c r="F1812" i="1"/>
  <c r="I1809" i="1"/>
  <c r="H1809" i="1"/>
  <c r="G1809" i="1"/>
  <c r="F1809" i="1"/>
  <c r="I1808" i="1"/>
  <c r="H1808" i="1"/>
  <c r="G1808" i="1"/>
  <c r="F1808" i="1"/>
  <c r="I1807" i="1"/>
  <c r="H1807" i="1"/>
  <c r="G1807" i="1"/>
  <c r="F1807" i="1"/>
  <c r="I1806" i="1"/>
  <c r="H1806" i="1"/>
  <c r="G1806" i="1"/>
  <c r="F1806" i="1"/>
  <c r="I1805" i="1"/>
  <c r="H1805" i="1"/>
  <c r="G1805" i="1"/>
  <c r="F1805" i="1"/>
  <c r="I1804" i="1"/>
  <c r="H1804" i="1"/>
  <c r="G1804" i="1"/>
  <c r="F1804" i="1"/>
  <c r="I1802" i="1"/>
  <c r="H1802" i="1"/>
  <c r="G1802" i="1"/>
  <c r="F1802" i="1"/>
  <c r="I1800" i="1"/>
  <c r="H1800" i="1"/>
  <c r="G1800" i="1"/>
  <c r="F1800" i="1"/>
  <c r="I1799" i="1"/>
  <c r="H1799" i="1"/>
  <c r="G1799" i="1"/>
  <c r="F1799" i="1"/>
  <c r="I1798" i="1"/>
  <c r="H1798" i="1"/>
  <c r="G1798" i="1"/>
  <c r="F1798" i="1"/>
  <c r="I1797" i="1"/>
  <c r="H1797" i="1"/>
  <c r="G1797" i="1"/>
  <c r="F1797" i="1"/>
  <c r="I1796" i="1"/>
  <c r="H1796" i="1"/>
  <c r="G1796" i="1"/>
  <c r="F1796" i="1"/>
  <c r="I1795" i="1"/>
  <c r="H1795" i="1"/>
  <c r="G1795" i="1"/>
  <c r="F1795" i="1"/>
  <c r="I1794" i="1"/>
  <c r="H1794" i="1"/>
  <c r="G1794" i="1"/>
  <c r="F1794" i="1"/>
  <c r="I1792" i="1"/>
  <c r="H1792" i="1"/>
  <c r="G1792" i="1"/>
  <c r="F1792" i="1"/>
  <c r="I1791" i="1"/>
  <c r="H1791" i="1"/>
  <c r="G1791" i="1"/>
  <c r="F1791" i="1"/>
  <c r="I1790" i="1"/>
  <c r="H1790" i="1"/>
  <c r="G1790" i="1"/>
  <c r="F1790" i="1"/>
  <c r="I1789" i="1"/>
  <c r="H1789" i="1"/>
  <c r="G1789" i="1"/>
  <c r="F1789" i="1"/>
  <c r="I1788" i="1"/>
  <c r="H1788" i="1"/>
  <c r="G1788" i="1"/>
  <c r="F1788" i="1"/>
  <c r="I1787" i="1"/>
  <c r="H1787" i="1"/>
  <c r="G1787" i="1"/>
  <c r="F1787" i="1"/>
  <c r="I1785" i="1"/>
  <c r="H1785" i="1"/>
  <c r="G1785" i="1"/>
  <c r="F1785" i="1"/>
  <c r="I1784" i="1"/>
  <c r="H1784" i="1"/>
  <c r="G1784" i="1"/>
  <c r="F1784" i="1"/>
  <c r="I1783" i="1"/>
  <c r="H1783" i="1"/>
  <c r="G1783" i="1"/>
  <c r="F1783" i="1"/>
  <c r="I1782" i="1"/>
  <c r="H1782" i="1"/>
  <c r="G1782" i="1"/>
  <c r="F1782" i="1"/>
  <c r="I1781" i="1"/>
  <c r="H1781" i="1"/>
  <c r="G1781" i="1"/>
  <c r="F1781" i="1"/>
  <c r="I1780" i="1"/>
  <c r="H1780" i="1"/>
  <c r="G1780" i="1"/>
  <c r="F1780" i="1"/>
  <c r="I1779" i="1"/>
  <c r="H1779" i="1"/>
  <c r="G1779" i="1"/>
  <c r="F1779" i="1"/>
  <c r="I1778" i="1"/>
  <c r="H1778" i="1"/>
  <c r="G1778" i="1"/>
  <c r="F1778" i="1"/>
  <c r="I1777" i="1"/>
  <c r="H1777" i="1"/>
  <c r="G1777" i="1"/>
  <c r="F1777" i="1"/>
  <c r="I1776" i="1"/>
  <c r="H1776" i="1"/>
  <c r="G1776" i="1"/>
  <c r="F1776" i="1"/>
  <c r="I1775" i="1"/>
  <c r="H1775" i="1"/>
  <c r="G1775" i="1"/>
  <c r="F1775" i="1"/>
  <c r="I1774" i="1"/>
  <c r="H1774" i="1"/>
  <c r="G1774" i="1"/>
  <c r="F1774" i="1"/>
  <c r="I1773" i="1"/>
  <c r="H1773" i="1"/>
  <c r="G1773" i="1"/>
  <c r="F1773" i="1"/>
  <c r="I1772" i="1"/>
  <c r="H1772" i="1"/>
  <c r="G1772" i="1"/>
  <c r="F1772" i="1"/>
  <c r="I1771" i="1"/>
  <c r="H1771" i="1"/>
  <c r="G1771" i="1"/>
  <c r="F1771" i="1"/>
  <c r="I1769" i="1"/>
  <c r="H1769" i="1"/>
  <c r="G1769" i="1"/>
  <c r="F1769" i="1"/>
  <c r="I1768" i="1"/>
  <c r="H1768" i="1"/>
  <c r="G1768" i="1"/>
  <c r="F1768" i="1"/>
  <c r="I1767" i="1"/>
  <c r="H1767" i="1"/>
  <c r="G1767" i="1"/>
  <c r="F1767" i="1"/>
  <c r="I1765" i="1"/>
  <c r="H1765" i="1"/>
  <c r="G1765" i="1"/>
  <c r="F1765" i="1"/>
  <c r="I1764" i="1"/>
  <c r="H1764" i="1"/>
  <c r="G1764" i="1"/>
  <c r="F1764" i="1"/>
  <c r="I1763" i="1"/>
  <c r="H1763" i="1"/>
  <c r="G1763" i="1"/>
  <c r="F1763" i="1"/>
  <c r="I1761" i="1"/>
  <c r="H1761" i="1"/>
  <c r="G1761" i="1"/>
  <c r="F1761" i="1"/>
  <c r="I1709" i="1" a="1"/>
  <c r="I1709" i="1" s="1"/>
  <c r="H1709" i="1" a="1"/>
  <c r="H1709" i="1" s="1"/>
  <c r="G1709" i="1" a="1"/>
  <c r="G1709" i="1" s="1"/>
  <c r="F1709" i="1" a="1"/>
  <c r="F1709" i="1" s="1"/>
  <c r="I1708" i="1" a="1"/>
  <c r="I1708" i="1" s="1"/>
  <c r="H1708" i="1" a="1"/>
  <c r="H1708" i="1" s="1"/>
  <c r="G1708" i="1" a="1"/>
  <c r="G1708" i="1" s="1"/>
  <c r="F1708" i="1" a="1"/>
  <c r="F1708" i="1" s="1"/>
  <c r="I1701" i="1"/>
  <c r="H1701" i="1"/>
  <c r="G1701" i="1"/>
  <c r="F1701" i="1"/>
  <c r="I1700" i="1"/>
  <c r="H1700" i="1"/>
  <c r="G1700" i="1"/>
  <c r="F1700" i="1"/>
  <c r="I1699" i="1"/>
  <c r="H1699" i="1"/>
  <c r="G1699" i="1"/>
  <c r="F1699" i="1"/>
  <c r="I1698" i="1"/>
  <c r="H1698" i="1"/>
  <c r="G1698" i="1"/>
  <c r="F1698" i="1"/>
  <c r="I1697" i="1"/>
  <c r="H1697" i="1"/>
  <c r="G1697" i="1"/>
  <c r="F1697" i="1"/>
  <c r="I1696" i="1"/>
  <c r="H1696" i="1"/>
  <c r="G1696" i="1"/>
  <c r="F1696" i="1"/>
  <c r="I1695" i="1"/>
  <c r="H1695" i="1"/>
  <c r="G1695" i="1"/>
  <c r="F1695" i="1"/>
  <c r="I1694" i="1"/>
  <c r="H1694" i="1"/>
  <c r="G1694" i="1"/>
  <c r="F1694" i="1"/>
  <c r="I1693" i="1" a="1"/>
  <c r="I1693" i="1" s="1"/>
  <c r="H1693" i="1" a="1"/>
  <c r="H1693" i="1" s="1"/>
  <c r="G1693" i="1" a="1"/>
  <c r="G1693" i="1" s="1"/>
  <c r="F1693" i="1" a="1"/>
  <c r="F1693" i="1" s="1"/>
  <c r="I1691" i="1"/>
  <c r="H1691" i="1"/>
  <c r="G1691" i="1"/>
  <c r="F1691" i="1"/>
  <c r="I1690" i="1"/>
  <c r="H1690" i="1"/>
  <c r="G1690" i="1"/>
  <c r="F1690" i="1"/>
  <c r="I1689" i="1"/>
  <c r="H1689" i="1"/>
  <c r="G1689" i="1"/>
  <c r="F1689" i="1"/>
  <c r="I1676" i="1" a="1"/>
  <c r="I1676" i="1" s="1"/>
  <c r="H1676" i="1" a="1"/>
  <c r="H1676" i="1" s="1"/>
  <c r="G1676" i="1" a="1"/>
  <c r="G1676" i="1" s="1"/>
  <c r="F1676" i="1" a="1"/>
  <c r="F1676" i="1" s="1"/>
  <c r="I1675" i="1" a="1"/>
  <c r="I1675" i="1" s="1"/>
  <c r="H1675" i="1" a="1"/>
  <c r="H1675" i="1" s="1"/>
  <c r="G1675" i="1" a="1"/>
  <c r="G1675" i="1" s="1"/>
  <c r="F1675" i="1" a="1"/>
  <c r="F1675" i="1" s="1"/>
  <c r="I1674" i="1" a="1"/>
  <c r="I1674" i="1" s="1"/>
  <c r="H1674" i="1" a="1"/>
  <c r="H1674" i="1" s="1"/>
  <c r="G1674" i="1" a="1"/>
  <c r="G1674" i="1" s="1"/>
  <c r="F1674" i="1" a="1"/>
  <c r="F1674" i="1" s="1"/>
  <c r="I1673" i="1" a="1"/>
  <c r="I1673" i="1" s="1"/>
  <c r="H1673" i="1" a="1"/>
  <c r="H1673" i="1" s="1"/>
  <c r="G1673" i="1" a="1"/>
  <c r="G1673" i="1" s="1"/>
  <c r="F1673" i="1" a="1"/>
  <c r="F1673" i="1" s="1"/>
  <c r="I1672" i="1" a="1"/>
  <c r="I1672" i="1" s="1"/>
  <c r="H1672" i="1" a="1"/>
  <c r="H1672" i="1" s="1"/>
  <c r="G1672" i="1" a="1"/>
  <c r="G1672" i="1" s="1"/>
  <c r="F1672" i="1" a="1"/>
  <c r="F1672" i="1" s="1"/>
  <c r="I1671" i="1" a="1"/>
  <c r="I1671" i="1" s="1"/>
  <c r="H1671" i="1" a="1"/>
  <c r="H1671" i="1" s="1"/>
  <c r="G1671" i="1" a="1"/>
  <c r="G1671" i="1" s="1"/>
  <c r="F1671" i="1" a="1"/>
  <c r="F1671" i="1" s="1"/>
  <c r="I1670" i="1" a="1"/>
  <c r="I1670" i="1" s="1"/>
  <c r="H1670" i="1" a="1"/>
  <c r="H1670" i="1" s="1"/>
  <c r="G1670" i="1" a="1"/>
  <c r="G1670" i="1" s="1"/>
  <c r="F1670" i="1" a="1"/>
  <c r="F1670" i="1" s="1"/>
  <c r="I1669" i="1" a="1"/>
  <c r="I1669" i="1" s="1"/>
  <c r="H1669" i="1" a="1"/>
  <c r="H1669" i="1" s="1"/>
  <c r="G1669" i="1" a="1"/>
  <c r="G1669" i="1" s="1"/>
  <c r="F1669" i="1" a="1"/>
  <c r="F1669" i="1" s="1"/>
  <c r="I1668" i="1" a="1"/>
  <c r="I1668" i="1" s="1"/>
  <c r="H1668" i="1" a="1"/>
  <c r="H1668" i="1" s="1"/>
  <c r="G1668" i="1" a="1"/>
  <c r="G1668" i="1" s="1"/>
  <c r="F1668" i="1" a="1"/>
  <c r="F1668" i="1" s="1"/>
  <c r="I1667" i="1" a="1"/>
  <c r="I1667" i="1" s="1"/>
  <c r="H1667" i="1" a="1"/>
  <c r="H1667" i="1" s="1"/>
  <c r="G1667" i="1" a="1"/>
  <c r="G1667" i="1" s="1"/>
  <c r="F1667" i="1" a="1"/>
  <c r="F1667" i="1" s="1"/>
  <c r="I1663" i="1"/>
  <c r="H1663" i="1"/>
  <c r="G1663" i="1"/>
  <c r="F1663" i="1"/>
  <c r="I1662" i="1" a="1"/>
  <c r="I1662" i="1" s="1"/>
  <c r="H1662" i="1" a="1"/>
  <c r="H1662" i="1" s="1"/>
  <c r="G1662" i="1" a="1"/>
  <c r="G1662" i="1" s="1"/>
  <c r="F1662" i="1" a="1"/>
  <c r="F1662" i="1" s="1"/>
  <c r="I1661" i="1" a="1"/>
  <c r="I1661" i="1" s="1"/>
  <c r="H1661" i="1" a="1"/>
  <c r="H1661" i="1" s="1"/>
  <c r="G1661" i="1" a="1"/>
  <c r="G1661" i="1" s="1"/>
  <c r="F1661" i="1" a="1"/>
  <c r="F1661" i="1" s="1"/>
  <c r="I1660" i="1" a="1"/>
  <c r="I1660" i="1" s="1"/>
  <c r="H1660" i="1" a="1"/>
  <c r="H1660" i="1" s="1"/>
  <c r="G1660" i="1" a="1"/>
  <c r="G1660" i="1" s="1"/>
  <c r="F1660" i="1" a="1"/>
  <c r="F1660" i="1" s="1"/>
  <c r="I1655" i="1"/>
  <c r="H1655" i="1"/>
  <c r="G1655" i="1"/>
  <c r="F1655" i="1"/>
  <c r="I1654" i="1" a="1"/>
  <c r="I1654" i="1" s="1"/>
  <c r="H1654" i="1" a="1"/>
  <c r="H1654" i="1" s="1"/>
  <c r="G1654" i="1" a="1"/>
  <c r="G1654" i="1" s="1"/>
  <c r="F1654" i="1" a="1"/>
  <c r="F1654" i="1" s="1"/>
  <c r="I1648" i="1" a="1"/>
  <c r="I1648" i="1" s="1"/>
  <c r="H1648" i="1" a="1"/>
  <c r="H1648" i="1" s="1"/>
  <c r="G1648" i="1" a="1"/>
  <c r="G1648" i="1" s="1"/>
  <c r="F1648" i="1" a="1"/>
  <c r="F1648" i="1" s="1"/>
  <c r="I1647" i="1" a="1"/>
  <c r="I1647" i="1" s="1"/>
  <c r="H1647" i="1" a="1"/>
  <c r="H1647" i="1" s="1"/>
  <c r="G1647" i="1" a="1"/>
  <c r="G1647" i="1" s="1"/>
  <c r="F1647" i="1" a="1"/>
  <c r="F1647" i="1" s="1"/>
  <c r="I1646" i="1" a="1"/>
  <c r="I1646" i="1" s="1"/>
  <c r="H1646" i="1" a="1"/>
  <c r="H1646" i="1" s="1"/>
  <c r="G1646" i="1" a="1"/>
  <c r="G1646" i="1" s="1"/>
  <c r="F1646" i="1" a="1"/>
  <c r="F1646" i="1" s="1"/>
  <c r="I1644" i="1" a="1"/>
  <c r="I1644" i="1" s="1"/>
  <c r="H1644" i="1" a="1"/>
  <c r="H1644" i="1" s="1"/>
  <c r="G1644" i="1" a="1"/>
  <c r="G1644" i="1" s="1"/>
  <c r="F1644" i="1" a="1"/>
  <c r="F1644" i="1" s="1"/>
  <c r="I1643" i="1" a="1"/>
  <c r="I1643" i="1" s="1"/>
  <c r="H1643" i="1" a="1"/>
  <c r="H1643" i="1" s="1"/>
  <c r="G1643" i="1" a="1"/>
  <c r="G1643" i="1" s="1"/>
  <c r="F1643" i="1" a="1"/>
  <c r="F1643" i="1" s="1"/>
  <c r="I1642" i="1" a="1"/>
  <c r="I1642" i="1" s="1"/>
  <c r="H1642" i="1" a="1"/>
  <c r="H1642" i="1" s="1"/>
  <c r="G1642" i="1" a="1"/>
  <c r="G1642" i="1" s="1"/>
  <c r="F1642" i="1" a="1"/>
  <c r="F1642" i="1" s="1"/>
  <c r="I1629" i="1" a="1"/>
  <c r="I1629" i="1" s="1"/>
  <c r="H1629" i="1" a="1"/>
  <c r="H1629" i="1" s="1"/>
  <c r="G1629" i="1" a="1"/>
  <c r="G1629" i="1" s="1"/>
  <c r="F1629" i="1" a="1"/>
  <c r="F1629" i="1" s="1"/>
  <c r="I1628" i="1" a="1"/>
  <c r="I1628" i="1" s="1"/>
  <c r="H1628" i="1" a="1"/>
  <c r="H1628" i="1" s="1"/>
  <c r="G1628" i="1" a="1"/>
  <c r="G1628" i="1" s="1"/>
  <c r="F1628" i="1" a="1"/>
  <c r="F1628" i="1" s="1"/>
  <c r="I1627" i="1" a="1"/>
  <c r="I1627" i="1" s="1"/>
  <c r="H1627" i="1" a="1"/>
  <c r="H1627" i="1" s="1"/>
  <c r="G1627" i="1" a="1"/>
  <c r="G1627" i="1" s="1"/>
  <c r="F1627" i="1" a="1"/>
  <c r="F1627" i="1" s="1"/>
  <c r="I1626" i="1" a="1"/>
  <c r="I1626" i="1" s="1"/>
  <c r="H1626" i="1" a="1"/>
  <c r="H1626" i="1" s="1"/>
  <c r="G1626" i="1" a="1"/>
  <c r="G1626" i="1" s="1"/>
  <c r="F1626" i="1" a="1"/>
  <c r="F1626" i="1" s="1"/>
  <c r="I1625" i="1" a="1"/>
  <c r="I1625" i="1" s="1"/>
  <c r="H1625" i="1" a="1"/>
  <c r="H1625" i="1" s="1"/>
  <c r="G1625" i="1" a="1"/>
  <c r="G1625" i="1" s="1"/>
  <c r="F1625" i="1" a="1"/>
  <c r="F1625" i="1" s="1"/>
  <c r="I1624" i="1" a="1"/>
  <c r="I1624" i="1" s="1"/>
  <c r="H1624" i="1" a="1"/>
  <c r="H1624" i="1" s="1"/>
  <c r="G1624" i="1" a="1"/>
  <c r="G1624" i="1" s="1"/>
  <c r="F1624" i="1" a="1"/>
  <c r="F1624" i="1" s="1"/>
  <c r="I1623" i="1" a="1"/>
  <c r="I1623" i="1" s="1"/>
  <c r="H1623" i="1" a="1"/>
  <c r="H1623" i="1" s="1"/>
  <c r="G1623" i="1" a="1"/>
  <c r="G1623" i="1" s="1"/>
  <c r="F1623" i="1" a="1"/>
  <c r="F1623" i="1" s="1"/>
  <c r="I1622" i="1" a="1"/>
  <c r="I1622" i="1" s="1"/>
  <c r="H1622" i="1" a="1"/>
  <c r="H1622" i="1" s="1"/>
  <c r="G1622" i="1" a="1"/>
  <c r="G1622" i="1" s="1"/>
  <c r="F1622" i="1" a="1"/>
  <c r="F1622" i="1" s="1"/>
  <c r="I1621" i="1" a="1"/>
  <c r="I1621" i="1" s="1"/>
  <c r="H1621" i="1" a="1"/>
  <c r="H1621" i="1" s="1"/>
  <c r="G1621" i="1" a="1"/>
  <c r="G1621" i="1" s="1"/>
  <c r="F1621" i="1" a="1"/>
  <c r="F1621" i="1" s="1"/>
  <c r="I1619" i="1" a="1"/>
  <c r="I1619" i="1" s="1"/>
  <c r="H1619" i="1" a="1"/>
  <c r="H1619" i="1" s="1"/>
  <c r="G1619" i="1" a="1"/>
  <c r="G1619" i="1" s="1"/>
  <c r="F1619" i="1" a="1"/>
  <c r="F1619" i="1" s="1"/>
  <c r="I1613" i="1" a="1"/>
  <c r="I1613" i="1" s="1"/>
  <c r="H1613" i="1" a="1"/>
  <c r="H1613" i="1" s="1"/>
  <c r="G1613" i="1" a="1"/>
  <c r="G1613" i="1" s="1"/>
  <c r="F1613" i="1" a="1"/>
  <c r="F1613" i="1" s="1"/>
  <c r="I1612" i="1" a="1"/>
  <c r="I1612" i="1" s="1"/>
  <c r="H1612" i="1" a="1"/>
  <c r="H1612" i="1" s="1"/>
  <c r="G1612" i="1" a="1"/>
  <c r="G1612" i="1" s="1"/>
  <c r="F1612" i="1" a="1"/>
  <c r="F1612" i="1" s="1"/>
  <c r="I1611" i="1" a="1"/>
  <c r="I1611" i="1" s="1"/>
  <c r="H1611" i="1" a="1"/>
  <c r="H1611" i="1" s="1"/>
  <c r="G1611" i="1" a="1"/>
  <c r="G1611" i="1" s="1"/>
  <c r="F1611" i="1" a="1"/>
  <c r="F1611" i="1" s="1"/>
  <c r="I1605" i="1" a="1"/>
  <c r="I1605" i="1" s="1"/>
  <c r="H1605" i="1" a="1"/>
  <c r="H1605" i="1" s="1"/>
  <c r="G1605" i="1" a="1"/>
  <c r="G1605" i="1" s="1"/>
  <c r="F1605" i="1" a="1"/>
  <c r="F1605" i="1" s="1"/>
  <c r="I1604" i="1" a="1"/>
  <c r="I1604" i="1" s="1"/>
  <c r="H1604" i="1" a="1"/>
  <c r="H1604" i="1" s="1"/>
  <c r="G1604" i="1" a="1"/>
  <c r="G1604" i="1" s="1"/>
  <c r="F1604" i="1" a="1"/>
  <c r="F1604" i="1" s="1"/>
  <c r="I1598" i="1" a="1"/>
  <c r="I1598" i="1" s="1"/>
  <c r="H1598" i="1" a="1"/>
  <c r="H1598" i="1" s="1"/>
  <c r="G1598" i="1" a="1"/>
  <c r="G1598" i="1" s="1"/>
  <c r="F1598" i="1" a="1"/>
  <c r="F1598" i="1" s="1"/>
  <c r="I1596" i="1" a="1"/>
  <c r="I1596" i="1" s="1"/>
  <c r="H1596" i="1" a="1"/>
  <c r="H1596" i="1" s="1"/>
  <c r="G1596" i="1" a="1"/>
  <c r="G1596" i="1" s="1"/>
  <c r="F1596" i="1" a="1"/>
  <c r="F1596" i="1" s="1"/>
  <c r="I1595" i="1" a="1"/>
  <c r="I1595" i="1" s="1"/>
  <c r="H1595" i="1" a="1"/>
  <c r="H1595" i="1" s="1"/>
  <c r="G1595" i="1" a="1"/>
  <c r="G1595" i="1" s="1"/>
  <c r="F1595" i="1" a="1"/>
  <c r="F1595" i="1" s="1"/>
  <c r="I1582" i="1" a="1"/>
  <c r="I1582" i="1" s="1"/>
  <c r="H1582" i="1" a="1"/>
  <c r="H1582" i="1" s="1"/>
  <c r="G1582" i="1" a="1"/>
  <c r="G1582" i="1" s="1"/>
  <c r="F1582" i="1" a="1"/>
  <c r="F1582" i="1" s="1"/>
  <c r="I1581" i="1" a="1"/>
  <c r="I1581" i="1" s="1"/>
  <c r="H1581" i="1" a="1"/>
  <c r="H1581" i="1" s="1"/>
  <c r="G1581" i="1" a="1"/>
  <c r="G1581" i="1" s="1"/>
  <c r="F1581" i="1" a="1"/>
  <c r="F1581" i="1" s="1"/>
  <c r="I1580" i="1" a="1"/>
  <c r="I1580" i="1" s="1"/>
  <c r="H1580" i="1" a="1"/>
  <c r="H1580" i="1" s="1"/>
  <c r="G1580" i="1" a="1"/>
  <c r="G1580" i="1" s="1"/>
  <c r="F1580" i="1" a="1"/>
  <c r="F1580" i="1" s="1"/>
  <c r="I1579" i="1" a="1"/>
  <c r="I1579" i="1" s="1"/>
  <c r="H1579" i="1" a="1"/>
  <c r="H1579" i="1" s="1"/>
  <c r="G1579" i="1" a="1"/>
  <c r="G1579" i="1" s="1"/>
  <c r="F1579" i="1" a="1"/>
  <c r="F1579" i="1" s="1"/>
  <c r="I1578" i="1" a="1"/>
  <c r="I1578" i="1" s="1"/>
  <c r="H1578" i="1" a="1"/>
  <c r="H1578" i="1" s="1"/>
  <c r="G1578" i="1" a="1"/>
  <c r="G1578" i="1" s="1"/>
  <c r="F1578" i="1" a="1"/>
  <c r="F1578" i="1" s="1"/>
  <c r="I1577" i="1" a="1"/>
  <c r="I1577" i="1" s="1"/>
  <c r="H1577" i="1" a="1"/>
  <c r="H1577" i="1" s="1"/>
  <c r="G1577" i="1" a="1"/>
  <c r="G1577" i="1" s="1"/>
  <c r="F1577" i="1" a="1"/>
  <c r="F1577" i="1" s="1"/>
  <c r="I1576" i="1" a="1"/>
  <c r="I1576" i="1" s="1"/>
  <c r="H1576" i="1" a="1"/>
  <c r="H1576" i="1" s="1"/>
  <c r="G1576" i="1" a="1"/>
  <c r="G1576" i="1" s="1"/>
  <c r="F1576" i="1" a="1"/>
  <c r="F1576" i="1" s="1"/>
  <c r="I1575" i="1" a="1"/>
  <c r="I1575" i="1" s="1"/>
  <c r="H1575" i="1" a="1"/>
  <c r="H1575" i="1" s="1"/>
  <c r="G1575" i="1" a="1"/>
  <c r="G1575" i="1" s="1"/>
  <c r="F1575" i="1" a="1"/>
  <c r="F1575" i="1" s="1"/>
  <c r="I1574" i="1" a="1"/>
  <c r="I1574" i="1" s="1"/>
  <c r="H1574" i="1" a="1"/>
  <c r="H1574" i="1" s="1"/>
  <c r="G1574" i="1" a="1"/>
  <c r="G1574" i="1" s="1"/>
  <c r="F1574" i="1" a="1"/>
  <c r="F1574" i="1" s="1"/>
  <c r="I1572" i="1" a="1"/>
  <c r="I1572" i="1" s="1"/>
  <c r="H1572" i="1" a="1"/>
  <c r="H1572" i="1" s="1"/>
  <c r="G1572" i="1" a="1"/>
  <c r="G1572" i="1" s="1"/>
  <c r="F1572" i="1" a="1"/>
  <c r="F1572" i="1" s="1"/>
  <c r="I1566" i="1" a="1"/>
  <c r="I1566" i="1" s="1"/>
  <c r="H1566" i="1" a="1"/>
  <c r="H1566" i="1" s="1"/>
  <c r="G1566" i="1" a="1"/>
  <c r="G1566" i="1" s="1"/>
  <c r="F1566" i="1" a="1"/>
  <c r="F1566" i="1" s="1"/>
  <c r="I1565" i="1" a="1"/>
  <c r="I1565" i="1" s="1"/>
  <c r="H1565" i="1" a="1"/>
  <c r="H1565" i="1" s="1"/>
  <c r="G1565" i="1" a="1"/>
  <c r="G1565" i="1" s="1"/>
  <c r="F1565" i="1" a="1"/>
  <c r="F1565" i="1" s="1"/>
  <c r="I1564" i="1" a="1"/>
  <c r="I1564" i="1" s="1"/>
  <c r="H1564" i="1" a="1"/>
  <c r="H1564" i="1" s="1"/>
  <c r="G1564" i="1" a="1"/>
  <c r="G1564" i="1" s="1"/>
  <c r="F1564" i="1" a="1"/>
  <c r="F1564" i="1" s="1"/>
  <c r="I1558" i="1" a="1"/>
  <c r="I1558" i="1" s="1"/>
  <c r="H1558" i="1" a="1"/>
  <c r="H1558" i="1" s="1"/>
  <c r="G1558" i="1" a="1"/>
  <c r="G1558" i="1" s="1"/>
  <c r="F1558" i="1" a="1"/>
  <c r="F1558" i="1" s="1"/>
  <c r="I1557" i="1" a="1"/>
  <c r="I1557" i="1" s="1"/>
  <c r="H1557" i="1" a="1"/>
  <c r="H1557" i="1" s="1"/>
  <c r="G1557" i="1" a="1"/>
  <c r="G1557" i="1" s="1"/>
  <c r="F1557" i="1" a="1"/>
  <c r="F1557" i="1" s="1"/>
  <c r="I1551" i="1" a="1"/>
  <c r="I1551" i="1" s="1"/>
  <c r="H1551" i="1" a="1"/>
  <c r="H1551" i="1" s="1"/>
  <c r="G1551" i="1" a="1"/>
  <c r="G1551" i="1" s="1"/>
  <c r="F1551" i="1" a="1"/>
  <c r="F1551" i="1" s="1"/>
  <c r="I1549" i="1" a="1"/>
  <c r="I1549" i="1" s="1"/>
  <c r="H1549" i="1" a="1"/>
  <c r="H1549" i="1" s="1"/>
  <c r="G1549" i="1" a="1"/>
  <c r="G1549" i="1" s="1"/>
  <c r="F1549" i="1" a="1"/>
  <c r="F1549" i="1" s="1"/>
  <c r="I1548" i="1" a="1"/>
  <c r="I1548" i="1" s="1"/>
  <c r="H1548" i="1" a="1"/>
  <c r="H1548" i="1" s="1"/>
  <c r="G1548" i="1" a="1"/>
  <c r="G1548" i="1" s="1"/>
  <c r="F1548" i="1" a="1"/>
  <c r="F1548" i="1" s="1"/>
  <c r="I1531" i="1" a="1"/>
  <c r="I1531" i="1" s="1"/>
  <c r="H1531" i="1" a="1"/>
  <c r="H1531" i="1" s="1"/>
  <c r="G1531" i="1" a="1"/>
  <c r="G1531" i="1" s="1"/>
  <c r="F1531" i="1" a="1"/>
  <c r="F1531" i="1" s="1"/>
  <c r="I1530" i="1" a="1"/>
  <c r="I1530" i="1" s="1"/>
  <c r="H1530" i="1" a="1"/>
  <c r="H1530" i="1" s="1"/>
  <c r="G1530" i="1" a="1"/>
  <c r="G1530" i="1" s="1"/>
  <c r="F1530" i="1" a="1"/>
  <c r="F1530" i="1" s="1"/>
  <c r="I1529" i="1" a="1"/>
  <c r="I1529" i="1" s="1"/>
  <c r="H1529" i="1" a="1"/>
  <c r="H1529" i="1" s="1"/>
  <c r="G1529" i="1" a="1"/>
  <c r="G1529" i="1" s="1"/>
  <c r="F1529" i="1" a="1"/>
  <c r="F1529" i="1" s="1"/>
  <c r="I1528" i="1" a="1"/>
  <c r="I1528" i="1" s="1"/>
  <c r="H1528" i="1" a="1"/>
  <c r="H1528" i="1" s="1"/>
  <c r="G1528" i="1" a="1"/>
  <c r="G1528" i="1" s="1"/>
  <c r="F1528" i="1" a="1"/>
  <c r="F1528" i="1" s="1"/>
  <c r="I1527" i="1" a="1"/>
  <c r="I1527" i="1" s="1"/>
  <c r="H1527" i="1" a="1"/>
  <c r="H1527" i="1" s="1"/>
  <c r="G1527" i="1" a="1"/>
  <c r="G1527" i="1" s="1"/>
  <c r="F1527" i="1" a="1"/>
  <c r="F1527" i="1" s="1"/>
  <c r="I1526" i="1" a="1"/>
  <c r="I1526" i="1" s="1"/>
  <c r="H1526" i="1" a="1"/>
  <c r="H1526" i="1" s="1"/>
  <c r="G1526" i="1" a="1"/>
  <c r="G1526" i="1" s="1"/>
  <c r="F1526" i="1" a="1"/>
  <c r="F1526" i="1" s="1"/>
  <c r="I1525" i="1" a="1"/>
  <c r="I1525" i="1" s="1"/>
  <c r="H1525" i="1" a="1"/>
  <c r="H1525" i="1" s="1"/>
  <c r="G1525" i="1" a="1"/>
  <c r="G1525" i="1" s="1"/>
  <c r="F1525" i="1" a="1"/>
  <c r="F1525" i="1" s="1"/>
  <c r="I1524" i="1" a="1"/>
  <c r="I1524" i="1" s="1"/>
  <c r="H1524" i="1" a="1"/>
  <c r="H1524" i="1" s="1"/>
  <c r="G1524" i="1" a="1"/>
  <c r="G1524" i="1" s="1"/>
  <c r="F1524" i="1" a="1"/>
  <c r="F1524" i="1" s="1"/>
  <c r="I1523" i="1" a="1"/>
  <c r="I1523" i="1" s="1"/>
  <c r="H1523" i="1" a="1"/>
  <c r="H1523" i="1" s="1"/>
  <c r="G1523" i="1" a="1"/>
  <c r="G1523" i="1" s="1"/>
  <c r="F1523" i="1" a="1"/>
  <c r="F1523" i="1" s="1"/>
  <c r="I1522" i="1" a="1"/>
  <c r="I1522" i="1" s="1"/>
  <c r="H1522" i="1" a="1"/>
  <c r="H1522" i="1" s="1"/>
  <c r="G1522" i="1" a="1"/>
  <c r="G1522" i="1" s="1"/>
  <c r="F1522" i="1" a="1"/>
  <c r="F1522" i="1" s="1"/>
  <c r="I1521" i="1" a="1"/>
  <c r="I1521" i="1" s="1"/>
  <c r="H1521" i="1" a="1"/>
  <c r="H1521" i="1" s="1"/>
  <c r="G1521" i="1" a="1"/>
  <c r="G1521" i="1" s="1"/>
  <c r="F1521" i="1" a="1"/>
  <c r="F1521" i="1" s="1"/>
  <c r="I1520" i="1" a="1"/>
  <c r="I1520" i="1" s="1"/>
  <c r="H1520" i="1" a="1"/>
  <c r="H1520" i="1" s="1"/>
  <c r="G1520" i="1" a="1"/>
  <c r="G1520" i="1" s="1"/>
  <c r="F1520" i="1" a="1"/>
  <c r="F1520" i="1" s="1"/>
  <c r="I1519" i="1" a="1"/>
  <c r="I1519" i="1" s="1"/>
  <c r="H1519" i="1" a="1"/>
  <c r="H1519" i="1" s="1"/>
  <c r="G1519" i="1" a="1"/>
  <c r="G1519" i="1" s="1"/>
  <c r="F1519" i="1" a="1"/>
  <c r="F1519" i="1" s="1"/>
  <c r="I1517" i="1" a="1"/>
  <c r="I1517" i="1" s="1"/>
  <c r="H1517" i="1" a="1"/>
  <c r="H1517" i="1" s="1"/>
  <c r="G1517" i="1" a="1"/>
  <c r="G1517" i="1" s="1"/>
  <c r="F1517" i="1" a="1"/>
  <c r="F1517" i="1" s="1"/>
  <c r="I1516" i="1" a="1"/>
  <c r="I1516" i="1" s="1"/>
  <c r="H1516" i="1" a="1"/>
  <c r="H1516" i="1" s="1"/>
  <c r="G1516" i="1" a="1"/>
  <c r="G1516" i="1" s="1"/>
  <c r="F1516" i="1" a="1"/>
  <c r="F1516" i="1" s="1"/>
  <c r="I1515" i="1" a="1"/>
  <c r="I1515" i="1" s="1"/>
  <c r="H1515" i="1" a="1"/>
  <c r="H1515" i="1" s="1"/>
  <c r="G1515" i="1" a="1"/>
  <c r="G1515" i="1" s="1"/>
  <c r="F1515" i="1" a="1"/>
  <c r="F1515" i="1" s="1"/>
  <c r="I1514" i="1" a="1"/>
  <c r="I1514" i="1" s="1"/>
  <c r="H1514" i="1" a="1"/>
  <c r="H1514" i="1" s="1"/>
  <c r="G1514" i="1" a="1"/>
  <c r="G1514" i="1" s="1"/>
  <c r="F1514" i="1" a="1"/>
  <c r="F1514" i="1" s="1"/>
  <c r="I1513" i="1" a="1"/>
  <c r="I1513" i="1" s="1"/>
  <c r="H1513" i="1" a="1"/>
  <c r="H1513" i="1" s="1"/>
  <c r="G1513" i="1" a="1"/>
  <c r="G1513" i="1" s="1"/>
  <c r="F1513" i="1" a="1"/>
  <c r="F1513" i="1" s="1"/>
  <c r="I1507" i="1" a="1"/>
  <c r="I1507" i="1" s="1"/>
  <c r="H1507" i="1" a="1"/>
  <c r="H1507" i="1" s="1"/>
  <c r="G1507" i="1" a="1"/>
  <c r="G1507" i="1" s="1"/>
  <c r="F1507" i="1" a="1"/>
  <c r="F1507" i="1" s="1"/>
  <c r="I1506" i="1" a="1"/>
  <c r="I1506" i="1" s="1"/>
  <c r="H1506" i="1" a="1"/>
  <c r="H1506" i="1" s="1"/>
  <c r="G1506" i="1" a="1"/>
  <c r="G1506" i="1" s="1"/>
  <c r="F1506" i="1" a="1"/>
  <c r="F1506" i="1" s="1"/>
  <c r="I1505" i="1" a="1"/>
  <c r="I1505" i="1" s="1"/>
  <c r="H1505" i="1" a="1"/>
  <c r="H1505" i="1" s="1"/>
  <c r="G1505" i="1" a="1"/>
  <c r="G1505" i="1" s="1"/>
  <c r="F1505" i="1" a="1"/>
  <c r="F1505" i="1" s="1"/>
  <c r="I1504" i="1" a="1"/>
  <c r="I1504" i="1" s="1"/>
  <c r="H1504" i="1" a="1"/>
  <c r="H1504" i="1" s="1"/>
  <c r="G1504" i="1" a="1"/>
  <c r="G1504" i="1" s="1"/>
  <c r="F1504" i="1" a="1"/>
  <c r="F1504" i="1" s="1"/>
  <c r="I1502" i="1" a="1"/>
  <c r="I1502" i="1" s="1"/>
  <c r="H1502" i="1" a="1"/>
  <c r="H1502" i="1" s="1"/>
  <c r="G1502" i="1" a="1"/>
  <c r="G1502" i="1" s="1"/>
  <c r="F1502" i="1" a="1"/>
  <c r="F1502" i="1" s="1"/>
  <c r="I1501" i="1" a="1"/>
  <c r="I1501" i="1" s="1"/>
  <c r="H1501" i="1" a="1"/>
  <c r="H1501" i="1" s="1"/>
  <c r="G1501" i="1" a="1"/>
  <c r="G1501" i="1" s="1"/>
  <c r="F1501" i="1" a="1"/>
  <c r="F1501" i="1" s="1"/>
  <c r="I1500" i="1" a="1"/>
  <c r="I1500" i="1" s="1"/>
  <c r="H1500" i="1" a="1"/>
  <c r="H1500" i="1" s="1"/>
  <c r="G1500" i="1" a="1"/>
  <c r="G1500" i="1" s="1"/>
  <c r="F1500" i="1" a="1"/>
  <c r="F1500" i="1" s="1"/>
  <c r="I1499" i="1" a="1"/>
  <c r="I1499" i="1" s="1"/>
  <c r="H1499" i="1" a="1"/>
  <c r="H1499" i="1" s="1"/>
  <c r="G1499" i="1" a="1"/>
  <c r="G1499" i="1" s="1"/>
  <c r="F1499" i="1" a="1"/>
  <c r="F1499" i="1" s="1"/>
  <c r="I1494" i="1" a="1"/>
  <c r="I1494" i="1" s="1"/>
  <c r="H1494" i="1" a="1"/>
  <c r="H1494" i="1" s="1"/>
  <c r="G1494" i="1" a="1"/>
  <c r="G1494" i="1" s="1"/>
  <c r="F1494" i="1" a="1"/>
  <c r="F1494" i="1" s="1"/>
  <c r="I1492" i="1" a="1"/>
  <c r="I1492" i="1" s="1"/>
  <c r="H1492" i="1" a="1"/>
  <c r="H1492" i="1" s="1"/>
  <c r="G1492" i="1" a="1"/>
  <c r="G1492" i="1" s="1"/>
  <c r="F1492" i="1" a="1"/>
  <c r="F1492" i="1" s="1"/>
  <c r="I1487" i="1" a="1"/>
  <c r="I1487" i="1" s="1"/>
  <c r="H1487" i="1" a="1"/>
  <c r="H1487" i="1" s="1"/>
  <c r="G1487" i="1" a="1"/>
  <c r="G1487" i="1" s="1"/>
  <c r="F1487" i="1" a="1"/>
  <c r="F1487" i="1" s="1"/>
  <c r="I1485" i="1" a="1"/>
  <c r="I1485" i="1" s="1"/>
  <c r="H1485" i="1" a="1"/>
  <c r="H1485" i="1" s="1"/>
  <c r="G1485" i="1" a="1"/>
  <c r="G1485" i="1" s="1"/>
  <c r="F1485" i="1" a="1"/>
  <c r="F1485" i="1" s="1"/>
  <c r="I1458" i="1" a="1"/>
  <c r="I1458" i="1" s="1"/>
  <c r="H1458" i="1" a="1"/>
  <c r="H1458" i="1" s="1"/>
  <c r="G1458" i="1" a="1"/>
  <c r="G1458" i="1" s="1"/>
  <c r="F1458" i="1" a="1"/>
  <c r="F1458" i="1" s="1"/>
  <c r="I1457" i="1" a="1"/>
  <c r="I1457" i="1" s="1"/>
  <c r="H1457" i="1" a="1"/>
  <c r="H1457" i="1" s="1"/>
  <c r="G1457" i="1" a="1"/>
  <c r="G1457" i="1" s="1"/>
  <c r="F1457" i="1" a="1"/>
  <c r="F1457" i="1" s="1"/>
  <c r="I1456" i="1" a="1"/>
  <c r="I1456" i="1" s="1"/>
  <c r="H1456" i="1" a="1"/>
  <c r="H1456" i="1" s="1"/>
  <c r="G1456" i="1" a="1"/>
  <c r="G1456" i="1" s="1"/>
  <c r="F1456" i="1" a="1"/>
  <c r="F1456" i="1" s="1"/>
  <c r="I1455" i="1" a="1"/>
  <c r="I1455" i="1" s="1"/>
  <c r="H1455" i="1" a="1"/>
  <c r="H1455" i="1" s="1"/>
  <c r="G1455" i="1" a="1"/>
  <c r="G1455" i="1" s="1"/>
  <c r="F1455" i="1" a="1"/>
  <c r="F1455" i="1" s="1"/>
  <c r="I1454" i="1" a="1"/>
  <c r="I1454" i="1" s="1"/>
  <c r="H1454" i="1" a="1"/>
  <c r="H1454" i="1" s="1"/>
  <c r="G1454" i="1" a="1"/>
  <c r="G1454" i="1" s="1"/>
  <c r="F1454" i="1" a="1"/>
  <c r="F1454" i="1" s="1"/>
  <c r="I1453" i="1" a="1"/>
  <c r="I1453" i="1" s="1"/>
  <c r="H1453" i="1" a="1"/>
  <c r="H1453" i="1" s="1"/>
  <c r="G1453" i="1" a="1"/>
  <c r="G1453" i="1" s="1"/>
  <c r="F1453" i="1" a="1"/>
  <c r="F1453" i="1" s="1"/>
  <c r="I1452" i="1" a="1"/>
  <c r="I1452" i="1" s="1"/>
  <c r="H1452" i="1" a="1"/>
  <c r="H1452" i="1" s="1"/>
  <c r="G1452" i="1" a="1"/>
  <c r="G1452" i="1" s="1"/>
  <c r="F1452" i="1" a="1"/>
  <c r="F1452" i="1" s="1"/>
  <c r="I1451" i="1" a="1"/>
  <c r="I1451" i="1" s="1"/>
  <c r="H1451" i="1" a="1"/>
  <c r="H1451" i="1" s="1"/>
  <c r="G1451" i="1" a="1"/>
  <c r="G1451" i="1" s="1"/>
  <c r="F1451" i="1" a="1"/>
  <c r="F1451" i="1" s="1"/>
  <c r="I1450" i="1" a="1"/>
  <c r="I1450" i="1" s="1"/>
  <c r="H1450" i="1" a="1"/>
  <c r="H1450" i="1" s="1"/>
  <c r="G1450" i="1" a="1"/>
  <c r="G1450" i="1" s="1"/>
  <c r="F1450" i="1" a="1"/>
  <c r="F1450" i="1" s="1"/>
  <c r="I1449" i="1" a="1"/>
  <c r="I1449" i="1" s="1"/>
  <c r="H1449" i="1" a="1"/>
  <c r="H1449" i="1" s="1"/>
  <c r="G1449" i="1" a="1"/>
  <c r="G1449" i="1" s="1"/>
  <c r="F1449" i="1" a="1"/>
  <c r="F1449" i="1" s="1"/>
  <c r="I1448" i="1" a="1"/>
  <c r="I1448" i="1" s="1"/>
  <c r="H1448" i="1" a="1"/>
  <c r="H1448" i="1" s="1"/>
  <c r="G1448" i="1" a="1"/>
  <c r="G1448" i="1" s="1"/>
  <c r="F1448" i="1" a="1"/>
  <c r="F1448" i="1" s="1"/>
  <c r="I1447" i="1" a="1"/>
  <c r="I1447" i="1" s="1"/>
  <c r="H1447" i="1" a="1"/>
  <c r="H1447" i="1" s="1"/>
  <c r="G1447" i="1" a="1"/>
  <c r="G1447" i="1" s="1"/>
  <c r="F1447" i="1" a="1"/>
  <c r="F1447" i="1" s="1"/>
  <c r="I1446" i="1" a="1"/>
  <c r="I1446" i="1" s="1"/>
  <c r="H1446" i="1" a="1"/>
  <c r="H1446" i="1" s="1"/>
  <c r="G1446" i="1" a="1"/>
  <c r="G1446" i="1" s="1"/>
  <c r="F1446" i="1" a="1"/>
  <c r="F1446" i="1" s="1"/>
  <c r="I1445" i="1" a="1"/>
  <c r="I1445" i="1" s="1"/>
  <c r="H1445" i="1" a="1"/>
  <c r="H1445" i="1" s="1"/>
  <c r="G1445" i="1" a="1"/>
  <c r="G1445" i="1" s="1"/>
  <c r="F1445" i="1" a="1"/>
  <c r="F1445" i="1" s="1"/>
  <c r="I1444" i="1" a="1"/>
  <c r="I1444" i="1" s="1"/>
  <c r="H1444" i="1" a="1"/>
  <c r="H1444" i="1" s="1"/>
  <c r="G1444" i="1" a="1"/>
  <c r="G1444" i="1" s="1"/>
  <c r="F1444" i="1" a="1"/>
  <c r="F1444" i="1" s="1"/>
  <c r="I1443" i="1" a="1"/>
  <c r="I1443" i="1" s="1"/>
  <c r="H1443" i="1" a="1"/>
  <c r="H1443" i="1" s="1"/>
  <c r="G1443" i="1" a="1"/>
  <c r="G1443" i="1" s="1"/>
  <c r="F1443" i="1" a="1"/>
  <c r="F1443" i="1" s="1"/>
  <c r="I1442" i="1" a="1"/>
  <c r="I1442" i="1" s="1"/>
  <c r="H1442" i="1" a="1"/>
  <c r="H1442" i="1" s="1"/>
  <c r="G1442" i="1" a="1"/>
  <c r="G1442" i="1" s="1"/>
  <c r="F1442" i="1" a="1"/>
  <c r="F1442" i="1" s="1"/>
  <c r="I1441" i="1" a="1"/>
  <c r="I1441" i="1" s="1"/>
  <c r="H1441" i="1" a="1"/>
  <c r="H1441" i="1" s="1"/>
  <c r="G1441" i="1" a="1"/>
  <c r="G1441" i="1" s="1"/>
  <c r="F1441" i="1" a="1"/>
  <c r="F1441" i="1" s="1"/>
  <c r="I1440" i="1" a="1"/>
  <c r="I1440" i="1" s="1"/>
  <c r="H1440" i="1" a="1"/>
  <c r="H1440" i="1" s="1"/>
  <c r="G1440" i="1" a="1"/>
  <c r="G1440" i="1" s="1"/>
  <c r="F1440" i="1" a="1"/>
  <c r="F1440" i="1" s="1"/>
  <c r="I1439" i="1" a="1"/>
  <c r="I1439" i="1" s="1"/>
  <c r="H1439" i="1" a="1"/>
  <c r="H1439" i="1" s="1"/>
  <c r="G1439" i="1" a="1"/>
  <c r="G1439" i="1" s="1"/>
  <c r="F1439" i="1" a="1"/>
  <c r="F1439" i="1" s="1"/>
  <c r="I1438" i="1" a="1"/>
  <c r="I1438" i="1" s="1"/>
  <c r="H1438" i="1" a="1"/>
  <c r="H1438" i="1" s="1"/>
  <c r="G1438" i="1" a="1"/>
  <c r="G1438" i="1" s="1"/>
  <c r="F1438" i="1" a="1"/>
  <c r="F1438" i="1" s="1"/>
  <c r="I1437" i="1" a="1"/>
  <c r="I1437" i="1" s="1"/>
  <c r="H1437" i="1" a="1"/>
  <c r="H1437" i="1" s="1"/>
  <c r="G1437" i="1" a="1"/>
  <c r="G1437" i="1" s="1"/>
  <c r="F1437" i="1" a="1"/>
  <c r="F1437" i="1" s="1"/>
  <c r="I1436" i="1" a="1"/>
  <c r="I1436" i="1" s="1"/>
  <c r="H1436" i="1" a="1"/>
  <c r="H1436" i="1" s="1"/>
  <c r="G1436" i="1" a="1"/>
  <c r="G1436" i="1" s="1"/>
  <c r="F1436" i="1" a="1"/>
  <c r="F1436" i="1" s="1"/>
  <c r="I1434" i="1" a="1"/>
  <c r="I1434" i="1" s="1"/>
  <c r="H1434" i="1" a="1"/>
  <c r="H1434" i="1" s="1"/>
  <c r="G1434" i="1" a="1"/>
  <c r="G1434" i="1" s="1"/>
  <c r="F1434" i="1" a="1"/>
  <c r="F1434" i="1" s="1"/>
  <c r="I1433" i="1" a="1"/>
  <c r="I1433" i="1" s="1"/>
  <c r="H1433" i="1" a="1"/>
  <c r="H1433" i="1" s="1"/>
  <c r="G1433" i="1" a="1"/>
  <c r="G1433" i="1" s="1"/>
  <c r="F1433" i="1" a="1"/>
  <c r="F1433" i="1" s="1"/>
  <c r="I1432" i="1" a="1"/>
  <c r="I1432" i="1" s="1"/>
  <c r="H1432" i="1" a="1"/>
  <c r="H1432" i="1" s="1"/>
  <c r="G1432" i="1" a="1"/>
  <c r="G1432" i="1" s="1"/>
  <c r="F1432" i="1" a="1"/>
  <c r="F1432" i="1" s="1"/>
  <c r="I1431" i="1" a="1"/>
  <c r="I1431" i="1" s="1"/>
  <c r="H1431" i="1" a="1"/>
  <c r="H1431" i="1" s="1"/>
  <c r="G1431" i="1" a="1"/>
  <c r="G1431" i="1" s="1"/>
  <c r="F1431" i="1" a="1"/>
  <c r="F1431" i="1" s="1"/>
  <c r="I1430" i="1" a="1"/>
  <c r="I1430" i="1" s="1"/>
  <c r="H1430" i="1" a="1"/>
  <c r="H1430" i="1" s="1"/>
  <c r="G1430" i="1" a="1"/>
  <c r="G1430" i="1" s="1"/>
  <c r="F1430" i="1" a="1"/>
  <c r="F1430" i="1" s="1"/>
  <c r="I1424" i="1" a="1"/>
  <c r="I1424" i="1" s="1"/>
  <c r="H1424" i="1" a="1"/>
  <c r="H1424" i="1" s="1"/>
  <c r="G1424" i="1" a="1"/>
  <c r="G1424" i="1" s="1"/>
  <c r="F1424" i="1" a="1"/>
  <c r="F1424" i="1" s="1"/>
  <c r="I1423" i="1" a="1"/>
  <c r="I1423" i="1" s="1"/>
  <c r="H1423" i="1" a="1"/>
  <c r="H1423" i="1" s="1"/>
  <c r="G1423" i="1" a="1"/>
  <c r="G1423" i="1" s="1"/>
  <c r="F1423" i="1" a="1"/>
  <c r="F1423" i="1" s="1"/>
  <c r="I1422" i="1" a="1"/>
  <c r="I1422" i="1" s="1"/>
  <c r="H1422" i="1" a="1"/>
  <c r="H1422" i="1" s="1"/>
  <c r="G1422" i="1" a="1"/>
  <c r="G1422" i="1" s="1"/>
  <c r="F1422" i="1" a="1"/>
  <c r="F1422" i="1" s="1"/>
  <c r="I1421" i="1" a="1"/>
  <c r="I1421" i="1" s="1"/>
  <c r="H1421" i="1" a="1"/>
  <c r="H1421" i="1" s="1"/>
  <c r="G1421" i="1" a="1"/>
  <c r="G1421" i="1" s="1"/>
  <c r="F1421" i="1" a="1"/>
  <c r="F1421" i="1" s="1"/>
  <c r="I1420" i="1" a="1"/>
  <c r="I1420" i="1" s="1"/>
  <c r="H1420" i="1" a="1"/>
  <c r="H1420" i="1" s="1"/>
  <c r="G1420" i="1" a="1"/>
  <c r="G1420" i="1" s="1"/>
  <c r="F1420" i="1" a="1"/>
  <c r="F1420" i="1" s="1"/>
  <c r="I1419" i="1" a="1"/>
  <c r="I1419" i="1" s="1"/>
  <c r="H1419" i="1" a="1"/>
  <c r="H1419" i="1" s="1"/>
  <c r="G1419" i="1" a="1"/>
  <c r="G1419" i="1" s="1"/>
  <c r="F1419" i="1" a="1"/>
  <c r="F1419" i="1" s="1"/>
  <c r="I1418" i="1" a="1"/>
  <c r="I1418" i="1" s="1"/>
  <c r="H1418" i="1" a="1"/>
  <c r="H1418" i="1" s="1"/>
  <c r="G1418" i="1" a="1"/>
  <c r="G1418" i="1" s="1"/>
  <c r="F1418" i="1" a="1"/>
  <c r="F1418" i="1" s="1"/>
  <c r="I1417" i="1" a="1"/>
  <c r="I1417" i="1" s="1"/>
  <c r="H1417" i="1" a="1"/>
  <c r="H1417" i="1" s="1"/>
  <c r="G1417" i="1" a="1"/>
  <c r="G1417" i="1" s="1"/>
  <c r="F1417" i="1" a="1"/>
  <c r="F1417" i="1" s="1"/>
  <c r="I1416" i="1" a="1"/>
  <c r="I1416" i="1" s="1"/>
  <c r="H1416" i="1" a="1"/>
  <c r="H1416" i="1" s="1"/>
  <c r="G1416" i="1" a="1"/>
  <c r="G1416" i="1" s="1"/>
  <c r="F1416" i="1" a="1"/>
  <c r="F1416" i="1" s="1"/>
  <c r="I1410" i="1" a="1"/>
  <c r="I1410" i="1" s="1"/>
  <c r="H1410" i="1" a="1"/>
  <c r="H1410" i="1" s="1"/>
  <c r="G1410" i="1" a="1"/>
  <c r="G1410" i="1" s="1"/>
  <c r="F1410" i="1" a="1"/>
  <c r="F1410" i="1" s="1"/>
  <c r="I1409" i="1" a="1"/>
  <c r="I1409" i="1" s="1"/>
  <c r="H1409" i="1" a="1"/>
  <c r="H1409" i="1" s="1"/>
  <c r="G1409" i="1" a="1"/>
  <c r="G1409" i="1" s="1"/>
  <c r="F1409" i="1" a="1"/>
  <c r="F1409" i="1" s="1"/>
  <c r="I1408" i="1" a="1"/>
  <c r="I1408" i="1" s="1"/>
  <c r="H1408" i="1" a="1"/>
  <c r="H1408" i="1" s="1"/>
  <c r="G1408" i="1" a="1"/>
  <c r="G1408" i="1" s="1"/>
  <c r="F1408" i="1" a="1"/>
  <c r="F1408" i="1" s="1"/>
  <c r="I1407" i="1" a="1"/>
  <c r="I1407" i="1" s="1"/>
  <c r="H1407" i="1" a="1"/>
  <c r="H1407" i="1" s="1"/>
  <c r="G1407" i="1" a="1"/>
  <c r="G1407" i="1" s="1"/>
  <c r="F1407" i="1" a="1"/>
  <c r="F1407" i="1" s="1"/>
  <c r="I1405" i="1" a="1"/>
  <c r="I1405" i="1" s="1"/>
  <c r="H1405" i="1" a="1"/>
  <c r="H1405" i="1" s="1"/>
  <c r="G1405" i="1" a="1"/>
  <c r="G1405" i="1" s="1"/>
  <c r="F1405" i="1" a="1"/>
  <c r="F1405" i="1" s="1"/>
  <c r="I1404" i="1" a="1"/>
  <c r="I1404" i="1" s="1"/>
  <c r="H1404" i="1" a="1"/>
  <c r="H1404" i="1" s="1"/>
  <c r="G1404" i="1" a="1"/>
  <c r="G1404" i="1" s="1"/>
  <c r="F1404" i="1" a="1"/>
  <c r="F1404" i="1" s="1"/>
  <c r="I1403" i="1" a="1"/>
  <c r="I1403" i="1" s="1"/>
  <c r="H1403" i="1" a="1"/>
  <c r="H1403" i="1" s="1"/>
  <c r="G1403" i="1" a="1"/>
  <c r="G1403" i="1" s="1"/>
  <c r="F1403" i="1" a="1"/>
  <c r="F1403" i="1" s="1"/>
  <c r="I1402" i="1" a="1"/>
  <c r="I1402" i="1" s="1"/>
  <c r="H1402" i="1" a="1"/>
  <c r="H1402" i="1" s="1"/>
  <c r="G1402" i="1" a="1"/>
  <c r="G1402" i="1" s="1"/>
  <c r="F1402" i="1" a="1"/>
  <c r="F1402" i="1" s="1"/>
  <c r="I1401" i="1" a="1"/>
  <c r="I1401" i="1" s="1"/>
  <c r="H1401" i="1" a="1"/>
  <c r="H1401" i="1" s="1"/>
  <c r="G1401" i="1" a="1"/>
  <c r="G1401" i="1" s="1"/>
  <c r="F1401" i="1" a="1"/>
  <c r="F1401" i="1" s="1"/>
  <c r="I1374" i="1" a="1"/>
  <c r="I1374" i="1" s="1"/>
  <c r="H1374" i="1" a="1"/>
  <c r="H1374" i="1" s="1"/>
  <c r="G1374" i="1" a="1"/>
  <c r="G1374" i="1" s="1"/>
  <c r="F1374" i="1" a="1"/>
  <c r="F1374" i="1" s="1"/>
  <c r="I1373" i="1" a="1"/>
  <c r="I1373" i="1" s="1"/>
  <c r="H1373" i="1" a="1"/>
  <c r="H1373" i="1" s="1"/>
  <c r="G1373" i="1" a="1"/>
  <c r="G1373" i="1" s="1"/>
  <c r="F1373" i="1" a="1"/>
  <c r="F1373" i="1" s="1"/>
  <c r="I1372" i="1" a="1"/>
  <c r="I1372" i="1" s="1"/>
  <c r="H1372" i="1" a="1"/>
  <c r="H1372" i="1" s="1"/>
  <c r="G1372" i="1" a="1"/>
  <c r="G1372" i="1" s="1"/>
  <c r="F1372" i="1" a="1"/>
  <c r="F1372" i="1" s="1"/>
  <c r="I1371" i="1" a="1"/>
  <c r="I1371" i="1" s="1"/>
  <c r="H1371" i="1" a="1"/>
  <c r="H1371" i="1" s="1"/>
  <c r="G1371" i="1" a="1"/>
  <c r="G1371" i="1" s="1"/>
  <c r="F1371" i="1" a="1"/>
  <c r="F1371" i="1" s="1"/>
  <c r="I1370" i="1" a="1"/>
  <c r="I1370" i="1" s="1"/>
  <c r="H1370" i="1" a="1"/>
  <c r="H1370" i="1" s="1"/>
  <c r="G1370" i="1" a="1"/>
  <c r="G1370" i="1" s="1"/>
  <c r="F1370" i="1" a="1"/>
  <c r="F1370" i="1" s="1"/>
  <c r="I1369" i="1" a="1"/>
  <c r="I1369" i="1" s="1"/>
  <c r="H1369" i="1" a="1"/>
  <c r="H1369" i="1" s="1"/>
  <c r="G1369" i="1" a="1"/>
  <c r="G1369" i="1" s="1"/>
  <c r="F1369" i="1" a="1"/>
  <c r="F1369" i="1" s="1"/>
  <c r="I1368" i="1" a="1"/>
  <c r="I1368" i="1" s="1"/>
  <c r="H1368" i="1" a="1"/>
  <c r="H1368" i="1" s="1"/>
  <c r="G1368" i="1" a="1"/>
  <c r="G1368" i="1" s="1"/>
  <c r="F1368" i="1" a="1"/>
  <c r="F1368" i="1" s="1"/>
  <c r="I1367" i="1" a="1"/>
  <c r="I1367" i="1" s="1"/>
  <c r="H1367" i="1" a="1"/>
  <c r="H1367" i="1" s="1"/>
  <c r="G1367" i="1" a="1"/>
  <c r="G1367" i="1" s="1"/>
  <c r="F1367" i="1" a="1"/>
  <c r="F1367" i="1" s="1"/>
  <c r="I1366" i="1" a="1"/>
  <c r="I1366" i="1" s="1"/>
  <c r="H1366" i="1" a="1"/>
  <c r="H1366" i="1" s="1"/>
  <c r="G1366" i="1" a="1"/>
  <c r="G1366" i="1" s="1"/>
  <c r="F1366" i="1" a="1"/>
  <c r="F1366" i="1" s="1"/>
  <c r="I1365" i="1" a="1"/>
  <c r="I1365" i="1" s="1"/>
  <c r="H1365" i="1" a="1"/>
  <c r="H1365" i="1" s="1"/>
  <c r="G1365" i="1" a="1"/>
  <c r="G1365" i="1" s="1"/>
  <c r="F1365" i="1" a="1"/>
  <c r="F1365" i="1" s="1"/>
  <c r="I1364" i="1" a="1"/>
  <c r="I1364" i="1" s="1"/>
  <c r="H1364" i="1" a="1"/>
  <c r="H1364" i="1" s="1"/>
  <c r="G1364" i="1" a="1"/>
  <c r="G1364" i="1" s="1"/>
  <c r="F1364" i="1" a="1"/>
  <c r="F1364" i="1" s="1"/>
  <c r="I1363" i="1" a="1"/>
  <c r="I1363" i="1" s="1"/>
  <c r="H1363" i="1" a="1"/>
  <c r="H1363" i="1" s="1"/>
  <c r="G1363" i="1" a="1"/>
  <c r="G1363" i="1" s="1"/>
  <c r="F1363" i="1" a="1"/>
  <c r="F1363" i="1" s="1"/>
  <c r="I1362" i="1" a="1"/>
  <c r="I1362" i="1" s="1"/>
  <c r="H1362" i="1" a="1"/>
  <c r="H1362" i="1" s="1"/>
  <c r="G1362" i="1" a="1"/>
  <c r="G1362" i="1" s="1"/>
  <c r="F1362" i="1" a="1"/>
  <c r="F1362" i="1" s="1"/>
  <c r="I1361" i="1" a="1"/>
  <c r="I1361" i="1" s="1"/>
  <c r="H1361" i="1" a="1"/>
  <c r="H1361" i="1" s="1"/>
  <c r="G1361" i="1" a="1"/>
  <c r="G1361" i="1" s="1"/>
  <c r="F1361" i="1" a="1"/>
  <c r="F1361" i="1" s="1"/>
  <c r="I1360" i="1" a="1"/>
  <c r="I1360" i="1" s="1"/>
  <c r="H1360" i="1" a="1"/>
  <c r="H1360" i="1" s="1"/>
  <c r="G1360" i="1" a="1"/>
  <c r="G1360" i="1" s="1"/>
  <c r="F1360" i="1" a="1"/>
  <c r="F1360" i="1" s="1"/>
  <c r="I1359" i="1" a="1"/>
  <c r="I1359" i="1" s="1"/>
  <c r="H1359" i="1" a="1"/>
  <c r="H1359" i="1" s="1"/>
  <c r="G1359" i="1" a="1"/>
  <c r="G1359" i="1" s="1"/>
  <c r="F1359" i="1" a="1"/>
  <c r="F1359" i="1" s="1"/>
  <c r="I1358" i="1" a="1"/>
  <c r="I1358" i="1" s="1"/>
  <c r="H1358" i="1" a="1"/>
  <c r="H1358" i="1" s="1"/>
  <c r="G1358" i="1" a="1"/>
  <c r="G1358" i="1" s="1"/>
  <c r="F1358" i="1" a="1"/>
  <c r="F1358" i="1" s="1"/>
  <c r="I1357" i="1" a="1"/>
  <c r="I1357" i="1" s="1"/>
  <c r="H1357" i="1" a="1"/>
  <c r="H1357" i="1" s="1"/>
  <c r="G1357" i="1" a="1"/>
  <c r="G1357" i="1" s="1"/>
  <c r="F1357" i="1" a="1"/>
  <c r="F1357" i="1" s="1"/>
  <c r="I1356" i="1" a="1"/>
  <c r="I1356" i="1" s="1"/>
  <c r="H1356" i="1" a="1"/>
  <c r="H1356" i="1" s="1"/>
  <c r="G1356" i="1" a="1"/>
  <c r="G1356" i="1" s="1"/>
  <c r="F1356" i="1" a="1"/>
  <c r="F1356" i="1" s="1"/>
  <c r="I1355" i="1" a="1"/>
  <c r="I1355" i="1" s="1"/>
  <c r="H1355" i="1" a="1"/>
  <c r="H1355" i="1" s="1"/>
  <c r="G1355" i="1" a="1"/>
  <c r="G1355" i="1" s="1"/>
  <c r="F1355" i="1" a="1"/>
  <c r="F1355" i="1" s="1"/>
  <c r="I1354" i="1" a="1"/>
  <c r="I1354" i="1" s="1"/>
  <c r="H1354" i="1" a="1"/>
  <c r="H1354" i="1" s="1"/>
  <c r="G1354" i="1" a="1"/>
  <c r="G1354" i="1" s="1"/>
  <c r="F1354" i="1" a="1"/>
  <c r="F1354" i="1" s="1"/>
  <c r="I1353" i="1" a="1"/>
  <c r="I1353" i="1" s="1"/>
  <c r="H1353" i="1" a="1"/>
  <c r="H1353" i="1" s="1"/>
  <c r="G1353" i="1" a="1"/>
  <c r="G1353" i="1" s="1"/>
  <c r="F1353" i="1" a="1"/>
  <c r="F1353" i="1" s="1"/>
  <c r="I1352" i="1" a="1"/>
  <c r="I1352" i="1" s="1"/>
  <c r="H1352" i="1" a="1"/>
  <c r="H1352" i="1" s="1"/>
  <c r="G1352" i="1" a="1"/>
  <c r="G1352" i="1" s="1"/>
  <c r="F1352" i="1" a="1"/>
  <c r="F1352" i="1" s="1"/>
  <c r="I1350" i="1" a="1"/>
  <c r="I1350" i="1" s="1"/>
  <c r="H1350" i="1" a="1"/>
  <c r="H1350" i="1" s="1"/>
  <c r="G1350" i="1" a="1"/>
  <c r="G1350" i="1" s="1"/>
  <c r="F1350" i="1" a="1"/>
  <c r="F1350" i="1" s="1"/>
  <c r="I1349" i="1" a="1"/>
  <c r="I1349" i="1" s="1"/>
  <c r="H1349" i="1" a="1"/>
  <c r="H1349" i="1" s="1"/>
  <c r="G1349" i="1" a="1"/>
  <c r="G1349" i="1" s="1"/>
  <c r="F1349" i="1" a="1"/>
  <c r="F1349" i="1" s="1"/>
  <c r="I1348" i="1" a="1"/>
  <c r="I1348" i="1" s="1"/>
  <c r="H1348" i="1" a="1"/>
  <c r="H1348" i="1" s="1"/>
  <c r="G1348" i="1" a="1"/>
  <c r="G1348" i="1" s="1"/>
  <c r="F1348" i="1" a="1"/>
  <c r="F1348" i="1" s="1"/>
  <c r="I1347" i="1" a="1"/>
  <c r="I1347" i="1" s="1"/>
  <c r="H1347" i="1" a="1"/>
  <c r="H1347" i="1" s="1"/>
  <c r="G1347" i="1" a="1"/>
  <c r="G1347" i="1" s="1"/>
  <c r="F1347" i="1" a="1"/>
  <c r="F1347" i="1" s="1"/>
  <c r="I1346" i="1" a="1"/>
  <c r="I1346" i="1" s="1"/>
  <c r="H1346" i="1" a="1"/>
  <c r="H1346" i="1" s="1"/>
  <c r="G1346" i="1" a="1"/>
  <c r="G1346" i="1" s="1"/>
  <c r="F1346" i="1" a="1"/>
  <c r="F1346" i="1" s="1"/>
  <c r="I1340" i="1" a="1"/>
  <c r="I1340" i="1" s="1"/>
  <c r="H1340" i="1" a="1"/>
  <c r="H1340" i="1" s="1"/>
  <c r="G1340" i="1" a="1"/>
  <c r="G1340" i="1" s="1"/>
  <c r="F1340" i="1" a="1"/>
  <c r="F1340" i="1" s="1"/>
  <c r="I1339" i="1" a="1"/>
  <c r="I1339" i="1" s="1"/>
  <c r="H1339" i="1" a="1"/>
  <c r="H1339" i="1" s="1"/>
  <c r="G1339" i="1" a="1"/>
  <c r="G1339" i="1" s="1"/>
  <c r="F1339" i="1" a="1"/>
  <c r="F1339" i="1" s="1"/>
  <c r="I1338" i="1" a="1"/>
  <c r="I1338" i="1" s="1"/>
  <c r="H1338" i="1" a="1"/>
  <c r="H1338" i="1" s="1"/>
  <c r="G1338" i="1" a="1"/>
  <c r="G1338" i="1" s="1"/>
  <c r="F1338" i="1" a="1"/>
  <c r="F1338" i="1" s="1"/>
  <c r="I1337" i="1" a="1"/>
  <c r="I1337" i="1" s="1"/>
  <c r="H1337" i="1" a="1"/>
  <c r="H1337" i="1" s="1"/>
  <c r="G1337" i="1" a="1"/>
  <c r="G1337" i="1" s="1"/>
  <c r="F1337" i="1" a="1"/>
  <c r="F1337" i="1" s="1"/>
  <c r="I1336" i="1" a="1"/>
  <c r="I1336" i="1" s="1"/>
  <c r="H1336" i="1" a="1"/>
  <c r="H1336" i="1" s="1"/>
  <c r="G1336" i="1" a="1"/>
  <c r="G1336" i="1" s="1"/>
  <c r="F1336" i="1" a="1"/>
  <c r="F1336" i="1" s="1"/>
  <c r="I1335" i="1" a="1"/>
  <c r="I1335" i="1" s="1"/>
  <c r="H1335" i="1" a="1"/>
  <c r="H1335" i="1" s="1"/>
  <c r="G1335" i="1" a="1"/>
  <c r="G1335" i="1" s="1"/>
  <c r="F1335" i="1" a="1"/>
  <c r="F1335" i="1" s="1"/>
  <c r="I1334" i="1" a="1"/>
  <c r="I1334" i="1" s="1"/>
  <c r="H1334" i="1" a="1"/>
  <c r="H1334" i="1" s="1"/>
  <c r="G1334" i="1" a="1"/>
  <c r="G1334" i="1" s="1"/>
  <c r="F1334" i="1" a="1"/>
  <c r="F1334" i="1" s="1"/>
  <c r="I1333" i="1" a="1"/>
  <c r="I1333" i="1" s="1"/>
  <c r="H1333" i="1" a="1"/>
  <c r="H1333" i="1" s="1"/>
  <c r="G1333" i="1" a="1"/>
  <c r="G1333" i="1" s="1"/>
  <c r="F1333" i="1" a="1"/>
  <c r="F1333" i="1" s="1"/>
  <c r="I1332" i="1" a="1"/>
  <c r="I1332" i="1" s="1"/>
  <c r="H1332" i="1" a="1"/>
  <c r="H1332" i="1" s="1"/>
  <c r="G1332" i="1" a="1"/>
  <c r="G1332" i="1" s="1"/>
  <c r="F1332" i="1" a="1"/>
  <c r="F1332" i="1" s="1"/>
  <c r="I1326" i="1" a="1"/>
  <c r="I1326" i="1" s="1"/>
  <c r="H1326" i="1" a="1"/>
  <c r="H1326" i="1" s="1"/>
  <c r="G1326" i="1" a="1"/>
  <c r="G1326" i="1" s="1"/>
  <c r="F1326" i="1" a="1"/>
  <c r="F1326" i="1" s="1"/>
  <c r="I1325" i="1" a="1"/>
  <c r="I1325" i="1" s="1"/>
  <c r="H1325" i="1" a="1"/>
  <c r="H1325" i="1" s="1"/>
  <c r="G1325" i="1" a="1"/>
  <c r="G1325" i="1" s="1"/>
  <c r="F1325" i="1" a="1"/>
  <c r="F1325" i="1" s="1"/>
  <c r="I1324" i="1" a="1"/>
  <c r="I1324" i="1" s="1"/>
  <c r="H1324" i="1" a="1"/>
  <c r="H1324" i="1" s="1"/>
  <c r="G1324" i="1" a="1"/>
  <c r="G1324" i="1" s="1"/>
  <c r="F1324" i="1" a="1"/>
  <c r="F1324" i="1" s="1"/>
  <c r="I1323" i="1" a="1"/>
  <c r="I1323" i="1" s="1"/>
  <c r="H1323" i="1" a="1"/>
  <c r="H1323" i="1" s="1"/>
  <c r="G1323" i="1" a="1"/>
  <c r="G1323" i="1" s="1"/>
  <c r="F1323" i="1" a="1"/>
  <c r="F1323" i="1" s="1"/>
  <c r="I1321" i="1" a="1"/>
  <c r="I1321" i="1" s="1"/>
  <c r="H1321" i="1" a="1"/>
  <c r="H1321" i="1" s="1"/>
  <c r="G1321" i="1" a="1"/>
  <c r="G1321" i="1" s="1"/>
  <c r="F1321" i="1" a="1"/>
  <c r="F1321" i="1" s="1"/>
  <c r="I1320" i="1" a="1"/>
  <c r="I1320" i="1" s="1"/>
  <c r="H1320" i="1" a="1"/>
  <c r="H1320" i="1" s="1"/>
  <c r="G1320" i="1" a="1"/>
  <c r="G1320" i="1" s="1"/>
  <c r="F1320" i="1" a="1"/>
  <c r="F1320" i="1" s="1"/>
  <c r="I1319" i="1" a="1"/>
  <c r="I1319" i="1" s="1"/>
  <c r="H1319" i="1" a="1"/>
  <c r="H1319" i="1" s="1"/>
  <c r="G1319" i="1" a="1"/>
  <c r="G1319" i="1" s="1"/>
  <c r="F1319" i="1" a="1"/>
  <c r="F1319" i="1" s="1"/>
  <c r="I1318" i="1" a="1"/>
  <c r="I1318" i="1" s="1"/>
  <c r="H1318" i="1" a="1"/>
  <c r="H1318" i="1" s="1"/>
  <c r="G1318" i="1" a="1"/>
  <c r="G1318" i="1" s="1"/>
  <c r="F1318" i="1" a="1"/>
  <c r="F1318" i="1" s="1"/>
  <c r="I1317" i="1" a="1"/>
  <c r="I1317" i="1" s="1"/>
  <c r="H1317" i="1" a="1"/>
  <c r="H1317" i="1" s="1"/>
  <c r="G1317" i="1" a="1"/>
  <c r="G1317" i="1" s="1"/>
  <c r="F1317" i="1" a="1"/>
  <c r="F1317" i="1" s="1"/>
  <c r="I1263" i="1" a="1"/>
  <c r="I1263" i="1" s="1"/>
  <c r="H1263" i="1" a="1"/>
  <c r="H1263" i="1" s="1"/>
  <c r="G1263" i="1" a="1"/>
  <c r="G1263" i="1" s="1"/>
  <c r="F1263" i="1" a="1"/>
  <c r="F1263" i="1" s="1"/>
  <c r="I1262" i="1" a="1"/>
  <c r="I1262" i="1" s="1"/>
  <c r="H1262" i="1" a="1"/>
  <c r="H1262" i="1" s="1"/>
  <c r="G1262" i="1" a="1"/>
  <c r="G1262" i="1" s="1"/>
  <c r="F1262" i="1" a="1"/>
  <c r="F1262" i="1" s="1"/>
  <c r="I1261" i="1" a="1"/>
  <c r="I1261" i="1" s="1"/>
  <c r="H1261" i="1" a="1"/>
  <c r="H1261" i="1" s="1"/>
  <c r="G1261" i="1" a="1"/>
  <c r="G1261" i="1" s="1"/>
  <c r="F1261" i="1" a="1"/>
  <c r="F1261" i="1" s="1"/>
  <c r="I1260" i="1" a="1"/>
  <c r="I1260" i="1" s="1"/>
  <c r="H1260" i="1" a="1"/>
  <c r="H1260" i="1" s="1"/>
  <c r="G1260" i="1" a="1"/>
  <c r="G1260" i="1" s="1"/>
  <c r="F1260" i="1" a="1"/>
  <c r="F1260" i="1" s="1"/>
  <c r="I1259" i="1" a="1"/>
  <c r="I1259" i="1" s="1"/>
  <c r="H1259" i="1" a="1"/>
  <c r="H1259" i="1" s="1"/>
  <c r="G1259" i="1" a="1"/>
  <c r="G1259" i="1" s="1"/>
  <c r="F1259" i="1" a="1"/>
  <c r="F1259" i="1" s="1"/>
  <c r="I1258" i="1" a="1"/>
  <c r="I1258" i="1" s="1"/>
  <c r="H1258" i="1" a="1"/>
  <c r="H1258" i="1" s="1"/>
  <c r="G1258" i="1" a="1"/>
  <c r="G1258" i="1" s="1"/>
  <c r="F1258" i="1" a="1"/>
  <c r="F1258" i="1" s="1"/>
  <c r="I1257" i="1" a="1"/>
  <c r="I1257" i="1" s="1"/>
  <c r="H1257" i="1" a="1"/>
  <c r="H1257" i="1" s="1"/>
  <c r="G1257" i="1" a="1"/>
  <c r="G1257" i="1" s="1"/>
  <c r="F1257" i="1" a="1"/>
  <c r="F1257" i="1" s="1"/>
  <c r="I1256" i="1" a="1"/>
  <c r="I1256" i="1" s="1"/>
  <c r="H1256" i="1" a="1"/>
  <c r="H1256" i="1" s="1"/>
  <c r="G1256" i="1" a="1"/>
  <c r="G1256" i="1" s="1"/>
  <c r="F1256" i="1" a="1"/>
  <c r="F1256" i="1" s="1"/>
  <c r="I1255" i="1" a="1"/>
  <c r="I1255" i="1" s="1"/>
  <c r="H1255" i="1" a="1"/>
  <c r="H1255" i="1" s="1"/>
  <c r="G1255" i="1" a="1"/>
  <c r="G1255" i="1" s="1"/>
  <c r="F1255" i="1" a="1"/>
  <c r="F1255" i="1" s="1"/>
  <c r="I1254" i="1" a="1"/>
  <c r="I1254" i="1" s="1"/>
  <c r="H1254" i="1" a="1"/>
  <c r="H1254" i="1" s="1"/>
  <c r="G1254" i="1" a="1"/>
  <c r="G1254" i="1" s="1"/>
  <c r="F1254" i="1" a="1"/>
  <c r="F1254" i="1" s="1"/>
  <c r="I1253" i="1" a="1"/>
  <c r="I1253" i="1" s="1"/>
  <c r="H1253" i="1" a="1"/>
  <c r="H1253" i="1" s="1"/>
  <c r="G1253" i="1" a="1"/>
  <c r="G1253" i="1" s="1"/>
  <c r="F1253" i="1" a="1"/>
  <c r="F1253" i="1" s="1"/>
  <c r="I1252" i="1" a="1"/>
  <c r="I1252" i="1" s="1"/>
  <c r="H1252" i="1" a="1"/>
  <c r="H1252" i="1" s="1"/>
  <c r="G1252" i="1" a="1"/>
  <c r="G1252" i="1" s="1"/>
  <c r="F1252" i="1" a="1"/>
  <c r="F1252" i="1" s="1"/>
  <c r="I1251" i="1" a="1"/>
  <c r="I1251" i="1" s="1"/>
  <c r="H1251" i="1" a="1"/>
  <c r="H1251" i="1" s="1"/>
  <c r="G1251" i="1" a="1"/>
  <c r="G1251" i="1" s="1"/>
  <c r="F1251" i="1" a="1"/>
  <c r="F1251" i="1" s="1"/>
  <c r="I1250" i="1" a="1"/>
  <c r="I1250" i="1" s="1"/>
  <c r="H1250" i="1" a="1"/>
  <c r="H1250" i="1" s="1"/>
  <c r="G1250" i="1" a="1"/>
  <c r="G1250" i="1" s="1"/>
  <c r="F1250" i="1" a="1"/>
  <c r="F1250" i="1" s="1"/>
  <c r="I1249" i="1" a="1"/>
  <c r="I1249" i="1" s="1"/>
  <c r="H1249" i="1" a="1"/>
  <c r="H1249" i="1" s="1"/>
  <c r="G1249" i="1" a="1"/>
  <c r="G1249" i="1" s="1"/>
  <c r="F1249" i="1" a="1"/>
  <c r="F1249" i="1" s="1"/>
  <c r="I1248" i="1" a="1"/>
  <c r="I1248" i="1" s="1"/>
  <c r="H1248" i="1" a="1"/>
  <c r="H1248" i="1" s="1"/>
  <c r="G1248" i="1" a="1"/>
  <c r="G1248" i="1" s="1"/>
  <c r="F1248" i="1" a="1"/>
  <c r="F1248" i="1" s="1"/>
  <c r="I1247" i="1" a="1"/>
  <c r="I1247" i="1" s="1"/>
  <c r="H1247" i="1" a="1"/>
  <c r="H1247" i="1" s="1"/>
  <c r="G1247" i="1" a="1"/>
  <c r="G1247" i="1" s="1"/>
  <c r="F1247" i="1" a="1"/>
  <c r="F1247" i="1" s="1"/>
  <c r="I1246" i="1" a="1"/>
  <c r="I1246" i="1" s="1"/>
  <c r="H1246" i="1" a="1"/>
  <c r="H1246" i="1" s="1"/>
  <c r="G1246" i="1" a="1"/>
  <c r="G1246" i="1" s="1"/>
  <c r="F1246" i="1" a="1"/>
  <c r="F1246" i="1" s="1"/>
  <c r="I1245" i="1" a="1"/>
  <c r="I1245" i="1" s="1"/>
  <c r="H1245" i="1" a="1"/>
  <c r="H1245" i="1" s="1"/>
  <c r="G1245" i="1" a="1"/>
  <c r="G1245" i="1" s="1"/>
  <c r="F1245" i="1" a="1"/>
  <c r="F1245" i="1" s="1"/>
  <c r="I1244" i="1" a="1"/>
  <c r="I1244" i="1" s="1"/>
  <c r="H1244" i="1" a="1"/>
  <c r="H1244" i="1" s="1"/>
  <c r="G1244" i="1" a="1"/>
  <c r="G1244" i="1" s="1"/>
  <c r="F1244" i="1" a="1"/>
  <c r="F1244" i="1" s="1"/>
  <c r="I1243" i="1" a="1"/>
  <c r="I1243" i="1" s="1"/>
  <c r="H1243" i="1" a="1"/>
  <c r="H1243" i="1" s="1"/>
  <c r="G1243" i="1" a="1"/>
  <c r="G1243" i="1" s="1"/>
  <c r="F1243" i="1" a="1"/>
  <c r="F1243" i="1" s="1"/>
  <c r="I1242" i="1" a="1"/>
  <c r="I1242" i="1" s="1"/>
  <c r="H1242" i="1" a="1"/>
  <c r="H1242" i="1" s="1"/>
  <c r="G1242" i="1" a="1"/>
  <c r="G1242" i="1" s="1"/>
  <c r="F1242" i="1" a="1"/>
  <c r="F1242" i="1" s="1"/>
  <c r="I1241" i="1" a="1"/>
  <c r="I1241" i="1" s="1"/>
  <c r="H1241" i="1" a="1"/>
  <c r="H1241" i="1" s="1"/>
  <c r="G1241" i="1" a="1"/>
  <c r="G1241" i="1" s="1"/>
  <c r="F1241" i="1" a="1"/>
  <c r="F1241" i="1" s="1"/>
  <c r="I1240" i="1" a="1"/>
  <c r="I1240" i="1" s="1"/>
  <c r="H1240" i="1" a="1"/>
  <c r="H1240" i="1" s="1"/>
  <c r="G1240" i="1" a="1"/>
  <c r="G1240" i="1" s="1"/>
  <c r="F1240" i="1" a="1"/>
  <c r="F1240" i="1" s="1"/>
  <c r="I1239" i="1" a="1"/>
  <c r="I1239" i="1" s="1"/>
  <c r="H1239" i="1" a="1"/>
  <c r="H1239" i="1" s="1"/>
  <c r="G1239" i="1" a="1"/>
  <c r="G1239" i="1" s="1"/>
  <c r="F1239" i="1" a="1"/>
  <c r="F1239" i="1" s="1"/>
  <c r="I1238" i="1" a="1"/>
  <c r="I1238" i="1" s="1"/>
  <c r="H1238" i="1" a="1"/>
  <c r="H1238" i="1" s="1"/>
  <c r="G1238" i="1" a="1"/>
  <c r="G1238" i="1" s="1"/>
  <c r="F1238" i="1" a="1"/>
  <c r="F1238" i="1" s="1"/>
  <c r="I1237" i="1" a="1"/>
  <c r="I1237" i="1" s="1"/>
  <c r="H1237" i="1" a="1"/>
  <c r="H1237" i="1" s="1"/>
  <c r="G1237" i="1" a="1"/>
  <c r="G1237" i="1" s="1"/>
  <c r="F1237" i="1" a="1"/>
  <c r="F1237" i="1" s="1"/>
  <c r="I1236" i="1" a="1"/>
  <c r="I1236" i="1" s="1"/>
  <c r="H1236" i="1" a="1"/>
  <c r="H1236" i="1" s="1"/>
  <c r="G1236" i="1" a="1"/>
  <c r="G1236" i="1" s="1"/>
  <c r="F1236" i="1" a="1"/>
  <c r="F1236" i="1" s="1"/>
  <c r="I1235" i="1" a="1"/>
  <c r="I1235" i="1" s="1"/>
  <c r="H1235" i="1" a="1"/>
  <c r="H1235" i="1" s="1"/>
  <c r="G1235" i="1" a="1"/>
  <c r="G1235" i="1" s="1"/>
  <c r="F1235" i="1" a="1"/>
  <c r="F1235" i="1" s="1"/>
  <c r="I1234" i="1" a="1"/>
  <c r="I1234" i="1" s="1"/>
  <c r="H1234" i="1" a="1"/>
  <c r="H1234" i="1" s="1"/>
  <c r="G1234" i="1" a="1"/>
  <c r="G1234" i="1" s="1"/>
  <c r="F1234" i="1" a="1"/>
  <c r="F1234" i="1" s="1"/>
  <c r="I1233" i="1" a="1"/>
  <c r="I1233" i="1" s="1"/>
  <c r="H1233" i="1" a="1"/>
  <c r="H1233" i="1" s="1"/>
  <c r="G1233" i="1" a="1"/>
  <c r="G1233" i="1" s="1"/>
  <c r="F1233" i="1" a="1"/>
  <c r="F1233" i="1" s="1"/>
  <c r="I1232" i="1" a="1"/>
  <c r="I1232" i="1" s="1"/>
  <c r="H1232" i="1" a="1"/>
  <c r="H1232" i="1" s="1"/>
  <c r="G1232" i="1" a="1"/>
  <c r="G1232" i="1" s="1"/>
  <c r="F1232" i="1" a="1"/>
  <c r="F1232" i="1" s="1"/>
  <c r="I1231" i="1" a="1"/>
  <c r="I1231" i="1" s="1"/>
  <c r="H1231" i="1" a="1"/>
  <c r="H1231" i="1" s="1"/>
  <c r="G1231" i="1" a="1"/>
  <c r="G1231" i="1" s="1"/>
  <c r="F1231" i="1" a="1"/>
  <c r="F1231" i="1" s="1"/>
  <c r="I1230" i="1" a="1"/>
  <c r="I1230" i="1" s="1"/>
  <c r="H1230" i="1" a="1"/>
  <c r="H1230" i="1" s="1"/>
  <c r="G1230" i="1" a="1"/>
  <c r="G1230" i="1" s="1"/>
  <c r="F1230" i="1" a="1"/>
  <c r="F1230" i="1" s="1"/>
  <c r="I1229" i="1" a="1"/>
  <c r="I1229" i="1" s="1"/>
  <c r="H1229" i="1" a="1"/>
  <c r="H1229" i="1" s="1"/>
  <c r="G1229" i="1" a="1"/>
  <c r="G1229" i="1" s="1"/>
  <c r="F1229" i="1" a="1"/>
  <c r="F1229" i="1" s="1"/>
  <c r="I1228" i="1" a="1"/>
  <c r="I1228" i="1" s="1"/>
  <c r="H1228" i="1" a="1"/>
  <c r="H1228" i="1" s="1"/>
  <c r="G1228" i="1" a="1"/>
  <c r="G1228" i="1" s="1"/>
  <c r="F1228" i="1" a="1"/>
  <c r="F1228" i="1" s="1"/>
  <c r="I1227" i="1" a="1"/>
  <c r="I1227" i="1" s="1"/>
  <c r="H1227" i="1" a="1"/>
  <c r="H1227" i="1" s="1"/>
  <c r="G1227" i="1" a="1"/>
  <c r="G1227" i="1" s="1"/>
  <c r="F1227" i="1" a="1"/>
  <c r="F1227" i="1" s="1"/>
  <c r="I1226" i="1" a="1"/>
  <c r="I1226" i="1" s="1"/>
  <c r="H1226" i="1" a="1"/>
  <c r="H1226" i="1" s="1"/>
  <c r="G1226" i="1" a="1"/>
  <c r="G1226" i="1" s="1"/>
  <c r="F1226" i="1" a="1"/>
  <c r="F1226" i="1" s="1"/>
  <c r="I1225" i="1" a="1"/>
  <c r="I1225" i="1" s="1"/>
  <c r="H1225" i="1" a="1"/>
  <c r="H1225" i="1" s="1"/>
  <c r="G1225" i="1" a="1"/>
  <c r="G1225" i="1" s="1"/>
  <c r="F1225" i="1" a="1"/>
  <c r="F1225" i="1" s="1"/>
  <c r="I1224" i="1" a="1"/>
  <c r="I1224" i="1" s="1"/>
  <c r="H1224" i="1" a="1"/>
  <c r="H1224" i="1" s="1"/>
  <c r="G1224" i="1" a="1"/>
  <c r="G1224" i="1" s="1"/>
  <c r="F1224" i="1" a="1"/>
  <c r="F1224" i="1" s="1"/>
  <c r="I1223" i="1" a="1"/>
  <c r="I1223" i="1" s="1"/>
  <c r="H1223" i="1" a="1"/>
  <c r="H1223" i="1" s="1"/>
  <c r="G1223" i="1" a="1"/>
  <c r="G1223" i="1" s="1"/>
  <c r="F1223" i="1" a="1"/>
  <c r="F1223" i="1" s="1"/>
  <c r="I1222" i="1" a="1"/>
  <c r="I1222" i="1" s="1"/>
  <c r="H1222" i="1" a="1"/>
  <c r="H1222" i="1" s="1"/>
  <c r="G1222" i="1" a="1"/>
  <c r="G1222" i="1" s="1"/>
  <c r="F1222" i="1" a="1"/>
  <c r="F1222" i="1" s="1"/>
  <c r="I1221" i="1" a="1"/>
  <c r="I1221" i="1" s="1"/>
  <c r="H1221" i="1" a="1"/>
  <c r="H1221" i="1" s="1"/>
  <c r="G1221" i="1" a="1"/>
  <c r="G1221" i="1" s="1"/>
  <c r="F1221" i="1" a="1"/>
  <c r="F1221" i="1" s="1"/>
  <c r="I1220" i="1" a="1"/>
  <c r="I1220" i="1" s="1"/>
  <c r="H1220" i="1" a="1"/>
  <c r="H1220" i="1" s="1"/>
  <c r="G1220" i="1" a="1"/>
  <c r="G1220" i="1" s="1"/>
  <c r="F1220" i="1" a="1"/>
  <c r="F1220" i="1" s="1"/>
  <c r="I1219" i="1" a="1"/>
  <c r="I1219" i="1" s="1"/>
  <c r="H1219" i="1" a="1"/>
  <c r="H1219" i="1" s="1"/>
  <c r="G1219" i="1" a="1"/>
  <c r="G1219" i="1" s="1"/>
  <c r="F1219" i="1" a="1"/>
  <c r="F1219" i="1" s="1"/>
  <c r="I1218" i="1" a="1"/>
  <c r="I1218" i="1" s="1"/>
  <c r="H1218" i="1" a="1"/>
  <c r="H1218" i="1" s="1"/>
  <c r="G1218" i="1" a="1"/>
  <c r="G1218" i="1" s="1"/>
  <c r="F1218" i="1" a="1"/>
  <c r="F1218" i="1" s="1"/>
  <c r="I1217" i="1" a="1"/>
  <c r="I1217" i="1" s="1"/>
  <c r="H1217" i="1" a="1"/>
  <c r="H1217" i="1" s="1"/>
  <c r="G1217" i="1" a="1"/>
  <c r="G1217" i="1" s="1"/>
  <c r="F1217" i="1" a="1"/>
  <c r="F1217" i="1" s="1"/>
  <c r="I1216" i="1" a="1"/>
  <c r="I1216" i="1" s="1"/>
  <c r="H1216" i="1" a="1"/>
  <c r="H1216" i="1" s="1"/>
  <c r="G1216" i="1" a="1"/>
  <c r="G1216" i="1" s="1"/>
  <c r="F1216" i="1" a="1"/>
  <c r="F1216" i="1" s="1"/>
  <c r="I1215" i="1" a="1"/>
  <c r="I1215" i="1" s="1"/>
  <c r="H1215" i="1" a="1"/>
  <c r="H1215" i="1" s="1"/>
  <c r="G1215" i="1" a="1"/>
  <c r="G1215" i="1" s="1"/>
  <c r="F1215" i="1" a="1"/>
  <c r="F1215" i="1" s="1"/>
  <c r="I1214" i="1" a="1"/>
  <c r="I1214" i="1" s="1"/>
  <c r="H1214" i="1" a="1"/>
  <c r="H1214" i="1" s="1"/>
  <c r="G1214" i="1" a="1"/>
  <c r="G1214" i="1" s="1"/>
  <c r="F1214" i="1" a="1"/>
  <c r="F1214" i="1" s="1"/>
  <c r="I1212" i="1" a="1"/>
  <c r="I1212" i="1" s="1"/>
  <c r="H1212" i="1" a="1"/>
  <c r="H1212" i="1" s="1"/>
  <c r="G1212" i="1" a="1"/>
  <c r="G1212" i="1" s="1"/>
  <c r="F1212" i="1" a="1"/>
  <c r="F1212" i="1" s="1"/>
  <c r="I1211" i="1" a="1"/>
  <c r="I1211" i="1" s="1"/>
  <c r="H1211" i="1" a="1"/>
  <c r="H1211" i="1" s="1"/>
  <c r="G1211" i="1" a="1"/>
  <c r="G1211" i="1" s="1"/>
  <c r="F1211" i="1" a="1"/>
  <c r="F1211" i="1" s="1"/>
  <c r="I1210" i="1" a="1"/>
  <c r="I1210" i="1" s="1"/>
  <c r="H1210" i="1" a="1"/>
  <c r="H1210" i="1" s="1"/>
  <c r="G1210" i="1" a="1"/>
  <c r="G1210" i="1" s="1"/>
  <c r="F1210" i="1" a="1"/>
  <c r="F1210" i="1" s="1"/>
  <c r="I1209" i="1" a="1"/>
  <c r="I1209" i="1" s="1"/>
  <c r="H1209" i="1" a="1"/>
  <c r="H1209" i="1" s="1"/>
  <c r="G1209" i="1" a="1"/>
  <c r="G1209" i="1" s="1"/>
  <c r="F1209" i="1" a="1"/>
  <c r="F1209" i="1" s="1"/>
  <c r="I1208" i="1" a="1"/>
  <c r="I1208" i="1" s="1"/>
  <c r="H1208" i="1" a="1"/>
  <c r="H1208" i="1" s="1"/>
  <c r="G1208" i="1" a="1"/>
  <c r="G1208" i="1" s="1"/>
  <c r="F1208" i="1" a="1"/>
  <c r="F1208" i="1" s="1"/>
  <c r="I1202" i="1" a="1"/>
  <c r="I1202" i="1" s="1"/>
  <c r="H1202" i="1" a="1"/>
  <c r="H1202" i="1" s="1"/>
  <c r="G1202" i="1" a="1"/>
  <c r="G1202" i="1" s="1"/>
  <c r="F1202" i="1" a="1"/>
  <c r="F1202" i="1" s="1"/>
  <c r="I1201" i="1" a="1"/>
  <c r="I1201" i="1" s="1"/>
  <c r="H1201" i="1" a="1"/>
  <c r="H1201" i="1" s="1"/>
  <c r="G1201" i="1" a="1"/>
  <c r="G1201" i="1" s="1"/>
  <c r="F1201" i="1" a="1"/>
  <c r="F1201" i="1" s="1"/>
  <c r="I1200" i="1" a="1"/>
  <c r="I1200" i="1" s="1"/>
  <c r="H1200" i="1" a="1"/>
  <c r="H1200" i="1" s="1"/>
  <c r="G1200" i="1" a="1"/>
  <c r="G1200" i="1" s="1"/>
  <c r="F1200" i="1" a="1"/>
  <c r="F1200" i="1" s="1"/>
  <c r="I1199" i="1" a="1"/>
  <c r="I1199" i="1" s="1"/>
  <c r="H1199" i="1" a="1"/>
  <c r="H1199" i="1" s="1"/>
  <c r="G1199" i="1" a="1"/>
  <c r="G1199" i="1" s="1"/>
  <c r="F1199" i="1" a="1"/>
  <c r="F1199" i="1" s="1"/>
  <c r="I1198" i="1" a="1"/>
  <c r="I1198" i="1" s="1"/>
  <c r="H1198" i="1" a="1"/>
  <c r="H1198" i="1" s="1"/>
  <c r="G1198" i="1" a="1"/>
  <c r="G1198" i="1" s="1"/>
  <c r="F1198" i="1" a="1"/>
  <c r="F1198" i="1" s="1"/>
  <c r="I1197" i="1" a="1"/>
  <c r="I1197" i="1" s="1"/>
  <c r="H1197" i="1" a="1"/>
  <c r="H1197" i="1" s="1"/>
  <c r="G1197" i="1" a="1"/>
  <c r="G1197" i="1" s="1"/>
  <c r="F1197" i="1" a="1"/>
  <c r="F1197" i="1" s="1"/>
  <c r="I1196" i="1" a="1"/>
  <c r="I1196" i="1" s="1"/>
  <c r="H1196" i="1" a="1"/>
  <c r="H1196" i="1" s="1"/>
  <c r="G1196" i="1" a="1"/>
  <c r="G1196" i="1" s="1"/>
  <c r="F1196" i="1" a="1"/>
  <c r="F1196" i="1" s="1"/>
  <c r="I1195" i="1" a="1"/>
  <c r="I1195" i="1" s="1"/>
  <c r="H1195" i="1" a="1"/>
  <c r="H1195" i="1" s="1"/>
  <c r="G1195" i="1" a="1"/>
  <c r="G1195" i="1" s="1"/>
  <c r="F1195" i="1" a="1"/>
  <c r="F1195" i="1" s="1"/>
  <c r="I1194" i="1" a="1"/>
  <c r="I1194" i="1" s="1"/>
  <c r="H1194" i="1" a="1"/>
  <c r="H1194" i="1" s="1"/>
  <c r="G1194" i="1" a="1"/>
  <c r="G1194" i="1" s="1"/>
  <c r="F1194" i="1" a="1"/>
  <c r="F1194" i="1" s="1"/>
  <c r="I1193" i="1" a="1"/>
  <c r="I1193" i="1" s="1"/>
  <c r="H1193" i="1" a="1"/>
  <c r="H1193" i="1" s="1"/>
  <c r="G1193" i="1" a="1"/>
  <c r="G1193" i="1" s="1"/>
  <c r="F1193" i="1" a="1"/>
  <c r="F1193" i="1" s="1"/>
  <c r="I1192" i="1" a="1"/>
  <c r="I1192" i="1" s="1"/>
  <c r="H1192" i="1" a="1"/>
  <c r="H1192" i="1" s="1"/>
  <c r="G1192" i="1" a="1"/>
  <c r="G1192" i="1" s="1"/>
  <c r="F1192" i="1" a="1"/>
  <c r="F1192" i="1" s="1"/>
  <c r="I1191" i="1" a="1"/>
  <c r="I1191" i="1" s="1"/>
  <c r="H1191" i="1" a="1"/>
  <c r="H1191" i="1" s="1"/>
  <c r="G1191" i="1" a="1"/>
  <c r="G1191" i="1" s="1"/>
  <c r="F1191" i="1" a="1"/>
  <c r="F1191" i="1" s="1"/>
  <c r="I1190" i="1" a="1"/>
  <c r="I1190" i="1" s="1"/>
  <c r="H1190" i="1" a="1"/>
  <c r="H1190" i="1" s="1"/>
  <c r="G1190" i="1" a="1"/>
  <c r="G1190" i="1" s="1"/>
  <c r="F1190" i="1" a="1"/>
  <c r="F1190" i="1" s="1"/>
  <c r="I1189" i="1" a="1"/>
  <c r="I1189" i="1" s="1"/>
  <c r="H1189" i="1" a="1"/>
  <c r="H1189" i="1" s="1"/>
  <c r="G1189" i="1" a="1"/>
  <c r="G1189" i="1" s="1"/>
  <c r="F1189" i="1" a="1"/>
  <c r="F1189" i="1" s="1"/>
  <c r="I1188" i="1" a="1"/>
  <c r="I1188" i="1" s="1"/>
  <c r="H1188" i="1" a="1"/>
  <c r="H1188" i="1" s="1"/>
  <c r="G1188" i="1" a="1"/>
  <c r="G1188" i="1" s="1"/>
  <c r="F1188" i="1" a="1"/>
  <c r="F1188" i="1" s="1"/>
  <c r="I1187" i="1" a="1"/>
  <c r="I1187" i="1" s="1"/>
  <c r="H1187" i="1" a="1"/>
  <c r="H1187" i="1" s="1"/>
  <c r="G1187" i="1" a="1"/>
  <c r="G1187" i="1" s="1"/>
  <c r="F1187" i="1" a="1"/>
  <c r="F1187" i="1" s="1"/>
  <c r="I1186" i="1" a="1"/>
  <c r="I1186" i="1" s="1"/>
  <c r="H1186" i="1" a="1"/>
  <c r="H1186" i="1" s="1"/>
  <c r="G1186" i="1" a="1"/>
  <c r="G1186" i="1" s="1"/>
  <c r="F1186" i="1" a="1"/>
  <c r="F1186" i="1" s="1"/>
  <c r="I1185" i="1" a="1"/>
  <c r="I1185" i="1" s="1"/>
  <c r="H1185" i="1" a="1"/>
  <c r="H1185" i="1" s="1"/>
  <c r="G1185" i="1" a="1"/>
  <c r="G1185" i="1" s="1"/>
  <c r="F1185" i="1" a="1"/>
  <c r="F1185" i="1" s="1"/>
  <c r="I1179" i="1" a="1"/>
  <c r="I1179" i="1" s="1"/>
  <c r="H1179" i="1" a="1"/>
  <c r="H1179" i="1" s="1"/>
  <c r="G1179" i="1" a="1"/>
  <c r="G1179" i="1" s="1"/>
  <c r="F1179" i="1" a="1"/>
  <c r="F1179" i="1" s="1"/>
  <c r="I1178" i="1" a="1"/>
  <c r="I1178" i="1" s="1"/>
  <c r="H1178" i="1" a="1"/>
  <c r="H1178" i="1" s="1"/>
  <c r="G1178" i="1" a="1"/>
  <c r="G1178" i="1" s="1"/>
  <c r="F1178" i="1" a="1"/>
  <c r="F1178" i="1" s="1"/>
  <c r="I1177" i="1" a="1"/>
  <c r="I1177" i="1" s="1"/>
  <c r="H1177" i="1" a="1"/>
  <c r="H1177" i="1" s="1"/>
  <c r="G1177" i="1" a="1"/>
  <c r="G1177" i="1" s="1"/>
  <c r="F1177" i="1" a="1"/>
  <c r="F1177" i="1" s="1"/>
  <c r="I1176" i="1" a="1"/>
  <c r="I1176" i="1" s="1"/>
  <c r="H1176" i="1" a="1"/>
  <c r="H1176" i="1" s="1"/>
  <c r="G1176" i="1" a="1"/>
  <c r="G1176" i="1" s="1"/>
  <c r="F1176" i="1" a="1"/>
  <c r="F1176" i="1" s="1"/>
  <c r="I1175" i="1" a="1"/>
  <c r="I1175" i="1" s="1"/>
  <c r="H1175" i="1" a="1"/>
  <c r="H1175" i="1" s="1"/>
  <c r="G1175" i="1" a="1"/>
  <c r="G1175" i="1" s="1"/>
  <c r="F1175" i="1" a="1"/>
  <c r="F1175" i="1" s="1"/>
  <c r="I1174" i="1" a="1"/>
  <c r="I1174" i="1" s="1"/>
  <c r="H1174" i="1" a="1"/>
  <c r="H1174" i="1" s="1"/>
  <c r="G1174" i="1" a="1"/>
  <c r="G1174" i="1" s="1"/>
  <c r="F1174" i="1" a="1"/>
  <c r="F1174" i="1" s="1"/>
  <c r="I1173" i="1" a="1"/>
  <c r="I1173" i="1" s="1"/>
  <c r="H1173" i="1" a="1"/>
  <c r="H1173" i="1" s="1"/>
  <c r="G1173" i="1" a="1"/>
  <c r="G1173" i="1" s="1"/>
  <c r="F1173" i="1" a="1"/>
  <c r="F1173" i="1" s="1"/>
  <c r="I1172" i="1" a="1"/>
  <c r="I1172" i="1" s="1"/>
  <c r="H1172" i="1" a="1"/>
  <c r="H1172" i="1" s="1"/>
  <c r="G1172" i="1" a="1"/>
  <c r="G1172" i="1" s="1"/>
  <c r="F1172" i="1" a="1"/>
  <c r="F1172" i="1" s="1"/>
  <c r="I1171" i="1" a="1"/>
  <c r="I1171" i="1" s="1"/>
  <c r="H1171" i="1" a="1"/>
  <c r="H1171" i="1" s="1"/>
  <c r="G1171" i="1" a="1"/>
  <c r="G1171" i="1" s="1"/>
  <c r="F1171" i="1" a="1"/>
  <c r="F1171" i="1" s="1"/>
  <c r="I1170" i="1" a="1"/>
  <c r="I1170" i="1" s="1"/>
  <c r="H1170" i="1" a="1"/>
  <c r="H1170" i="1" s="1"/>
  <c r="G1170" i="1" a="1"/>
  <c r="G1170" i="1" s="1"/>
  <c r="F1170" i="1" a="1"/>
  <c r="F1170" i="1" s="1"/>
  <c r="I1169" i="1" a="1"/>
  <c r="I1169" i="1" s="1"/>
  <c r="H1169" i="1" a="1"/>
  <c r="H1169" i="1" s="1"/>
  <c r="G1169" i="1" a="1"/>
  <c r="G1169" i="1" s="1"/>
  <c r="F1169" i="1" a="1"/>
  <c r="F1169" i="1" s="1"/>
  <c r="I1168" i="1" a="1"/>
  <c r="I1168" i="1" s="1"/>
  <c r="H1168" i="1" a="1"/>
  <c r="H1168" i="1" s="1"/>
  <c r="G1168" i="1" a="1"/>
  <c r="G1168" i="1" s="1"/>
  <c r="F1168" i="1" a="1"/>
  <c r="F1168" i="1" s="1"/>
  <c r="I1167" i="1" a="1"/>
  <c r="I1167" i="1" s="1"/>
  <c r="H1167" i="1" a="1"/>
  <c r="H1167" i="1" s="1"/>
  <c r="G1167" i="1" a="1"/>
  <c r="G1167" i="1" s="1"/>
  <c r="F1167" i="1" a="1"/>
  <c r="F1167" i="1" s="1"/>
  <c r="I1166" i="1" a="1"/>
  <c r="I1166" i="1" s="1"/>
  <c r="H1166" i="1" a="1"/>
  <c r="H1166" i="1" s="1"/>
  <c r="G1166" i="1" a="1"/>
  <c r="G1166" i="1" s="1"/>
  <c r="F1166" i="1" a="1"/>
  <c r="F1166" i="1" s="1"/>
  <c r="I1165" i="1" a="1"/>
  <c r="I1165" i="1" s="1"/>
  <c r="H1165" i="1" a="1"/>
  <c r="H1165" i="1" s="1"/>
  <c r="G1165" i="1" a="1"/>
  <c r="G1165" i="1" s="1"/>
  <c r="F1165" i="1" a="1"/>
  <c r="F1165" i="1" s="1"/>
  <c r="I1164" i="1" a="1"/>
  <c r="I1164" i="1" s="1"/>
  <c r="H1164" i="1" a="1"/>
  <c r="H1164" i="1" s="1"/>
  <c r="G1164" i="1" a="1"/>
  <c r="G1164" i="1" s="1"/>
  <c r="F1164" i="1" a="1"/>
  <c r="F1164" i="1" s="1"/>
  <c r="I1163" i="1" a="1"/>
  <c r="I1163" i="1" s="1"/>
  <c r="H1163" i="1" a="1"/>
  <c r="H1163" i="1" s="1"/>
  <c r="G1163" i="1" a="1"/>
  <c r="G1163" i="1" s="1"/>
  <c r="F1163" i="1" a="1"/>
  <c r="F1163" i="1" s="1"/>
  <c r="I1162" i="1" a="1"/>
  <c r="I1162" i="1" s="1"/>
  <c r="H1162" i="1" a="1"/>
  <c r="H1162" i="1" s="1"/>
  <c r="G1162" i="1" a="1"/>
  <c r="G1162" i="1" s="1"/>
  <c r="F1162" i="1" a="1"/>
  <c r="F1162" i="1" s="1"/>
  <c r="I1156" i="1" a="1"/>
  <c r="I1156" i="1" s="1"/>
  <c r="H1156" i="1" a="1"/>
  <c r="H1156" i="1" s="1"/>
  <c r="G1156" i="1" a="1"/>
  <c r="G1156" i="1" s="1"/>
  <c r="F1156" i="1" a="1"/>
  <c r="F1156" i="1" s="1"/>
  <c r="I1155" i="1" a="1"/>
  <c r="I1155" i="1" s="1"/>
  <c r="H1155" i="1" a="1"/>
  <c r="H1155" i="1" s="1"/>
  <c r="G1155" i="1" a="1"/>
  <c r="G1155" i="1" s="1"/>
  <c r="F1155" i="1" a="1"/>
  <c r="F1155" i="1" s="1"/>
  <c r="I1154" i="1" a="1"/>
  <c r="I1154" i="1" s="1"/>
  <c r="H1154" i="1" a="1"/>
  <c r="H1154" i="1" s="1"/>
  <c r="G1154" i="1" a="1"/>
  <c r="G1154" i="1" s="1"/>
  <c r="F1154" i="1" a="1"/>
  <c r="F1154" i="1" s="1"/>
  <c r="I1153" i="1" a="1"/>
  <c r="I1153" i="1" s="1"/>
  <c r="H1153" i="1" a="1"/>
  <c r="H1153" i="1" s="1"/>
  <c r="G1153" i="1" a="1"/>
  <c r="G1153" i="1" s="1"/>
  <c r="F1153" i="1" a="1"/>
  <c r="F1153" i="1" s="1"/>
  <c r="I1151" i="1"/>
  <c r="H1151" i="1"/>
  <c r="G1151" i="1"/>
  <c r="F1151" i="1"/>
  <c r="I1150" i="1" a="1"/>
  <c r="I1150" i="1" s="1"/>
  <c r="H1150" i="1" a="1"/>
  <c r="H1150" i="1" s="1"/>
  <c r="G1150" i="1" a="1"/>
  <c r="G1150" i="1" s="1"/>
  <c r="F1150" i="1" a="1"/>
  <c r="F1150" i="1" s="1"/>
  <c r="I1149" i="1" a="1"/>
  <c r="I1149" i="1" s="1"/>
  <c r="H1149" i="1" a="1"/>
  <c r="H1149" i="1" s="1"/>
  <c r="G1149" i="1" a="1"/>
  <c r="G1149" i="1" s="1"/>
  <c r="F1149" i="1" a="1"/>
  <c r="F1149" i="1" s="1"/>
  <c r="I1148" i="1" a="1"/>
  <c r="I1148" i="1" s="1"/>
  <c r="H1148" i="1" a="1"/>
  <c r="H1148" i="1" s="1"/>
  <c r="G1148" i="1" a="1"/>
  <c r="G1148" i="1" s="1"/>
  <c r="F1148" i="1" a="1"/>
  <c r="F1148" i="1" s="1"/>
  <c r="I1147" i="1" a="1"/>
  <c r="I1147" i="1" s="1"/>
  <c r="H1147" i="1" a="1"/>
  <c r="H1147" i="1" s="1"/>
  <c r="G1147" i="1" a="1"/>
  <c r="G1147" i="1" s="1"/>
  <c r="F1147" i="1" a="1"/>
  <c r="F1147" i="1" s="1"/>
  <c r="I1146" i="1" a="1"/>
  <c r="I1146" i="1" s="1"/>
  <c r="H1146" i="1" a="1"/>
  <c r="H1146" i="1" s="1"/>
  <c r="G1146" i="1" a="1"/>
  <c r="G1146" i="1" s="1"/>
  <c r="F1146" i="1" a="1"/>
  <c r="F1146" i="1" s="1"/>
  <c r="I1145" i="1" a="1"/>
  <c r="I1145" i="1" s="1"/>
  <c r="H1145" i="1" a="1"/>
  <c r="H1145" i="1" s="1"/>
  <c r="G1145" i="1" a="1"/>
  <c r="G1145" i="1" s="1"/>
  <c r="F1145" i="1" a="1"/>
  <c r="F1145" i="1" s="1"/>
  <c r="I1144" i="1" a="1"/>
  <c r="I1144" i="1" s="1"/>
  <c r="H1144" i="1" a="1"/>
  <c r="H1144" i="1" s="1"/>
  <c r="G1144" i="1" a="1"/>
  <c r="G1144" i="1" s="1"/>
  <c r="F1144" i="1" a="1"/>
  <c r="F1144" i="1" s="1"/>
  <c r="I1143" i="1" a="1"/>
  <c r="I1143" i="1" s="1"/>
  <c r="H1143" i="1" a="1"/>
  <c r="H1143" i="1" s="1"/>
  <c r="G1143" i="1" a="1"/>
  <c r="G1143" i="1" s="1"/>
  <c r="F1143" i="1" a="1"/>
  <c r="F1143" i="1" s="1"/>
  <c r="I1142" i="1" a="1"/>
  <c r="I1142" i="1" s="1"/>
  <c r="H1142" i="1" a="1"/>
  <c r="H1142" i="1" s="1"/>
  <c r="G1142" i="1" a="1"/>
  <c r="G1142" i="1" s="1"/>
  <c r="F1142" i="1" a="1"/>
  <c r="F1142" i="1" s="1"/>
  <c r="I1141" i="1" a="1"/>
  <c r="I1141" i="1" s="1"/>
  <c r="H1141" i="1" a="1"/>
  <c r="H1141" i="1" s="1"/>
  <c r="G1141" i="1" a="1"/>
  <c r="G1141" i="1" s="1"/>
  <c r="F1141" i="1" a="1"/>
  <c r="F1141" i="1" s="1"/>
  <c r="I1140" i="1" a="1"/>
  <c r="I1140" i="1" s="1"/>
  <c r="H1140" i="1" a="1"/>
  <c r="H1140" i="1" s="1"/>
  <c r="G1140" i="1" a="1"/>
  <c r="G1140" i="1" s="1"/>
  <c r="F1140" i="1" a="1"/>
  <c r="F1140" i="1" s="1"/>
  <c r="I1139" i="1" a="1"/>
  <c r="I1139" i="1" s="1"/>
  <c r="H1139" i="1" a="1"/>
  <c r="H1139" i="1" s="1"/>
  <c r="G1139" i="1" a="1"/>
  <c r="G1139" i="1" s="1"/>
  <c r="F1139" i="1" a="1"/>
  <c r="F1139" i="1" s="1"/>
  <c r="I1138" i="1" a="1"/>
  <c r="I1138" i="1" s="1"/>
  <c r="H1138" i="1" a="1"/>
  <c r="H1138" i="1" s="1"/>
  <c r="G1138" i="1" a="1"/>
  <c r="G1138" i="1" s="1"/>
  <c r="F1138" i="1" a="1"/>
  <c r="F1138" i="1" s="1"/>
  <c r="I1082" i="1"/>
  <c r="H1082" i="1"/>
  <c r="G1082" i="1"/>
  <c r="F1082" i="1"/>
  <c r="I1081" i="1"/>
  <c r="I1107" i="1" s="1"/>
  <c r="H1081" i="1"/>
  <c r="H1107" i="1" s="1"/>
  <c r="G1081" i="1"/>
  <c r="G1107" i="1" s="1"/>
  <c r="F1081" i="1"/>
  <c r="F1107" i="1" s="1"/>
  <c r="I1080" i="1"/>
  <c r="I1106" i="1" s="1"/>
  <c r="H1080" i="1"/>
  <c r="H1106" i="1" s="1"/>
  <c r="G1080" i="1"/>
  <c r="G1106" i="1" s="1"/>
  <c r="F1080" i="1"/>
  <c r="F1106" i="1" s="1"/>
  <c r="I1078" i="1"/>
  <c r="I1104" i="1" s="1"/>
  <c r="H1078" i="1"/>
  <c r="H1104" i="1" s="1"/>
  <c r="G1078" i="1"/>
  <c r="G1104" i="1" s="1"/>
  <c r="F1078" i="1"/>
  <c r="F1104" i="1" s="1"/>
  <c r="I1076" i="1"/>
  <c r="I1102" i="1" s="1"/>
  <c r="H1076" i="1"/>
  <c r="H1102" i="1" s="1"/>
  <c r="G1076" i="1"/>
  <c r="G1102" i="1" s="1"/>
  <c r="F1076" i="1"/>
  <c r="F1102" i="1" s="1"/>
  <c r="I1074" i="1"/>
  <c r="I1100" i="1" s="1"/>
  <c r="H1074" i="1"/>
  <c r="H1100" i="1" s="1"/>
  <c r="G1074" i="1"/>
  <c r="G1100" i="1" s="1"/>
  <c r="F1074" i="1"/>
  <c r="F1100" i="1" s="1"/>
  <c r="I1068" i="1"/>
  <c r="I1094" i="1" s="1"/>
  <c r="H1068" i="1"/>
  <c r="H1094" i="1" s="1"/>
  <c r="G1068" i="1"/>
  <c r="G1094" i="1" s="1"/>
  <c r="F1068" i="1"/>
  <c r="F1094" i="1" s="1"/>
  <c r="I1067" i="1"/>
  <c r="H1067" i="1"/>
  <c r="G1067" i="1"/>
  <c r="F1067" i="1"/>
  <c r="I1066" i="1"/>
  <c r="H1066" i="1"/>
  <c r="G1066" i="1"/>
  <c r="F1066" i="1"/>
  <c r="I1064" i="1"/>
  <c r="I1090" i="1" s="1"/>
  <c r="H1064" i="1"/>
  <c r="H1090" i="1" s="1"/>
  <c r="G1064" i="1"/>
  <c r="G1090" i="1" s="1"/>
  <c r="F1064" i="1"/>
  <c r="F1090" i="1" s="1"/>
  <c r="I1063" i="1"/>
  <c r="I1089" i="1" s="1"/>
  <c r="H1063" i="1"/>
  <c r="H1089" i="1" s="1"/>
  <c r="G1063" i="1"/>
  <c r="G1089" i="1" s="1"/>
  <c r="F1063" i="1"/>
  <c r="F1089" i="1" s="1"/>
  <c r="I1061" i="1"/>
  <c r="I1087" i="1" s="1"/>
  <c r="H1061" i="1"/>
  <c r="H1087" i="1" s="1"/>
  <c r="G1061" i="1"/>
  <c r="G1087" i="1" s="1"/>
  <c r="F1061" i="1"/>
  <c r="F1087" i="1" s="1"/>
  <c r="I1059" i="1"/>
  <c r="I1085" i="1" s="1"/>
  <c r="H1059" i="1"/>
  <c r="H1085" i="1" s="1"/>
  <c r="G1059" i="1"/>
  <c r="G1085" i="1" s="1"/>
  <c r="F1059" i="1"/>
  <c r="F1085" i="1" s="1"/>
  <c r="I1058" i="1"/>
  <c r="I1084" i="1" s="1"/>
  <c r="H1058" i="1"/>
  <c r="H1084" i="1" s="1"/>
  <c r="G1058" i="1"/>
  <c r="G1084" i="1" s="1"/>
  <c r="F1058" i="1"/>
  <c r="F1084" i="1" s="1"/>
  <c r="I1056" i="1"/>
  <c r="H1056" i="1"/>
  <c r="G1056" i="1"/>
  <c r="F1056" i="1"/>
  <c r="I1055" i="1"/>
  <c r="H1055" i="1"/>
  <c r="G1055" i="1"/>
  <c r="F1055" i="1"/>
  <c r="I1048" i="1"/>
  <c r="H1048" i="1"/>
  <c r="G1048" i="1"/>
  <c r="F1048" i="1"/>
  <c r="I1042" i="1"/>
  <c r="H1042" i="1"/>
  <c r="G1042" i="1"/>
  <c r="F1042" i="1"/>
  <c r="I1041" i="1" a="1"/>
  <c r="I1041" i="1" s="1"/>
  <c r="H1041" i="1" a="1"/>
  <c r="H1041" i="1" s="1"/>
  <c r="G1041" i="1" a="1"/>
  <c r="G1041" i="1" s="1"/>
  <c r="F1041" i="1" a="1"/>
  <c r="F1041" i="1" s="1"/>
  <c r="I1039" i="1" a="1"/>
  <c r="I1039" i="1" s="1"/>
  <c r="H1039" i="1" a="1"/>
  <c r="H1039" i="1" s="1"/>
  <c r="G1039" i="1" a="1"/>
  <c r="G1039" i="1" s="1"/>
  <c r="F1039" i="1" a="1"/>
  <c r="F1039" i="1" s="1"/>
  <c r="I1035" i="1"/>
  <c r="H1035" i="1"/>
  <c r="G1035" i="1"/>
  <c r="F1035" i="1"/>
  <c r="I1032" i="1" a="1"/>
  <c r="I1032" i="1" s="1"/>
  <c r="H1032" i="1" a="1"/>
  <c r="H1032" i="1" s="1"/>
  <c r="G1032" i="1" a="1"/>
  <c r="G1032" i="1" s="1"/>
  <c r="F1032" i="1" a="1"/>
  <c r="F1032" i="1" s="1"/>
  <c r="I1030" i="1"/>
  <c r="H1030" i="1"/>
  <c r="G1030" i="1"/>
  <c r="F1030" i="1"/>
  <c r="I1029" i="1" a="1"/>
  <c r="I1029" i="1" s="1"/>
  <c r="H1029" i="1" a="1"/>
  <c r="H1029" i="1" s="1"/>
  <c r="G1029" i="1" a="1"/>
  <c r="G1029" i="1" s="1"/>
  <c r="F1029" i="1" a="1"/>
  <c r="F1029" i="1" s="1"/>
  <c r="I1027" i="1" a="1"/>
  <c r="I1027" i="1" s="1"/>
  <c r="H1027" i="1" a="1"/>
  <c r="H1027" i="1" s="1"/>
  <c r="G1027" i="1" a="1"/>
  <c r="G1027" i="1" s="1"/>
  <c r="F1027" i="1" a="1"/>
  <c r="F1027" i="1" s="1"/>
  <c r="I1024" i="1" a="1"/>
  <c r="I1024" i="1" s="1"/>
  <c r="H1024" i="1" a="1"/>
  <c r="H1024" i="1" s="1"/>
  <c r="G1024" i="1" a="1"/>
  <c r="G1024" i="1" s="1"/>
  <c r="F1024" i="1" a="1"/>
  <c r="F1024" i="1" s="1"/>
  <c r="I1015" i="1"/>
  <c r="H1015" i="1"/>
  <c r="G1015" i="1"/>
  <c r="F1015" i="1"/>
  <c r="I1008" i="1" a="1"/>
  <c r="I1008" i="1" s="1"/>
  <c r="I1054" i="1" s="1" a="1"/>
  <c r="I1054" i="1" s="1"/>
  <c r="H1008" i="1" a="1"/>
  <c r="H1008" i="1" s="1"/>
  <c r="H1054" i="1" s="1" a="1"/>
  <c r="H1054" i="1" s="1"/>
  <c r="G1008" i="1" a="1"/>
  <c r="G1008" i="1" s="1"/>
  <c r="G1054" i="1" s="1" a="1"/>
  <c r="G1054" i="1" s="1"/>
  <c r="F1008" i="1" a="1"/>
  <c r="F1008" i="1" s="1"/>
  <c r="F1054" i="1" s="1" a="1"/>
  <c r="F1054" i="1" s="1"/>
  <c r="I999" i="1" a="1"/>
  <c r="I999" i="1" s="1"/>
  <c r="I1051" i="1" s="1" a="1"/>
  <c r="I1051" i="1" s="1"/>
  <c r="H999" i="1" a="1"/>
  <c r="H999" i="1" s="1"/>
  <c r="H1051" i="1" s="1" a="1"/>
  <c r="H1051" i="1" s="1"/>
  <c r="G999" i="1" a="1"/>
  <c r="G999" i="1" s="1"/>
  <c r="G1051" i="1" s="1" a="1"/>
  <c r="G1051" i="1" s="1"/>
  <c r="F999" i="1" a="1"/>
  <c r="F999" i="1" s="1"/>
  <c r="F1051" i="1" s="1" a="1"/>
  <c r="F1051" i="1" s="1"/>
  <c r="I998" i="1" a="1"/>
  <c r="I998" i="1" s="1"/>
  <c r="H998" i="1" a="1"/>
  <c r="H998" i="1" s="1"/>
  <c r="G998" i="1" a="1"/>
  <c r="G998" i="1" s="1"/>
  <c r="F998" i="1" a="1"/>
  <c r="F998" i="1" s="1"/>
  <c r="I996" i="1"/>
  <c r="H996" i="1"/>
  <c r="G996" i="1"/>
  <c r="F996" i="1"/>
  <c r="I995" i="1"/>
  <c r="H995" i="1"/>
  <c r="G995" i="1"/>
  <c r="F995" i="1"/>
  <c r="I991" i="1" a="1"/>
  <c r="I991" i="1" s="1"/>
  <c r="H991" i="1" a="1"/>
  <c r="H991" i="1" s="1"/>
  <c r="G991" i="1" a="1"/>
  <c r="G991" i="1" s="1"/>
  <c r="F991" i="1" a="1"/>
  <c r="F991" i="1" s="1"/>
  <c r="I985" i="1" a="1"/>
  <c r="I985" i="1" s="1"/>
  <c r="H985" i="1" a="1"/>
  <c r="H985" i="1" s="1"/>
  <c r="G985" i="1" a="1"/>
  <c r="G985" i="1" s="1"/>
  <c r="F985" i="1" a="1"/>
  <c r="F985" i="1" s="1"/>
  <c r="I983" i="1"/>
  <c r="H983" i="1"/>
  <c r="G983" i="1"/>
  <c r="F983" i="1"/>
  <c r="I982" i="1"/>
  <c r="H982" i="1"/>
  <c r="G982" i="1"/>
  <c r="F982" i="1"/>
  <c r="I981" i="1"/>
  <c r="H981" i="1"/>
  <c r="G981" i="1"/>
  <c r="F981" i="1"/>
  <c r="I980" i="1"/>
  <c r="H980" i="1"/>
  <c r="G980" i="1"/>
  <c r="F980" i="1"/>
  <c r="I979" i="1" a="1"/>
  <c r="I979" i="1" s="1"/>
  <c r="I1053" i="1" s="1" a="1"/>
  <c r="I1053" i="1" s="1"/>
  <c r="H979" i="1" a="1"/>
  <c r="H979" i="1" s="1"/>
  <c r="H1053" i="1" s="1" a="1"/>
  <c r="H1053" i="1" s="1"/>
  <c r="G979" i="1" a="1"/>
  <c r="G979" i="1" s="1"/>
  <c r="G1053" i="1" s="1" a="1"/>
  <c r="G1053" i="1" s="1"/>
  <c r="F979" i="1" a="1"/>
  <c r="F979" i="1" s="1"/>
  <c r="F1053" i="1" s="1" a="1"/>
  <c r="F1053" i="1" s="1"/>
  <c r="I978" i="1" a="1"/>
  <c r="I978" i="1" s="1"/>
  <c r="H978" i="1" a="1"/>
  <c r="H978" i="1" s="1"/>
  <c r="G978" i="1" a="1"/>
  <c r="G978" i="1" s="1"/>
  <c r="F978" i="1" a="1"/>
  <c r="F978" i="1" s="1"/>
  <c r="I976" i="1" a="1"/>
  <c r="I976" i="1" s="1"/>
  <c r="H976" i="1" a="1"/>
  <c r="H976" i="1" s="1"/>
  <c r="G976" i="1" a="1"/>
  <c r="G976" i="1" s="1"/>
  <c r="F976" i="1" a="1"/>
  <c r="F976" i="1" s="1"/>
  <c r="I975" i="1" a="1"/>
  <c r="I975" i="1" s="1"/>
  <c r="H975" i="1" a="1"/>
  <c r="H975" i="1" s="1"/>
  <c r="G975" i="1" a="1"/>
  <c r="G975" i="1" s="1"/>
  <c r="F975" i="1" a="1"/>
  <c r="F975" i="1" s="1"/>
  <c r="I973" i="1"/>
  <c r="H973" i="1"/>
  <c r="G973" i="1"/>
  <c r="F973" i="1"/>
  <c r="I972" i="1"/>
  <c r="H972" i="1"/>
  <c r="G972" i="1"/>
  <c r="F972" i="1"/>
  <c r="I953" i="1"/>
  <c r="H953" i="1"/>
  <c r="G953" i="1"/>
  <c r="F953" i="1"/>
  <c r="I952" i="1"/>
  <c r="H952" i="1"/>
  <c r="G952" i="1"/>
  <c r="F952" i="1"/>
  <c r="I950" i="1"/>
  <c r="H950" i="1"/>
  <c r="G950" i="1"/>
  <c r="F950" i="1"/>
  <c r="I948" i="1"/>
  <c r="H948" i="1"/>
  <c r="G948" i="1"/>
  <c r="F948" i="1"/>
  <c r="I946" i="1"/>
  <c r="H946" i="1"/>
  <c r="G946" i="1"/>
  <c r="F946" i="1"/>
  <c r="I944" i="1"/>
  <c r="H944" i="1"/>
  <c r="G944" i="1"/>
  <c r="F944" i="1"/>
  <c r="I938" i="1"/>
  <c r="H938" i="1"/>
  <c r="G938" i="1"/>
  <c r="F938" i="1"/>
  <c r="I936" i="1"/>
  <c r="H936" i="1"/>
  <c r="G936" i="1"/>
  <c r="F936" i="1"/>
  <c r="I935" i="1"/>
  <c r="H935" i="1"/>
  <c r="G935" i="1"/>
  <c r="F935" i="1"/>
  <c r="I934" i="1"/>
  <c r="H934" i="1"/>
  <c r="G934" i="1"/>
  <c r="F934" i="1"/>
  <c r="I932" i="1"/>
  <c r="H932" i="1"/>
  <c r="G932" i="1"/>
  <c r="F932" i="1"/>
  <c r="I930" i="1"/>
  <c r="H930" i="1"/>
  <c r="G930" i="1"/>
  <c r="F930" i="1"/>
  <c r="I929" i="1"/>
  <c r="H929" i="1"/>
  <c r="G929" i="1"/>
  <c r="F929" i="1"/>
  <c r="I928" i="1" a="1"/>
  <c r="I928" i="1" s="1"/>
  <c r="H928" i="1" a="1"/>
  <c r="H928" i="1" s="1"/>
  <c r="G928" i="1" a="1"/>
  <c r="G928" i="1" s="1"/>
  <c r="F928" i="1" a="1"/>
  <c r="F928" i="1" s="1"/>
  <c r="I926" i="1"/>
  <c r="H926" i="1"/>
  <c r="G926" i="1"/>
  <c r="F926" i="1"/>
  <c r="I922" i="1"/>
  <c r="H922" i="1"/>
  <c r="G922" i="1"/>
  <c r="F922" i="1"/>
  <c r="I919" i="1"/>
  <c r="H919" i="1"/>
  <c r="G919" i="1"/>
  <c r="F919" i="1"/>
  <c r="I918" i="1"/>
  <c r="H918" i="1"/>
  <c r="G918" i="1"/>
  <c r="F918" i="1"/>
  <c r="I916" i="1" a="1"/>
  <c r="I916" i="1" s="1"/>
  <c r="H916" i="1" a="1"/>
  <c r="H916" i="1" s="1"/>
  <c r="G916" i="1" a="1"/>
  <c r="G916" i="1" s="1"/>
  <c r="F916" i="1" a="1"/>
  <c r="F916" i="1" s="1"/>
  <c r="I914" i="1" a="1"/>
  <c r="I914" i="1" s="1"/>
  <c r="H914" i="1" a="1"/>
  <c r="H914" i="1" s="1"/>
  <c r="G914" i="1" a="1"/>
  <c r="G914" i="1" s="1"/>
  <c r="F914" i="1" a="1"/>
  <c r="F914" i="1" s="1"/>
  <c r="I906" i="1"/>
  <c r="H906" i="1"/>
  <c r="G906" i="1"/>
  <c r="F906" i="1"/>
  <c r="I905" i="1"/>
  <c r="H905" i="1"/>
  <c r="G905" i="1"/>
  <c r="F905" i="1"/>
  <c r="I904" i="1"/>
  <c r="I901" i="1" s="1"/>
  <c r="H904" i="1"/>
  <c r="H901" i="1" s="1"/>
  <c r="G904" i="1"/>
  <c r="G901" i="1" s="1"/>
  <c r="F904" i="1"/>
  <c r="F901" i="1" s="1"/>
  <c r="I898" i="1"/>
  <c r="H898" i="1"/>
  <c r="G898" i="1"/>
  <c r="F898" i="1"/>
  <c r="I897" i="1"/>
  <c r="H897" i="1"/>
  <c r="G897" i="1"/>
  <c r="F897" i="1"/>
  <c r="I896" i="1" a="1"/>
  <c r="I896" i="1" s="1"/>
  <c r="I925" i="1" s="1"/>
  <c r="I924" i="1" s="1"/>
  <c r="H896" i="1" a="1"/>
  <c r="H896" i="1" s="1"/>
  <c r="H925" i="1" s="1"/>
  <c r="H924" i="1" s="1"/>
  <c r="G896" i="1" a="1"/>
  <c r="G896" i="1" s="1"/>
  <c r="F896" i="1" a="1"/>
  <c r="F896" i="1" s="1"/>
  <c r="I895" i="1"/>
  <c r="H895" i="1"/>
  <c r="G895" i="1"/>
  <c r="I893" i="1"/>
  <c r="H893" i="1"/>
  <c r="G893" i="1"/>
  <c r="F893" i="1"/>
  <c r="I890" i="1"/>
  <c r="H890" i="1"/>
  <c r="G890" i="1"/>
  <c r="F890" i="1"/>
  <c r="I886" i="1"/>
  <c r="H886" i="1"/>
  <c r="G886" i="1"/>
  <c r="F886" i="1"/>
  <c r="I885" i="1" a="1"/>
  <c r="I885" i="1" s="1"/>
  <c r="H885" i="1" a="1"/>
  <c r="H885" i="1" s="1"/>
  <c r="G885" i="1" a="1"/>
  <c r="G885" i="1" s="1"/>
  <c r="F885" i="1" a="1"/>
  <c r="F885" i="1" s="1"/>
  <c r="I884" i="1" a="1"/>
  <c r="I884" i="1" s="1"/>
  <c r="H884" i="1" a="1"/>
  <c r="H884" i="1" s="1"/>
  <c r="G884" i="1" a="1"/>
  <c r="G884" i="1" s="1"/>
  <c r="F884" i="1" a="1"/>
  <c r="F884" i="1" s="1"/>
  <c r="I883" i="1"/>
  <c r="H883" i="1"/>
  <c r="G883" i="1"/>
  <c r="F883" i="1"/>
  <c r="I856" i="1"/>
  <c r="I855" i="1" s="1"/>
  <c r="H856" i="1"/>
  <c r="G856" i="1"/>
  <c r="G855" i="1" s="1"/>
  <c r="F856" i="1"/>
  <c r="F855" i="1" s="1"/>
  <c r="H855" i="1"/>
  <c r="I853" i="1"/>
  <c r="H853" i="1"/>
  <c r="G853" i="1"/>
  <c r="F853" i="1"/>
  <c r="I851" i="1"/>
  <c r="H851" i="1"/>
  <c r="G851" i="1"/>
  <c r="F851" i="1"/>
  <c r="I849" i="1"/>
  <c r="H849" i="1"/>
  <c r="G849" i="1"/>
  <c r="F849" i="1"/>
  <c r="I847" i="1"/>
  <c r="H847" i="1"/>
  <c r="G847" i="1"/>
  <c r="F847" i="1"/>
  <c r="I845" i="1"/>
  <c r="H845" i="1"/>
  <c r="G845" i="1"/>
  <c r="F845" i="1"/>
  <c r="I843" i="1"/>
  <c r="H843" i="1"/>
  <c r="G843" i="1"/>
  <c r="F843" i="1"/>
  <c r="I833" i="1"/>
  <c r="H833" i="1"/>
  <c r="G833" i="1"/>
  <c r="F833" i="1"/>
  <c r="I831" i="1"/>
  <c r="H831" i="1"/>
  <c r="G831" i="1"/>
  <c r="F831" i="1"/>
  <c r="I829" i="1"/>
  <c r="H829" i="1"/>
  <c r="G829" i="1"/>
  <c r="F829" i="1"/>
  <c r="I828" i="1"/>
  <c r="H828" i="1"/>
  <c r="G828" i="1"/>
  <c r="F828" i="1"/>
  <c r="I827" i="1"/>
  <c r="H827" i="1"/>
  <c r="G827" i="1"/>
  <c r="F827" i="1"/>
  <c r="I825" i="1"/>
  <c r="H825" i="1"/>
  <c r="G825" i="1"/>
  <c r="F825" i="1"/>
  <c r="I824" i="1"/>
  <c r="H824" i="1"/>
  <c r="G824" i="1"/>
  <c r="F824" i="1"/>
  <c r="I822" i="1"/>
  <c r="H822" i="1"/>
  <c r="G822" i="1"/>
  <c r="F822" i="1"/>
  <c r="I821" i="1"/>
  <c r="H821" i="1"/>
  <c r="G821" i="1"/>
  <c r="F821" i="1"/>
  <c r="I820" i="1"/>
  <c r="H820" i="1"/>
  <c r="G820" i="1"/>
  <c r="F820" i="1"/>
  <c r="I818" i="1"/>
  <c r="H818" i="1"/>
  <c r="G818" i="1"/>
  <c r="F818" i="1"/>
  <c r="I815" i="1"/>
  <c r="H815" i="1"/>
  <c r="G815" i="1"/>
  <c r="F815" i="1"/>
  <c r="I813" i="1"/>
  <c r="H813" i="1"/>
  <c r="G813" i="1"/>
  <c r="F813" i="1"/>
  <c r="I811" i="1"/>
  <c r="H811" i="1"/>
  <c r="G811" i="1"/>
  <c r="F811" i="1"/>
  <c r="I807" i="1"/>
  <c r="H807" i="1"/>
  <c r="G807" i="1"/>
  <c r="F807" i="1"/>
  <c r="I806" i="1" a="1"/>
  <c r="I806" i="1" s="1"/>
  <c r="H806" i="1" a="1"/>
  <c r="H806" i="1" s="1"/>
  <c r="G806" i="1" a="1"/>
  <c r="G806" i="1" s="1"/>
  <c r="F806" i="1" a="1"/>
  <c r="F806" i="1" s="1"/>
  <c r="I804" i="1" a="1"/>
  <c r="I804" i="1" s="1"/>
  <c r="H804" i="1" a="1"/>
  <c r="H804" i="1" s="1"/>
  <c r="G804" i="1" a="1"/>
  <c r="G804" i="1" s="1"/>
  <c r="F804" i="1" a="1"/>
  <c r="F804" i="1" s="1"/>
  <c r="I802" i="1" a="1"/>
  <c r="I802" i="1" s="1"/>
  <c r="H802" i="1" a="1"/>
  <c r="H802" i="1" s="1"/>
  <c r="G802" i="1" a="1"/>
  <c r="G802" i="1" s="1"/>
  <c r="F802" i="1" a="1"/>
  <c r="F802" i="1" s="1"/>
  <c r="I791" i="1"/>
  <c r="H791" i="1"/>
  <c r="G791" i="1"/>
  <c r="F791" i="1"/>
  <c r="I789" i="1"/>
  <c r="H789" i="1"/>
  <c r="G789" i="1"/>
  <c r="F789" i="1"/>
  <c r="I788" i="1"/>
  <c r="H788" i="1"/>
  <c r="G788" i="1"/>
  <c r="F788" i="1"/>
  <c r="I782" i="1"/>
  <c r="H782" i="1"/>
  <c r="G782" i="1"/>
  <c r="F782" i="1"/>
  <c r="I780" i="1" a="1"/>
  <c r="I780" i="1" s="1"/>
  <c r="I779" i="1" s="1"/>
  <c r="H780" i="1" a="1"/>
  <c r="H780" i="1" s="1"/>
  <c r="H779" i="1" s="1"/>
  <c r="H786" i="1" s="1"/>
  <c r="H787" i="1" s="1"/>
  <c r="G780" i="1" a="1"/>
  <c r="G780" i="1" s="1"/>
  <c r="G779" i="1" s="1"/>
  <c r="F780" i="1" a="1"/>
  <c r="F780" i="1" s="1"/>
  <c r="F779" i="1" s="1"/>
  <c r="I778" i="1"/>
  <c r="H778" i="1"/>
  <c r="G778" i="1"/>
  <c r="F778" i="1"/>
  <c r="I776" i="1"/>
  <c r="H776" i="1"/>
  <c r="G776" i="1"/>
  <c r="F776" i="1"/>
  <c r="I774" i="1"/>
  <c r="H774" i="1"/>
  <c r="G774" i="1"/>
  <c r="F774" i="1"/>
  <c r="I772" i="1"/>
  <c r="H772" i="1"/>
  <c r="G772" i="1"/>
  <c r="F772" i="1"/>
  <c r="I767" i="1"/>
  <c r="H767" i="1"/>
  <c r="G767" i="1"/>
  <c r="F767" i="1"/>
  <c r="I766" i="1" a="1"/>
  <c r="I766" i="1" s="1"/>
  <c r="I816" i="1" s="1" a="1"/>
  <c r="I816" i="1" s="1"/>
  <c r="H766" i="1" a="1"/>
  <c r="H766" i="1" s="1"/>
  <c r="H816" i="1" s="1" a="1"/>
  <c r="H816" i="1" s="1"/>
  <c r="G766" i="1" a="1"/>
  <c r="G766" i="1" s="1"/>
  <c r="G816" i="1" s="1" a="1"/>
  <c r="G816" i="1" s="1"/>
  <c r="F766" i="1" a="1"/>
  <c r="F766" i="1" s="1"/>
  <c r="F816" i="1" s="1" a="1"/>
  <c r="F816" i="1" s="1"/>
  <c r="I764" i="1"/>
  <c r="H764" i="1"/>
  <c r="G764" i="1"/>
  <c r="F764" i="1"/>
  <c r="I743" i="1" a="1"/>
  <c r="I743" i="1" s="1"/>
  <c r="H743" i="1" a="1"/>
  <c r="H743" i="1" s="1"/>
  <c r="G743" i="1" a="1"/>
  <c r="G743" i="1" s="1"/>
  <c r="F743" i="1"/>
  <c r="F743" i="1" a="1"/>
  <c r="I740" i="1" a="1"/>
  <c r="I740" i="1" s="1"/>
  <c r="H740" i="1" a="1"/>
  <c r="H740" i="1" s="1"/>
  <c r="G740" i="1" a="1"/>
  <c r="G740" i="1" s="1"/>
  <c r="F740" i="1" a="1"/>
  <c r="F740" i="1" s="1"/>
  <c r="I727" i="1" a="1"/>
  <c r="I727" i="1" s="1"/>
  <c r="H727" i="1" a="1"/>
  <c r="H727" i="1" s="1"/>
  <c r="G727" i="1" a="1"/>
  <c r="G727" i="1" s="1"/>
  <c r="F727" i="1" a="1"/>
  <c r="F727" i="1" s="1"/>
  <c r="I724" i="1" a="1"/>
  <c r="I724" i="1" s="1"/>
  <c r="H724" i="1" a="1"/>
  <c r="H724" i="1" s="1"/>
  <c r="G724" i="1" a="1"/>
  <c r="G724" i="1" s="1"/>
  <c r="F724" i="1" a="1"/>
  <c r="F724" i="1" s="1"/>
  <c r="I720" i="1" a="1"/>
  <c r="I720" i="1" s="1"/>
  <c r="H720" i="1" a="1"/>
  <c r="H720" i="1" s="1"/>
  <c r="G720" i="1" a="1"/>
  <c r="G720" i="1" s="1"/>
  <c r="F720" i="1" a="1"/>
  <c r="F720" i="1" s="1"/>
  <c r="I719" i="1" a="1"/>
  <c r="I719" i="1" s="1"/>
  <c r="H719" i="1" a="1"/>
  <c r="H719" i="1" s="1"/>
  <c r="G719" i="1" a="1"/>
  <c r="G719" i="1" s="1"/>
  <c r="F719" i="1" a="1"/>
  <c r="F719" i="1" s="1"/>
  <c r="I718" i="1" a="1"/>
  <c r="I718" i="1" s="1"/>
  <c r="H718" i="1" a="1"/>
  <c r="H718" i="1" s="1"/>
  <c r="G718" i="1" a="1"/>
  <c r="G718" i="1" s="1"/>
  <c r="F718" i="1" a="1"/>
  <c r="F718" i="1" s="1"/>
  <c r="I716" i="1" a="1"/>
  <c r="I716" i="1" s="1"/>
  <c r="H716" i="1" a="1"/>
  <c r="H716" i="1" s="1"/>
  <c r="G716" i="1" a="1"/>
  <c r="G716" i="1" s="1"/>
  <c r="F716" i="1" a="1"/>
  <c r="F716" i="1" s="1"/>
  <c r="I711" i="1" a="1"/>
  <c r="I711" i="1" s="1"/>
  <c r="H711" i="1" a="1"/>
  <c r="H711" i="1" s="1"/>
  <c r="G711" i="1" a="1"/>
  <c r="G711" i="1" s="1"/>
  <c r="F711" i="1" a="1"/>
  <c r="F711" i="1" s="1"/>
  <c r="I709" i="1" a="1"/>
  <c r="I709" i="1" s="1"/>
  <c r="H709" i="1" a="1"/>
  <c r="H709" i="1" s="1"/>
  <c r="G709" i="1" a="1"/>
  <c r="G709" i="1" s="1"/>
  <c r="F709" i="1" a="1"/>
  <c r="F709" i="1" s="1"/>
  <c r="I707" i="1"/>
  <c r="H707" i="1"/>
  <c r="G707" i="1"/>
  <c r="F707" i="1"/>
  <c r="I706" i="1"/>
  <c r="H706" i="1"/>
  <c r="G706" i="1"/>
  <c r="F706" i="1"/>
  <c r="I697" i="1" a="1"/>
  <c r="I697" i="1" s="1"/>
  <c r="H697" i="1" a="1"/>
  <c r="H697" i="1" s="1"/>
  <c r="G697" i="1" a="1"/>
  <c r="G697" i="1" s="1"/>
  <c r="F697" i="1" a="1"/>
  <c r="F697" i="1" s="1"/>
  <c r="I696" i="1" a="1"/>
  <c r="I696" i="1" s="1"/>
  <c r="H696" i="1" a="1"/>
  <c r="H696" i="1" s="1"/>
  <c r="G696" i="1" a="1"/>
  <c r="G696" i="1" s="1"/>
  <c r="F696" i="1" a="1"/>
  <c r="F696" i="1" s="1"/>
  <c r="I688" i="1" a="1"/>
  <c r="I688" i="1" s="1"/>
  <c r="H688" i="1" a="1"/>
  <c r="H688" i="1" s="1"/>
  <c r="G688" i="1" a="1"/>
  <c r="G688" i="1" s="1"/>
  <c r="F688" i="1" a="1"/>
  <c r="F688" i="1" s="1"/>
  <c r="I687" i="1" a="1"/>
  <c r="I687" i="1" s="1"/>
  <c r="H687" i="1" a="1"/>
  <c r="H687" i="1" s="1"/>
  <c r="G687" i="1" a="1"/>
  <c r="G687" i="1" s="1"/>
  <c r="F687" i="1" a="1"/>
  <c r="F687" i="1" s="1"/>
  <c r="I685" i="1" a="1"/>
  <c r="I685" i="1" s="1"/>
  <c r="H685" i="1" a="1"/>
  <c r="H685" i="1" s="1"/>
  <c r="G685" i="1" a="1"/>
  <c r="G685" i="1" s="1"/>
  <c r="F685" i="1" a="1"/>
  <c r="F685" i="1" s="1"/>
  <c r="I683" i="1" a="1"/>
  <c r="I683" i="1" s="1"/>
  <c r="H683" i="1" a="1"/>
  <c r="H683" i="1" s="1"/>
  <c r="G683" i="1" a="1"/>
  <c r="G683" i="1" s="1"/>
  <c r="F683" i="1" a="1"/>
  <c r="F683" i="1" s="1"/>
  <c r="I682" i="1" a="1"/>
  <c r="I682" i="1" s="1"/>
  <c r="H682" i="1" a="1"/>
  <c r="H682" i="1" s="1"/>
  <c r="G682" i="1" a="1"/>
  <c r="G682" i="1" s="1"/>
  <c r="F682" i="1" a="1"/>
  <c r="F682" i="1" s="1"/>
  <c r="I681" i="1" a="1"/>
  <c r="I681" i="1" s="1"/>
  <c r="H681" i="1" a="1"/>
  <c r="H681" i="1" s="1"/>
  <c r="G681" i="1" a="1"/>
  <c r="G681" i="1" s="1"/>
  <c r="F681" i="1" a="1"/>
  <c r="F681" i="1" s="1"/>
  <c r="I678" i="1"/>
  <c r="H678" i="1"/>
  <c r="G678" i="1"/>
  <c r="F678" i="1"/>
  <c r="I677" i="1"/>
  <c r="H677" i="1"/>
  <c r="G677" i="1"/>
  <c r="F677" i="1"/>
  <c r="I669" i="1"/>
  <c r="I675" i="1" s="1"/>
  <c r="H669" i="1"/>
  <c r="H675" i="1" s="1"/>
  <c r="G669" i="1"/>
  <c r="G675" i="1" s="1"/>
  <c r="F669" i="1"/>
  <c r="F675" i="1" s="1"/>
  <c r="I668" i="1"/>
  <c r="I674" i="1" s="1"/>
  <c r="H668" i="1"/>
  <c r="H674" i="1" s="1"/>
  <c r="G668" i="1"/>
  <c r="G674" i="1" s="1"/>
  <c r="F668" i="1"/>
  <c r="F674" i="1" s="1"/>
  <c r="I667" i="1"/>
  <c r="H667" i="1"/>
  <c r="G667" i="1"/>
  <c r="F667" i="1"/>
  <c r="I666" i="1" a="1"/>
  <c r="I666" i="1" s="1"/>
  <c r="H666" i="1" a="1"/>
  <c r="H666" i="1" s="1"/>
  <c r="G666" i="1" a="1"/>
  <c r="G666" i="1" s="1"/>
  <c r="F666" i="1" a="1"/>
  <c r="F666" i="1" s="1"/>
  <c r="I665" i="1" a="1"/>
  <c r="I665" i="1" s="1"/>
  <c r="H665" i="1" a="1"/>
  <c r="H665" i="1" s="1"/>
  <c r="G665" i="1" a="1"/>
  <c r="G665" i="1" s="1"/>
  <c r="F665" i="1" a="1"/>
  <c r="F665" i="1" s="1"/>
  <c r="I664" i="1" a="1"/>
  <c r="I664" i="1" s="1"/>
  <c r="H664" i="1" a="1"/>
  <c r="H664" i="1" s="1"/>
  <c r="G664" i="1" a="1"/>
  <c r="G664" i="1" s="1"/>
  <c r="F664" i="1" a="1"/>
  <c r="F664" i="1" s="1"/>
  <c r="I663" i="1"/>
  <c r="H663" i="1"/>
  <c r="G663" i="1"/>
  <c r="F663" i="1"/>
  <c r="I653" i="1" a="1"/>
  <c r="I653" i="1" s="1"/>
  <c r="H653" i="1" a="1"/>
  <c r="H653" i="1" s="1"/>
  <c r="G653" i="1" a="1"/>
  <c r="G653" i="1" s="1"/>
  <c r="F653" i="1" a="1"/>
  <c r="F653" i="1" s="1"/>
  <c r="I652" i="1" a="1"/>
  <c r="I652" i="1" s="1"/>
  <c r="H652" i="1" a="1"/>
  <c r="H652" i="1" s="1"/>
  <c r="G652" i="1" a="1"/>
  <c r="G652" i="1" s="1"/>
  <c r="F652" i="1" a="1"/>
  <c r="F652" i="1" s="1"/>
  <c r="I650" i="1" a="1"/>
  <c r="I650" i="1" s="1"/>
  <c r="H650" i="1" a="1"/>
  <c r="H650" i="1" s="1"/>
  <c r="G650" i="1" a="1"/>
  <c r="G650" i="1" s="1"/>
  <c r="F650" i="1" a="1"/>
  <c r="F650" i="1" s="1"/>
  <c r="I649" i="1" a="1"/>
  <c r="I649" i="1" s="1"/>
  <c r="H649" i="1" a="1"/>
  <c r="H649" i="1" s="1"/>
  <c r="G649" i="1" a="1"/>
  <c r="G649" i="1" s="1"/>
  <c r="F649" i="1" a="1"/>
  <c r="F649" i="1" s="1"/>
  <c r="I648" i="1" a="1"/>
  <c r="I648" i="1" s="1"/>
  <c r="H648" i="1" a="1"/>
  <c r="H648" i="1" s="1"/>
  <c r="G648" i="1" a="1"/>
  <c r="G648" i="1" s="1"/>
  <c r="F648" i="1" a="1"/>
  <c r="F648" i="1" s="1"/>
  <c r="I647" i="1" a="1"/>
  <c r="I647" i="1" s="1"/>
  <c r="H647" i="1" a="1"/>
  <c r="H647" i="1" s="1"/>
  <c r="G647" i="1" a="1"/>
  <c r="G647" i="1" s="1"/>
  <c r="F647" i="1" a="1"/>
  <c r="F647" i="1" s="1"/>
  <c r="I645" i="1" a="1"/>
  <c r="I645" i="1" s="1"/>
  <c r="H645" i="1" a="1"/>
  <c r="H645" i="1" s="1"/>
  <c r="G645" i="1" a="1"/>
  <c r="G645" i="1" s="1"/>
  <c r="F645" i="1" a="1"/>
  <c r="F645" i="1" s="1"/>
  <c r="I643" i="1" a="1"/>
  <c r="I643" i="1" s="1"/>
  <c r="H643" i="1" a="1"/>
  <c r="H643" i="1" s="1"/>
  <c r="G643" i="1" a="1"/>
  <c r="G643" i="1" s="1"/>
  <c r="F643" i="1" a="1"/>
  <c r="F643" i="1" s="1"/>
  <c r="I642" i="1" a="1"/>
  <c r="I642" i="1" s="1"/>
  <c r="H642" i="1" a="1"/>
  <c r="H642" i="1" s="1"/>
  <c r="G642" i="1" a="1"/>
  <c r="G642" i="1" s="1"/>
  <c r="F642" i="1" a="1"/>
  <c r="F642" i="1" s="1"/>
  <c r="I640" i="1" a="1"/>
  <c r="I640" i="1" s="1"/>
  <c r="H640" i="1" a="1"/>
  <c r="H640" i="1" s="1"/>
  <c r="G640" i="1" a="1"/>
  <c r="G640" i="1" s="1"/>
  <c r="F640" i="1" a="1"/>
  <c r="F640" i="1" s="1"/>
  <c r="I639" i="1" a="1"/>
  <c r="I639" i="1" s="1"/>
  <c r="H639" i="1" a="1"/>
  <c r="H639" i="1" s="1"/>
  <c r="G639" i="1" a="1"/>
  <c r="G639" i="1" s="1"/>
  <c r="F639" i="1" a="1"/>
  <c r="F639" i="1" s="1"/>
  <c r="I638" i="1" a="1"/>
  <c r="I638" i="1" s="1"/>
  <c r="H638" i="1" a="1"/>
  <c r="H638" i="1" s="1"/>
  <c r="G638" i="1" a="1"/>
  <c r="G638" i="1" s="1"/>
  <c r="F638" i="1" a="1"/>
  <c r="F638" i="1" s="1"/>
  <c r="I637" i="1" a="1"/>
  <c r="I637" i="1" s="1"/>
  <c r="H637" i="1" a="1"/>
  <c r="H637" i="1" s="1"/>
  <c r="G637" i="1" a="1"/>
  <c r="G637" i="1" s="1"/>
  <c r="F637" i="1" a="1"/>
  <c r="F637" i="1" s="1"/>
  <c r="I635" i="1" a="1"/>
  <c r="I635" i="1" s="1"/>
  <c r="H635" i="1" a="1"/>
  <c r="H635" i="1" s="1"/>
  <c r="G635" i="1" a="1"/>
  <c r="G635" i="1" s="1"/>
  <c r="F635" i="1" a="1"/>
  <c r="F635" i="1" s="1"/>
  <c r="I633" i="1" a="1"/>
  <c r="I633" i="1" s="1"/>
  <c r="H633" i="1" a="1"/>
  <c r="H633" i="1" s="1"/>
  <c r="G633" i="1" a="1"/>
  <c r="G633" i="1" s="1"/>
  <c r="F633" i="1" a="1"/>
  <c r="F633" i="1" s="1"/>
  <c r="I632" i="1" a="1"/>
  <c r="I632" i="1" s="1"/>
  <c r="H632" i="1" a="1"/>
  <c r="H632" i="1" s="1"/>
  <c r="G632" i="1" a="1"/>
  <c r="G632" i="1" s="1"/>
  <c r="F632" i="1" a="1"/>
  <c r="F632" i="1" s="1"/>
  <c r="I630" i="1" a="1"/>
  <c r="I630" i="1" s="1"/>
  <c r="H630" i="1" a="1"/>
  <c r="H630" i="1" s="1"/>
  <c r="G630" i="1" a="1"/>
  <c r="G630" i="1" s="1"/>
  <c r="F630" i="1" a="1"/>
  <c r="F630" i="1" s="1"/>
  <c r="I629" i="1" a="1"/>
  <c r="I629" i="1" s="1"/>
  <c r="H629" i="1" a="1"/>
  <c r="H629" i="1" s="1"/>
  <c r="G629" i="1" a="1"/>
  <c r="G629" i="1" s="1"/>
  <c r="F629" i="1" a="1"/>
  <c r="F629" i="1" s="1"/>
  <c r="I628" i="1" a="1"/>
  <c r="I628" i="1" s="1"/>
  <c r="H628" i="1" a="1"/>
  <c r="H628" i="1" s="1"/>
  <c r="G628" i="1" a="1"/>
  <c r="G628" i="1" s="1"/>
  <c r="F628" i="1" a="1"/>
  <c r="F628" i="1" s="1"/>
  <c r="I627" i="1" a="1"/>
  <c r="I627" i="1" s="1"/>
  <c r="H627" i="1" a="1"/>
  <c r="H627" i="1" s="1"/>
  <c r="G627" i="1" a="1"/>
  <c r="G627" i="1" s="1"/>
  <c r="F627" i="1" a="1"/>
  <c r="F627" i="1" s="1"/>
  <c r="I625" i="1" a="1"/>
  <c r="I625" i="1" s="1"/>
  <c r="H625" i="1" a="1"/>
  <c r="H625" i="1" s="1"/>
  <c r="G625" i="1" a="1"/>
  <c r="G625" i="1" s="1"/>
  <c r="F625" i="1" a="1"/>
  <c r="F625" i="1" s="1"/>
  <c r="I623" i="1" a="1"/>
  <c r="I623" i="1" s="1"/>
  <c r="H623" i="1" a="1"/>
  <c r="H623" i="1" s="1"/>
  <c r="G623" i="1" a="1"/>
  <c r="G623" i="1" s="1"/>
  <c r="F623" i="1" a="1"/>
  <c r="F623" i="1" s="1"/>
  <c r="I622" i="1" a="1"/>
  <c r="I622" i="1" s="1"/>
  <c r="H622" i="1" a="1"/>
  <c r="H622" i="1" s="1"/>
  <c r="G622" i="1" a="1"/>
  <c r="G622" i="1" s="1"/>
  <c r="F622" i="1" a="1"/>
  <c r="F622" i="1" s="1"/>
  <c r="I621" i="1"/>
  <c r="H621" i="1"/>
  <c r="G621" i="1"/>
  <c r="F621" i="1"/>
  <c r="I620" i="1" a="1"/>
  <c r="I620" i="1" s="1"/>
  <c r="H620" i="1" a="1"/>
  <c r="H620" i="1" s="1"/>
  <c r="G620" i="1" a="1"/>
  <c r="G620" i="1" s="1"/>
  <c r="F620" i="1" a="1"/>
  <c r="F620" i="1" s="1"/>
  <c r="I619" i="1" a="1"/>
  <c r="I619" i="1" s="1"/>
  <c r="H619" i="1" a="1"/>
  <c r="H619" i="1" s="1"/>
  <c r="G619" i="1" a="1"/>
  <c r="G619" i="1" s="1"/>
  <c r="F619" i="1" a="1"/>
  <c r="F619" i="1" s="1"/>
  <c r="I618" i="1" a="1"/>
  <c r="I618" i="1" s="1"/>
  <c r="H618" i="1" a="1"/>
  <c r="H618" i="1" s="1"/>
  <c r="G618" i="1" a="1"/>
  <c r="G618" i="1" s="1"/>
  <c r="F618" i="1" a="1"/>
  <c r="F618" i="1" s="1"/>
  <c r="I617" i="1" a="1"/>
  <c r="I617" i="1" s="1"/>
  <c r="H617" i="1" a="1"/>
  <c r="H617" i="1" s="1"/>
  <c r="G617" i="1" a="1"/>
  <c r="G617" i="1" s="1"/>
  <c r="F617" i="1" a="1"/>
  <c r="F617" i="1" s="1"/>
  <c r="I616" i="1"/>
  <c r="H616" i="1"/>
  <c r="G616" i="1"/>
  <c r="F616" i="1"/>
  <c r="I615" i="1"/>
  <c r="H615" i="1"/>
  <c r="G615" i="1"/>
  <c r="F615" i="1"/>
  <c r="I610" i="1" a="1"/>
  <c r="I610" i="1" s="1"/>
  <c r="H610" i="1" a="1"/>
  <c r="H610" i="1" s="1"/>
  <c r="G610" i="1" a="1"/>
  <c r="G610" i="1" s="1"/>
  <c r="F610" i="1" a="1"/>
  <c r="F610" i="1" s="1"/>
  <c r="I609" i="1" a="1"/>
  <c r="I609" i="1" s="1"/>
  <c r="H609" i="1" a="1"/>
  <c r="H609" i="1" s="1"/>
  <c r="G609" i="1" a="1"/>
  <c r="G609" i="1" s="1"/>
  <c r="F609" i="1" a="1"/>
  <c r="F609" i="1" s="1"/>
  <c r="I607" i="1" a="1"/>
  <c r="I607" i="1" s="1"/>
  <c r="H607" i="1" a="1"/>
  <c r="H607" i="1" s="1"/>
  <c r="G607" i="1" a="1"/>
  <c r="G607" i="1" s="1"/>
  <c r="F607" i="1" a="1"/>
  <c r="F607" i="1" s="1"/>
  <c r="I606" i="1" a="1"/>
  <c r="I606" i="1" s="1"/>
  <c r="H606" i="1" a="1"/>
  <c r="H606" i="1" s="1"/>
  <c r="G606" i="1" a="1"/>
  <c r="G606" i="1" s="1"/>
  <c r="F606" i="1" a="1"/>
  <c r="F606" i="1" s="1"/>
  <c r="I603" i="1" a="1"/>
  <c r="I603" i="1" s="1"/>
  <c r="H603" i="1" a="1"/>
  <c r="H603" i="1" s="1"/>
  <c r="G603" i="1" a="1"/>
  <c r="G603" i="1" s="1"/>
  <c r="F603" i="1" a="1"/>
  <c r="F603" i="1" s="1"/>
  <c r="I602" i="1" a="1"/>
  <c r="I602" i="1" s="1"/>
  <c r="H602" i="1" a="1"/>
  <c r="H602" i="1" s="1"/>
  <c r="G602" i="1" a="1"/>
  <c r="G602" i="1" s="1"/>
  <c r="F602" i="1" a="1"/>
  <c r="F602" i="1" s="1"/>
  <c r="I600" i="1"/>
  <c r="H600" i="1"/>
  <c r="G600" i="1"/>
  <c r="F600" i="1"/>
  <c r="I596" i="1" a="1"/>
  <c r="I596" i="1" s="1"/>
  <c r="H596" i="1" a="1"/>
  <c r="H596" i="1" s="1"/>
  <c r="G596" i="1" a="1"/>
  <c r="G596" i="1" s="1"/>
  <c r="F596" i="1" a="1"/>
  <c r="F596" i="1" s="1"/>
  <c r="I595" i="1" a="1"/>
  <c r="I595" i="1" s="1"/>
  <c r="H595" i="1" a="1"/>
  <c r="H595" i="1" s="1"/>
  <c r="G595" i="1" a="1"/>
  <c r="G595" i="1" s="1"/>
  <c r="F595" i="1" a="1"/>
  <c r="F595" i="1" s="1"/>
  <c r="I593" i="1" a="1"/>
  <c r="I593" i="1" s="1"/>
  <c r="H593" i="1" a="1"/>
  <c r="H593" i="1" s="1"/>
  <c r="G593" i="1" a="1"/>
  <c r="G593" i="1" s="1"/>
  <c r="F593" i="1" a="1"/>
  <c r="F593" i="1" s="1"/>
  <c r="I592" i="1" a="1"/>
  <c r="I592" i="1" s="1"/>
  <c r="H592" i="1" a="1"/>
  <c r="H592" i="1" s="1"/>
  <c r="G592" i="1" a="1"/>
  <c r="G592" i="1" s="1"/>
  <c r="F592" i="1" a="1"/>
  <c r="F592" i="1" s="1"/>
  <c r="I589" i="1" a="1"/>
  <c r="I589" i="1" s="1"/>
  <c r="H589" i="1" a="1"/>
  <c r="H589" i="1" s="1"/>
  <c r="G589" i="1" a="1"/>
  <c r="G589" i="1" s="1"/>
  <c r="F589" i="1" a="1"/>
  <c r="F589" i="1" s="1"/>
  <c r="I588" i="1" a="1"/>
  <c r="I588" i="1" s="1"/>
  <c r="H588" i="1" a="1"/>
  <c r="H588" i="1" s="1"/>
  <c r="G588" i="1" a="1"/>
  <c r="G588" i="1" s="1"/>
  <c r="F588" i="1" a="1"/>
  <c r="F588" i="1" s="1"/>
  <c r="I585" i="1" a="1"/>
  <c r="I585" i="1" s="1"/>
  <c r="H585" i="1" a="1"/>
  <c r="H585" i="1" s="1"/>
  <c r="G585" i="1" a="1"/>
  <c r="G585" i="1" s="1"/>
  <c r="F585" i="1" a="1"/>
  <c r="F585" i="1" s="1"/>
  <c r="I584" i="1" a="1"/>
  <c r="I584" i="1" s="1"/>
  <c r="H584" i="1" a="1"/>
  <c r="H584" i="1" s="1"/>
  <c r="G584" i="1" a="1"/>
  <c r="G584" i="1" s="1"/>
  <c r="F584" i="1" a="1"/>
  <c r="F584" i="1" s="1"/>
  <c r="I582" i="1"/>
  <c r="H582" i="1"/>
  <c r="G582" i="1"/>
  <c r="F582" i="1"/>
  <c r="I505" i="1"/>
  <c r="H505" i="1"/>
  <c r="G505" i="1"/>
  <c r="F505" i="1"/>
  <c r="I462" i="1"/>
  <c r="H462" i="1"/>
  <c r="G462" i="1"/>
  <c r="F462" i="1"/>
  <c r="I460" i="1"/>
  <c r="H460" i="1"/>
  <c r="G460" i="1"/>
  <c r="F460" i="1"/>
  <c r="I458" i="1"/>
  <c r="H458" i="1"/>
  <c r="G458" i="1"/>
  <c r="F458" i="1"/>
  <c r="I456" i="1"/>
  <c r="H456" i="1"/>
  <c r="G456" i="1"/>
  <c r="F456" i="1"/>
  <c r="I450" i="1"/>
  <c r="H450" i="1"/>
  <c r="G450" i="1"/>
  <c r="F450" i="1"/>
  <c r="I448" i="1"/>
  <c r="H448" i="1"/>
  <c r="G448" i="1"/>
  <c r="F448" i="1"/>
  <c r="I446" i="1"/>
  <c r="H446" i="1"/>
  <c r="G446" i="1"/>
  <c r="F446" i="1"/>
  <c r="I444" i="1"/>
  <c r="H444" i="1"/>
  <c r="G444" i="1"/>
  <c r="F444" i="1"/>
  <c r="I408" i="1"/>
  <c r="H408" i="1"/>
  <c r="G408" i="1"/>
  <c r="F408" i="1"/>
  <c r="I407" i="1"/>
  <c r="H407" i="1"/>
  <c r="G407" i="1"/>
  <c r="F407" i="1"/>
  <c r="I406" i="1"/>
  <c r="H406" i="1"/>
  <c r="G406" i="1"/>
  <c r="F406" i="1"/>
  <c r="I405" i="1"/>
  <c r="H405" i="1"/>
  <c r="G405" i="1"/>
  <c r="F405" i="1"/>
  <c r="I404" i="1"/>
  <c r="H404" i="1"/>
  <c r="G404" i="1"/>
  <c r="F404" i="1"/>
  <c r="I403" i="1"/>
  <c r="H403" i="1"/>
  <c r="G403" i="1"/>
  <c r="F403" i="1"/>
  <c r="I402" i="1"/>
  <c r="H402" i="1"/>
  <c r="G402" i="1"/>
  <c r="F402" i="1"/>
  <c r="I396" i="1"/>
  <c r="H396" i="1"/>
  <c r="G396" i="1"/>
  <c r="F396" i="1"/>
  <c r="I395" i="1"/>
  <c r="H395" i="1"/>
  <c r="G395" i="1"/>
  <c r="F395" i="1"/>
  <c r="I394" i="1"/>
  <c r="H394" i="1"/>
  <c r="G394" i="1"/>
  <c r="F394" i="1"/>
  <c r="I393" i="1"/>
  <c r="H393" i="1"/>
  <c r="G393" i="1"/>
  <c r="F393" i="1"/>
  <c r="I392" i="1"/>
  <c r="H392" i="1"/>
  <c r="G392" i="1"/>
  <c r="F392" i="1"/>
  <c r="I391" i="1"/>
  <c r="H391" i="1"/>
  <c r="G391" i="1"/>
  <c r="F391" i="1"/>
  <c r="I390" i="1"/>
  <c r="H390" i="1"/>
  <c r="G390" i="1"/>
  <c r="F390" i="1"/>
  <c r="I388" i="1"/>
  <c r="H388" i="1"/>
  <c r="G388" i="1"/>
  <c r="F388" i="1"/>
  <c r="I381" i="1"/>
  <c r="H381" i="1"/>
  <c r="G381" i="1"/>
  <c r="F381" i="1"/>
  <c r="I360" i="1"/>
  <c r="H360" i="1"/>
  <c r="G360" i="1"/>
  <c r="F360" i="1"/>
  <c r="I359" i="1"/>
  <c r="H359" i="1"/>
  <c r="G359" i="1"/>
  <c r="F359" i="1"/>
  <c r="I313" i="1"/>
  <c r="H313" i="1"/>
  <c r="G313" i="1"/>
  <c r="F313" i="1"/>
  <c r="I312" i="1"/>
  <c r="H312" i="1"/>
  <c r="G312" i="1"/>
  <c r="F312" i="1"/>
  <c r="I311" i="1"/>
  <c r="H311" i="1"/>
  <c r="G311" i="1"/>
  <c r="F311" i="1"/>
  <c r="I299" i="1"/>
  <c r="H299" i="1"/>
  <c r="G299" i="1"/>
  <c r="F299" i="1"/>
  <c r="I297" i="1"/>
  <c r="H297" i="1"/>
  <c r="G297" i="1"/>
  <c r="F297" i="1"/>
  <c r="I296" i="1"/>
  <c r="H296" i="1"/>
  <c r="G296" i="1"/>
  <c r="F296" i="1"/>
  <c r="I295" i="1"/>
  <c r="H295" i="1"/>
  <c r="G295" i="1"/>
  <c r="F295" i="1"/>
  <c r="I293" i="1"/>
  <c r="H293" i="1"/>
  <c r="G293" i="1"/>
  <c r="F293" i="1"/>
  <c r="I290" i="1"/>
  <c r="H290" i="1"/>
  <c r="G290" i="1"/>
  <c r="F290" i="1"/>
  <c r="I289" i="1"/>
  <c r="H289" i="1"/>
  <c r="G289" i="1"/>
  <c r="F289" i="1"/>
  <c r="I287" i="1"/>
  <c r="H287" i="1"/>
  <c r="G287" i="1"/>
  <c r="F287" i="1"/>
  <c r="I286" i="1"/>
  <c r="H286" i="1"/>
  <c r="G286" i="1"/>
  <c r="F286" i="1"/>
  <c r="I285" i="1"/>
  <c r="H285" i="1"/>
  <c r="G285" i="1"/>
  <c r="F285" i="1"/>
  <c r="I284" i="1" a="1"/>
  <c r="I284" i="1" s="1"/>
  <c r="I283" i="1" s="1"/>
  <c r="H284" i="1" a="1"/>
  <c r="H284" i="1" s="1"/>
  <c r="G284" i="1" a="1"/>
  <c r="G284" i="1" s="1"/>
  <c r="F284" i="1" a="1"/>
  <c r="F284" i="1" s="1"/>
  <c r="I275" i="1" a="1"/>
  <c r="I275" i="1" s="1"/>
  <c r="I274" i="1" s="1"/>
  <c r="H275" i="1" a="1"/>
  <c r="H275" i="1" s="1"/>
  <c r="H274" i="1" s="1"/>
  <c r="G275" i="1" a="1"/>
  <c r="G275" i="1" s="1"/>
  <c r="G274" i="1" s="1"/>
  <c r="F275" i="1" a="1"/>
  <c r="F275" i="1" s="1"/>
  <c r="F274" i="1" s="1"/>
  <c r="I250" i="1"/>
  <c r="H250" i="1"/>
  <c r="G250" i="1"/>
  <c r="F250" i="1"/>
  <c r="I249" i="1"/>
  <c r="H249" i="1"/>
  <c r="G249" i="1"/>
  <c r="F249" i="1"/>
  <c r="I248" i="1"/>
  <c r="H248" i="1"/>
  <c r="G248" i="1"/>
  <c r="F248" i="1"/>
  <c r="I247" i="1"/>
  <c r="H247" i="1"/>
  <c r="G247" i="1"/>
  <c r="F247" i="1"/>
  <c r="I246" i="1"/>
  <c r="H246" i="1"/>
  <c r="G246" i="1"/>
  <c r="F246" i="1"/>
  <c r="I245" i="1"/>
  <c r="H245" i="1"/>
  <c r="G245" i="1"/>
  <c r="F245" i="1"/>
  <c r="I244" i="1"/>
  <c r="H244" i="1"/>
  <c r="G244" i="1"/>
  <c r="F244" i="1"/>
  <c r="I243" i="1"/>
  <c r="H243" i="1"/>
  <c r="G243" i="1"/>
  <c r="F243" i="1"/>
  <c r="I242" i="1" a="1"/>
  <c r="I242" i="1" s="1"/>
  <c r="H242" i="1" a="1"/>
  <c r="H242" i="1" s="1"/>
  <c r="G242" i="1" a="1"/>
  <c r="G242" i="1" s="1"/>
  <c r="F242" i="1" a="1"/>
  <c r="F242" i="1" s="1"/>
  <c r="I235" i="1"/>
  <c r="H235" i="1"/>
  <c r="G235" i="1"/>
  <c r="F235" i="1"/>
  <c r="I232" i="1"/>
  <c r="H232" i="1"/>
  <c r="G232" i="1"/>
  <c r="F232" i="1"/>
  <c r="I230" i="1"/>
  <c r="H230" i="1"/>
  <c r="G230" i="1"/>
  <c r="F230" i="1"/>
  <c r="I228" i="1"/>
  <c r="H228" i="1"/>
  <c r="G228" i="1"/>
  <c r="F228" i="1"/>
  <c r="I226" i="1"/>
  <c r="H226" i="1"/>
  <c r="G226" i="1"/>
  <c r="F226" i="1"/>
  <c r="I220" i="1"/>
  <c r="H220" i="1"/>
  <c r="G220" i="1"/>
  <c r="F220" i="1"/>
  <c r="I218" i="1"/>
  <c r="H218" i="1"/>
  <c r="G218" i="1"/>
  <c r="F218" i="1"/>
  <c r="I216" i="1"/>
  <c r="I212" i="1" s="1"/>
  <c r="H216" i="1"/>
  <c r="H212" i="1" s="1"/>
  <c r="G216" i="1"/>
  <c r="G212" i="1" s="1"/>
  <c r="F216" i="1"/>
  <c r="F212" i="1" s="1"/>
  <c r="I209" i="1"/>
  <c r="H209" i="1"/>
  <c r="G209" i="1"/>
  <c r="F209" i="1"/>
  <c r="I207" i="1"/>
  <c r="H207" i="1"/>
  <c r="G207" i="1"/>
  <c r="F207" i="1"/>
  <c r="I199" i="1" a="1"/>
  <c r="I199" i="1" s="1"/>
  <c r="I198" i="1" s="1"/>
  <c r="H199" i="1" a="1"/>
  <c r="H199" i="1" s="1"/>
  <c r="G199" i="1" a="1"/>
  <c r="G199" i="1" s="1"/>
  <c r="G198" i="1" s="1"/>
  <c r="F199" i="1" a="1"/>
  <c r="F199" i="1" s="1"/>
  <c r="F198" i="1" s="1"/>
  <c r="I190" i="1"/>
  <c r="H190" i="1"/>
  <c r="G190" i="1"/>
  <c r="F190" i="1"/>
  <c r="I189" i="1"/>
  <c r="H189" i="1"/>
  <c r="G189" i="1"/>
  <c r="F189" i="1"/>
  <c r="I185" i="1"/>
  <c r="H185" i="1"/>
  <c r="G185" i="1"/>
  <c r="F185" i="1"/>
  <c r="I180" i="1"/>
  <c r="H180" i="1"/>
  <c r="G180" i="1"/>
  <c r="F180" i="1"/>
  <c r="I179" i="1"/>
  <c r="H179" i="1"/>
  <c r="G179" i="1"/>
  <c r="F179" i="1"/>
  <c r="I178" i="1"/>
  <c r="H178" i="1"/>
  <c r="G178" i="1"/>
  <c r="F178" i="1"/>
  <c r="I177" i="1"/>
  <c r="H177" i="1"/>
  <c r="G177" i="1"/>
  <c r="F177" i="1"/>
  <c r="I176" i="1"/>
  <c r="H176" i="1"/>
  <c r="G176" i="1"/>
  <c r="F176" i="1"/>
  <c r="I175" i="1"/>
  <c r="H175" i="1"/>
  <c r="G175" i="1"/>
  <c r="F175" i="1"/>
  <c r="I174" i="1"/>
  <c r="H174" i="1"/>
  <c r="G174" i="1"/>
  <c r="F174" i="1"/>
  <c r="I172" i="1"/>
  <c r="H172" i="1"/>
  <c r="G172" i="1"/>
  <c r="F172" i="1"/>
  <c r="I171" i="1"/>
  <c r="H171" i="1"/>
  <c r="G171" i="1"/>
  <c r="F171" i="1"/>
  <c r="I170" i="1"/>
  <c r="I398" i="1" s="1"/>
  <c r="I439" i="1" s="1"/>
  <c r="H170" i="1"/>
  <c r="H398" i="1" s="1"/>
  <c r="H439" i="1" s="1"/>
  <c r="G170" i="1"/>
  <c r="F170" i="1"/>
  <c r="I167" i="1"/>
  <c r="H167" i="1"/>
  <c r="G167" i="1"/>
  <c r="F167" i="1"/>
  <c r="I166" i="1"/>
  <c r="H166" i="1"/>
  <c r="G166" i="1"/>
  <c r="F166" i="1"/>
  <c r="I165" i="1"/>
  <c r="H165" i="1"/>
  <c r="G165" i="1"/>
  <c r="F165" i="1"/>
  <c r="I164" i="1"/>
  <c r="H164" i="1"/>
  <c r="G164" i="1"/>
  <c r="F164" i="1"/>
  <c r="I163" i="1"/>
  <c r="H163" i="1"/>
  <c r="G163" i="1"/>
  <c r="F163" i="1"/>
  <c r="I162" i="1"/>
  <c r="H162" i="1"/>
  <c r="G162" i="1"/>
  <c r="F162" i="1"/>
  <c r="I160" i="1"/>
  <c r="H160" i="1"/>
  <c r="G160" i="1"/>
  <c r="F160" i="1"/>
  <c r="I158" i="1"/>
  <c r="I386" i="1" s="1"/>
  <c r="I517" i="1" s="1"/>
  <c r="H158" i="1"/>
  <c r="G158" i="1"/>
  <c r="F158" i="1"/>
  <c r="F386" i="1" s="1"/>
  <c r="F517" i="1" s="1"/>
  <c r="I157" i="1"/>
  <c r="H157" i="1"/>
  <c r="G157" i="1"/>
  <c r="F157" i="1"/>
  <c r="I156" i="1"/>
  <c r="H156" i="1"/>
  <c r="G156" i="1"/>
  <c r="F156" i="1"/>
  <c r="I155" i="1"/>
  <c r="H155" i="1"/>
  <c r="G155" i="1"/>
  <c r="F155" i="1"/>
  <c r="I154" i="1"/>
  <c r="H154" i="1"/>
  <c r="G154" i="1"/>
  <c r="F154" i="1"/>
  <c r="I153" i="1"/>
  <c r="H153" i="1"/>
  <c r="G153" i="1"/>
  <c r="F153" i="1"/>
  <c r="I152" i="1"/>
  <c r="H152" i="1"/>
  <c r="G152" i="1"/>
  <c r="F152" i="1"/>
  <c r="I136" i="1"/>
  <c r="H136" i="1"/>
  <c r="G136" i="1"/>
  <c r="F136" i="1"/>
  <c r="I135" i="1"/>
  <c r="H135" i="1"/>
  <c r="G135" i="1"/>
  <c r="F135" i="1"/>
  <c r="I134" i="1"/>
  <c r="I141" i="1" s="1" a="1"/>
  <c r="I141" i="1" s="1"/>
  <c r="H134" i="1"/>
  <c r="H141" i="1" s="1" a="1"/>
  <c r="H141" i="1" s="1"/>
  <c r="G134" i="1"/>
  <c r="F134" i="1"/>
  <c r="F141" i="1" s="1" a="1"/>
  <c r="F141" i="1" s="1"/>
  <c r="I133" i="1"/>
  <c r="I140" i="1" s="1" a="1"/>
  <c r="I140" i="1" s="1"/>
  <c r="H133" i="1"/>
  <c r="H140" i="1" s="1" a="1"/>
  <c r="H140" i="1" s="1"/>
  <c r="G133" i="1"/>
  <c r="G140" i="1" s="1" a="1"/>
  <c r="G140" i="1" s="1"/>
  <c r="F133" i="1"/>
  <c r="F140" i="1" s="1" a="1"/>
  <c r="F140" i="1" s="1"/>
  <c r="I132" i="1"/>
  <c r="I139" i="1" s="1" a="1"/>
  <c r="I139" i="1" s="1"/>
  <c r="H132" i="1"/>
  <c r="H139" i="1" s="1" a="1"/>
  <c r="H139" i="1" s="1"/>
  <c r="G132" i="1"/>
  <c r="G139" i="1" s="1" a="1"/>
  <c r="G139" i="1" s="1"/>
  <c r="F132" i="1"/>
  <c r="F139" i="1" s="1" a="1"/>
  <c r="F139" i="1" s="1"/>
  <c r="I131" i="1"/>
  <c r="I138" i="1" s="1" a="1"/>
  <c r="I138" i="1" s="1"/>
  <c r="H131" i="1"/>
  <c r="H138" i="1" s="1" a="1"/>
  <c r="H138" i="1" s="1"/>
  <c r="G131" i="1"/>
  <c r="G138" i="1" s="1" a="1"/>
  <c r="G138" i="1" s="1"/>
  <c r="F131" i="1"/>
  <c r="F138" i="1" s="1" a="1"/>
  <c r="F138" i="1" s="1"/>
  <c r="I97" i="1"/>
  <c r="H97" i="1"/>
  <c r="H129" i="1" s="1"/>
  <c r="G97" i="1"/>
  <c r="G129" i="1" s="1"/>
  <c r="F97" i="1"/>
  <c r="F129" i="1" s="1"/>
  <c r="I96" i="1"/>
  <c r="I128" i="1" s="1"/>
  <c r="H96" i="1"/>
  <c r="H128" i="1" s="1"/>
  <c r="G96" i="1"/>
  <c r="G128" i="1" s="1"/>
  <c r="F96" i="1"/>
  <c r="I95" i="1"/>
  <c r="H95" i="1"/>
  <c r="G95" i="1"/>
  <c r="F95" i="1"/>
  <c r="I94" i="1"/>
  <c r="H94" i="1"/>
  <c r="G94" i="1"/>
  <c r="G126" i="1" s="1"/>
  <c r="F94" i="1"/>
  <c r="I93" i="1"/>
  <c r="I125" i="1" s="1"/>
  <c r="H93" i="1"/>
  <c r="H125" i="1" s="1"/>
  <c r="G93" i="1"/>
  <c r="G125" i="1" s="1"/>
  <c r="F93" i="1"/>
  <c r="F125" i="1" s="1"/>
  <c r="I92" i="1"/>
  <c r="H92" i="1"/>
  <c r="H124" i="1" s="1"/>
  <c r="G92" i="1"/>
  <c r="G124" i="1" s="1"/>
  <c r="F92" i="1"/>
  <c r="F124" i="1" s="1"/>
  <c r="I91" i="1"/>
  <c r="H91" i="1"/>
  <c r="H123" i="1" s="1"/>
  <c r="G91" i="1"/>
  <c r="F91" i="1"/>
  <c r="F123" i="1" s="1"/>
  <c r="I90" i="1"/>
  <c r="I122" i="1" s="1"/>
  <c r="H90" i="1"/>
  <c r="G90" i="1"/>
  <c r="G122" i="1" s="1"/>
  <c r="F90" i="1"/>
  <c r="F122" i="1" s="1"/>
  <c r="I89" i="1"/>
  <c r="I121" i="1" s="1"/>
  <c r="H89" i="1"/>
  <c r="G89" i="1"/>
  <c r="G121" i="1" s="1"/>
  <c r="F89" i="1"/>
  <c r="I88" i="1"/>
  <c r="I120" i="1" s="1"/>
  <c r="H88" i="1"/>
  <c r="G88" i="1"/>
  <c r="G120" i="1" s="1"/>
  <c r="F88" i="1"/>
  <c r="F120" i="1" s="1"/>
  <c r="I87" i="1"/>
  <c r="H87" i="1"/>
  <c r="H119" i="1" s="1"/>
  <c r="G87" i="1"/>
  <c r="F87" i="1"/>
  <c r="F119" i="1" s="1"/>
  <c r="I86" i="1"/>
  <c r="H86" i="1"/>
  <c r="H118" i="1" s="1"/>
  <c r="G86" i="1"/>
  <c r="G118" i="1" s="1"/>
  <c r="F86" i="1"/>
  <c r="F118" i="1" s="1"/>
  <c r="I85" i="1"/>
  <c r="I117" i="1" s="1"/>
  <c r="H85" i="1"/>
  <c r="H117" i="1" s="1"/>
  <c r="G85" i="1"/>
  <c r="G117" i="1" s="1"/>
  <c r="F85" i="1"/>
  <c r="F117" i="1" s="1"/>
  <c r="I84" i="1"/>
  <c r="I116" i="1" s="1"/>
  <c r="H84" i="1"/>
  <c r="H116" i="1" s="1"/>
  <c r="G84" i="1"/>
  <c r="G116" i="1" s="1"/>
  <c r="F84" i="1"/>
  <c r="F116" i="1" s="1"/>
  <c r="I83" i="1"/>
  <c r="I115" i="1" s="1"/>
  <c r="H83" i="1"/>
  <c r="H115" i="1" s="1"/>
  <c r="G83" i="1"/>
  <c r="G115" i="1" s="1"/>
  <c r="F83" i="1"/>
  <c r="F115" i="1" s="1"/>
  <c r="I77" i="1"/>
  <c r="H77" i="1"/>
  <c r="G77" i="1"/>
  <c r="F77" i="1"/>
  <c r="I76" i="1"/>
  <c r="H76" i="1"/>
  <c r="G76" i="1"/>
  <c r="F76" i="1"/>
  <c r="I73" i="1"/>
  <c r="H73" i="1"/>
  <c r="G73" i="1"/>
  <c r="F73" i="1"/>
  <c r="I72" i="1"/>
  <c r="H72" i="1"/>
  <c r="G72" i="1"/>
  <c r="F72" i="1"/>
  <c r="I71" i="1"/>
  <c r="H71" i="1"/>
  <c r="G71" i="1"/>
  <c r="F71" i="1"/>
  <c r="I69" i="1"/>
  <c r="H69" i="1"/>
  <c r="G69" i="1"/>
  <c r="F69" i="1"/>
  <c r="I68" i="1"/>
  <c r="H68" i="1"/>
  <c r="G68" i="1"/>
  <c r="F68" i="1"/>
  <c r="I67" i="1"/>
  <c r="H67" i="1"/>
  <c r="G67" i="1"/>
  <c r="F67" i="1"/>
  <c r="I65" i="1"/>
  <c r="H65" i="1"/>
  <c r="G65" i="1"/>
  <c r="F65" i="1"/>
  <c r="I62" i="1" a="1"/>
  <c r="I62" i="1" s="1"/>
  <c r="H62" i="1" a="1"/>
  <c r="H62" i="1" s="1"/>
  <c r="G62" i="1" a="1"/>
  <c r="G62" i="1" s="1"/>
  <c r="F62" i="1" a="1"/>
  <c r="F62" i="1" s="1"/>
  <c r="I61" i="1" a="1"/>
  <c r="I61" i="1" s="1"/>
  <c r="H61" i="1" a="1"/>
  <c r="H61" i="1" s="1"/>
  <c r="G61" i="1" a="1"/>
  <c r="G61" i="1" s="1"/>
  <c r="F61" i="1" a="1"/>
  <c r="F61" i="1" s="1"/>
  <c r="I60" i="1" a="1"/>
  <c r="I60" i="1" s="1"/>
  <c r="H60" i="1" a="1"/>
  <c r="H60" i="1" s="1"/>
  <c r="G60" i="1" a="1"/>
  <c r="G60" i="1" s="1"/>
  <c r="F60" i="1" a="1"/>
  <c r="F60" i="1" s="1"/>
  <c r="I59" i="1" a="1"/>
  <c r="I59" i="1" s="1"/>
  <c r="H59" i="1" a="1"/>
  <c r="H59" i="1" s="1"/>
  <c r="G59" i="1" a="1"/>
  <c r="G59" i="1" s="1"/>
  <c r="F59" i="1" a="1"/>
  <c r="F59" i="1" s="1"/>
  <c r="I56" i="1" a="1"/>
  <c r="I56" i="1" s="1"/>
  <c r="H56" i="1" a="1"/>
  <c r="H56" i="1" s="1"/>
  <c r="G56" i="1" a="1"/>
  <c r="G56" i="1" s="1"/>
  <c r="F56" i="1" a="1"/>
  <c r="F56" i="1" s="1"/>
  <c r="I55" i="1" a="1"/>
  <c r="I55" i="1" s="1"/>
  <c r="H55" i="1" a="1"/>
  <c r="H55" i="1" s="1"/>
  <c r="G55" i="1" a="1"/>
  <c r="G55" i="1" s="1"/>
  <c r="F55" i="1" a="1"/>
  <c r="F55" i="1" s="1"/>
  <c r="I54" i="1" a="1"/>
  <c r="I54" i="1" s="1"/>
  <c r="H54" i="1" a="1"/>
  <c r="H54" i="1" s="1"/>
  <c r="G54" i="1" a="1"/>
  <c r="G54" i="1" s="1"/>
  <c r="F54" i="1" a="1"/>
  <c r="F54" i="1" s="1"/>
  <c r="I53" i="1" a="1"/>
  <c r="I53" i="1" s="1"/>
  <c r="H53" i="1" a="1"/>
  <c r="H53" i="1" s="1"/>
  <c r="G53" i="1" a="1"/>
  <c r="G53" i="1" s="1"/>
  <c r="F53" i="1" a="1"/>
  <c r="F53" i="1" s="1"/>
  <c r="I52" i="1" a="1"/>
  <c r="I52" i="1" s="1"/>
  <c r="H52" i="1" a="1"/>
  <c r="H52" i="1" s="1"/>
  <c r="G52" i="1" a="1"/>
  <c r="G52" i="1" s="1"/>
  <c r="F52" i="1" a="1"/>
  <c r="F52" i="1" s="1"/>
  <c r="I50" i="1" a="1"/>
  <c r="I50" i="1" s="1"/>
  <c r="H50" i="1" a="1"/>
  <c r="H50" i="1" s="1"/>
  <c r="G50" i="1" a="1"/>
  <c r="G50" i="1" s="1"/>
  <c r="F50" i="1" a="1"/>
  <c r="F50" i="1" s="1"/>
  <c r="I45" i="1" a="1"/>
  <c r="I45" i="1" s="1"/>
  <c r="H45" i="1" a="1"/>
  <c r="H45" i="1" s="1"/>
  <c r="G45" i="1" a="1"/>
  <c r="G45" i="1" s="1"/>
  <c r="F45" i="1" a="1"/>
  <c r="F45" i="1" s="1"/>
  <c r="I44" i="1" a="1"/>
  <c r="I44" i="1" s="1"/>
  <c r="H44" i="1" a="1"/>
  <c r="H44" i="1" s="1"/>
  <c r="G44" i="1" a="1"/>
  <c r="G44" i="1" s="1"/>
  <c r="F44" i="1" a="1"/>
  <c r="F44" i="1" s="1"/>
  <c r="I43" i="1" a="1"/>
  <c r="I43" i="1" s="1"/>
  <c r="H43" i="1" a="1"/>
  <c r="H43" i="1" s="1"/>
  <c r="G43" i="1" a="1"/>
  <c r="G43" i="1" s="1"/>
  <c r="F43" i="1" a="1"/>
  <c r="F43" i="1" s="1"/>
  <c r="I36" i="1"/>
  <c r="H36" i="1"/>
  <c r="G36" i="1"/>
  <c r="F36" i="1"/>
  <c r="I32" i="1"/>
  <c r="I30" i="1" s="1" a="1"/>
  <c r="I30" i="1" s="1"/>
  <c r="H32" i="1"/>
  <c r="H30" i="1" s="1" a="1"/>
  <c r="H30" i="1" s="1"/>
  <c r="G32" i="1"/>
  <c r="G30" i="1" s="1" a="1"/>
  <c r="G30" i="1" s="1"/>
  <c r="F32" i="1"/>
  <c r="F30" i="1" s="1" a="1"/>
  <c r="F30" i="1" s="1"/>
  <c r="I31" i="1" a="1"/>
  <c r="I31" i="1" s="1"/>
  <c r="H31" i="1" a="1"/>
  <c r="H31" i="1" s="1"/>
  <c r="G31" i="1" a="1"/>
  <c r="G31" i="1" s="1"/>
  <c r="F31" i="1" a="1"/>
  <c r="F31" i="1" s="1"/>
  <c r="I28" i="1" a="1"/>
  <c r="I28" i="1" s="1"/>
  <c r="H28" i="1" a="1"/>
  <c r="H28" i="1" s="1"/>
  <c r="G28" i="1" a="1"/>
  <c r="G28" i="1" s="1"/>
  <c r="F28" i="1" a="1"/>
  <c r="F28" i="1" s="1"/>
  <c r="I27" i="1" a="1"/>
  <c r="I27" i="1" s="1"/>
  <c r="H27" i="1" a="1"/>
  <c r="H27" i="1" s="1"/>
  <c r="G27" i="1" a="1"/>
  <c r="G27" i="1" s="1"/>
  <c r="F27" i="1" a="1"/>
  <c r="F27" i="1" s="1"/>
  <c r="I26" i="1" a="1"/>
  <c r="I26" i="1" s="1"/>
  <c r="H26" i="1" a="1"/>
  <c r="H26" i="1" s="1"/>
  <c r="G26" i="1" a="1"/>
  <c r="G26" i="1" s="1"/>
  <c r="F26" i="1" a="1"/>
  <c r="F26" i="1" s="1"/>
  <c r="I25" i="1" a="1"/>
  <c r="I25" i="1" s="1"/>
  <c r="H25" i="1" a="1"/>
  <c r="H25" i="1" s="1"/>
  <c r="G25" i="1" a="1"/>
  <c r="G25" i="1" s="1"/>
  <c r="F25" i="1" a="1"/>
  <c r="F25" i="1" s="1"/>
  <c r="I24" i="1" a="1"/>
  <c r="I24" i="1" s="1"/>
  <c r="H24" i="1" a="1"/>
  <c r="H24" i="1" s="1"/>
  <c r="G24" i="1" a="1"/>
  <c r="G24" i="1" s="1"/>
  <c r="F24" i="1" a="1"/>
  <c r="F24" i="1" s="1"/>
  <c r="I21" i="1" a="1"/>
  <c r="I21" i="1" s="1"/>
  <c r="H21" i="1" a="1"/>
  <c r="H21" i="1" s="1"/>
  <c r="G21" i="1" a="1"/>
  <c r="G21" i="1" s="1"/>
  <c r="F21" i="1" a="1"/>
  <c r="F21" i="1" s="1"/>
  <c r="I19" i="1"/>
  <c r="I18" i="1" s="1"/>
  <c r="H19" i="1"/>
  <c r="H18" i="1" s="1"/>
  <c r="G19" i="1"/>
  <c r="G18" i="1" s="1"/>
  <c r="F19" i="1"/>
  <c r="F18" i="1" s="1"/>
  <c r="I17" i="1" a="1"/>
  <c r="I17" i="1" s="1"/>
  <c r="H17" i="1" a="1"/>
  <c r="H17" i="1" s="1"/>
  <c r="G17" i="1" a="1"/>
  <c r="G17" i="1" s="1"/>
  <c r="F17" i="1" a="1"/>
  <c r="F17" i="1" s="1"/>
  <c r="I16" i="1" a="1"/>
  <c r="I16" i="1" s="1"/>
  <c r="H16" i="1" a="1"/>
  <c r="H16" i="1" s="1"/>
  <c r="G16" i="1" a="1"/>
  <c r="G16" i="1" s="1"/>
  <c r="F16" i="1" a="1"/>
  <c r="F16" i="1" s="1"/>
  <c r="I15" i="1" a="1"/>
  <c r="I15" i="1" s="1"/>
  <c r="H15" i="1" a="1"/>
  <c r="H15" i="1" s="1"/>
  <c r="G15" i="1" a="1"/>
  <c r="G15" i="1" s="1"/>
  <c r="F15" i="1" a="1"/>
  <c r="F15" i="1" s="1"/>
  <c r="I14" i="1" a="1"/>
  <c r="I14" i="1" s="1"/>
  <c r="H14" i="1" a="1"/>
  <c r="H14" i="1" s="1"/>
  <c r="G14" i="1" a="1"/>
  <c r="G14" i="1" s="1"/>
  <c r="F14" i="1" a="1"/>
  <c r="F14" i="1" s="1"/>
  <c r="I13" i="1" a="1"/>
  <c r="I13" i="1" s="1"/>
  <c r="H13" i="1" a="1"/>
  <c r="H13" i="1" s="1"/>
  <c r="G13" i="1" a="1"/>
  <c r="G13" i="1" s="1"/>
  <c r="F13" i="1" a="1"/>
  <c r="F13" i="1" s="1"/>
  <c r="I11" i="1" a="1"/>
  <c r="I11" i="1" s="1"/>
  <c r="H11" i="1" a="1"/>
  <c r="H11" i="1" s="1"/>
  <c r="G11" i="1" a="1"/>
  <c r="G11" i="1" s="1"/>
  <c r="F11" i="1" a="1"/>
  <c r="F11" i="1" s="1"/>
  <c r="I10" i="1" a="1"/>
  <c r="I10" i="1" s="1"/>
  <c r="H10" i="1" a="1"/>
  <c r="H10" i="1" s="1"/>
  <c r="G10" i="1" a="1"/>
  <c r="G10" i="1" s="1"/>
  <c r="F10" i="1" a="1"/>
  <c r="F10" i="1" s="1"/>
  <c r="I9" i="1" a="1"/>
  <c r="I9" i="1" s="1"/>
  <c r="H9" i="1" a="1"/>
  <c r="H9" i="1" s="1"/>
  <c r="G9" i="1" a="1"/>
  <c r="G9" i="1" s="1"/>
  <c r="F9" i="1" a="1"/>
  <c r="F9" i="1" s="1"/>
  <c r="I7" i="1" a="1"/>
  <c r="I7" i="1" s="1"/>
  <c r="H7" i="1" a="1"/>
  <c r="H7" i="1" s="1"/>
  <c r="G7" i="1" a="1"/>
  <c r="G7" i="1" s="1"/>
  <c r="F7" i="1" a="1"/>
  <c r="F7" i="1" s="1"/>
  <c r="I6" i="1" a="1"/>
  <c r="I6" i="1" s="1"/>
  <c r="H6" i="1" a="1"/>
  <c r="H6" i="1" s="1"/>
  <c r="G6" i="1" a="1"/>
  <c r="G6" i="1" s="1"/>
  <c r="F6" i="1" a="1"/>
  <c r="F6" i="1" s="1"/>
  <c r="I5" i="1" a="1"/>
  <c r="I5" i="1" s="1"/>
  <c r="H5" i="1" a="1"/>
  <c r="H5" i="1" s="1"/>
  <c r="G5" i="1" a="1"/>
  <c r="G5" i="1" s="1"/>
  <c r="F5" i="1" a="1"/>
  <c r="F5" i="1" s="1"/>
  <c r="I4" i="1" a="1"/>
  <c r="I4" i="1" s="1"/>
  <c r="H4" i="1" a="1"/>
  <c r="H4" i="1" s="1"/>
  <c r="G4" i="1" a="1"/>
  <c r="G4" i="1" s="1"/>
  <c r="F4" i="1" a="1"/>
  <c r="F4" i="1" s="1"/>
  <c r="H399" i="1" l="1"/>
  <c r="H519" i="1" s="1"/>
  <c r="F400" i="1"/>
  <c r="F520" i="1" s="1"/>
  <c r="F320" i="1"/>
  <c r="F475" i="1" s="1"/>
  <c r="F325" i="1"/>
  <c r="F480" i="1" s="1"/>
  <c r="H322" i="1"/>
  <c r="H477" i="1" s="1"/>
  <c r="I319" i="1"/>
  <c r="I474" i="1" s="1"/>
  <c r="G301" i="1"/>
  <c r="G465" i="1" s="1"/>
  <c r="H400" i="1"/>
  <c r="H520" i="1" s="1"/>
  <c r="I400" i="1"/>
  <c r="I520" i="1" s="1"/>
  <c r="F300" i="1"/>
  <c r="F413" i="1" s="1"/>
  <c r="H300" i="1"/>
  <c r="H413" i="1" s="1"/>
  <c r="H317" i="1"/>
  <c r="H472" i="1" s="1"/>
  <c r="H380" i="1"/>
  <c r="H437" i="1" s="1"/>
  <c r="I320" i="1"/>
  <c r="I475" i="1" s="1"/>
  <c r="I325" i="1"/>
  <c r="I480" i="1" s="1"/>
  <c r="H121" i="1"/>
  <c r="G323" i="1"/>
  <c r="G478" i="1" s="1"/>
  <c r="H318" i="1"/>
  <c r="H473" i="1" s="1"/>
  <c r="H323" i="1"/>
  <c r="H478" i="1" s="1"/>
  <c r="H364" i="1"/>
  <c r="I384" i="1"/>
  <c r="I515" i="1" s="1"/>
  <c r="H314" i="1"/>
  <c r="H419" i="1" s="1"/>
  <c r="H319" i="1"/>
  <c r="H474" i="1" s="1"/>
  <c r="H324" i="1"/>
  <c r="H479" i="1" s="1"/>
  <c r="H122" i="1"/>
  <c r="H386" i="1"/>
  <c r="H517" i="1" s="1"/>
  <c r="H315" i="1"/>
  <c r="H420" i="1" s="1"/>
  <c r="I385" i="1"/>
  <c r="I516" i="1" s="1"/>
  <c r="H320" i="1"/>
  <c r="H475" i="1" s="1"/>
  <c r="H325" i="1"/>
  <c r="H480" i="1" s="1"/>
  <c r="I300" i="1"/>
  <c r="I413" i="1" s="1"/>
  <c r="I317" i="1"/>
  <c r="I472" i="1" s="1"/>
  <c r="I322" i="1"/>
  <c r="I477" i="1" s="1"/>
  <c r="F398" i="1"/>
  <c r="F439" i="1" s="1"/>
  <c r="I301" i="1"/>
  <c r="I465" i="1" s="1"/>
  <c r="G398" i="1"/>
  <c r="G439" i="1" s="1"/>
  <c r="I364" i="1"/>
  <c r="F318" i="1"/>
  <c r="F473" i="1" s="1"/>
  <c r="I314" i="1"/>
  <c r="I419" i="1" s="1"/>
  <c r="G380" i="1"/>
  <c r="G437" i="1" s="1"/>
  <c r="G399" i="1"/>
  <c r="G519" i="1" s="1"/>
  <c r="H385" i="1"/>
  <c r="H516" i="1" s="1"/>
  <c r="F301" i="1"/>
  <c r="F465" i="1" s="1"/>
  <c r="F323" i="1"/>
  <c r="F478" i="1" s="1"/>
  <c r="G361" i="1"/>
  <c r="G428" i="1" s="1"/>
  <c r="I323" i="1"/>
  <c r="I478" i="1" s="1"/>
  <c r="H363" i="1"/>
  <c r="H504" i="1" s="1"/>
  <c r="F321" i="1"/>
  <c r="F476" i="1" s="1"/>
  <c r="G318" i="1"/>
  <c r="G473" i="1" s="1"/>
  <c r="F324" i="1"/>
  <c r="F479" i="1" s="1"/>
  <c r="G320" i="1"/>
  <c r="G475" i="1" s="1"/>
  <c r="F241" i="1"/>
  <c r="F316" i="1" s="1"/>
  <c r="F471" i="1" s="1"/>
  <c r="G322" i="1"/>
  <c r="G477" i="1" s="1"/>
  <c r="G317" i="1"/>
  <c r="G472" i="1" s="1"/>
  <c r="I382" i="1"/>
  <c r="I513" i="1" s="1"/>
  <c r="G315" i="1"/>
  <c r="G420" i="1" s="1"/>
  <c r="F384" i="1"/>
  <c r="F515" i="1" s="1"/>
  <c r="F380" i="1"/>
  <c r="F437" i="1" s="1"/>
  <c r="F399" i="1"/>
  <c r="F519" i="1" s="1"/>
  <c r="G903" i="1"/>
  <c r="H383" i="1"/>
  <c r="H514" i="1" s="1"/>
  <c r="H283" i="1"/>
  <c r="H382" i="1" s="1"/>
  <c r="H513" i="1" s="1"/>
  <c r="I315" i="1"/>
  <c r="I420" i="1" s="1"/>
  <c r="H126" i="1"/>
  <c r="I126" i="1"/>
  <c r="G384" i="1"/>
  <c r="G515" i="1" s="1"/>
  <c r="I321" i="1"/>
  <c r="I476" i="1" s="1"/>
  <c r="F128" i="1"/>
  <c r="F317" i="1"/>
  <c r="F472" i="1" s="1"/>
  <c r="F322" i="1"/>
  <c r="F477" i="1" s="1"/>
  <c r="I118" i="1"/>
  <c r="F385" i="1"/>
  <c r="F516" i="1" s="1"/>
  <c r="G119" i="1"/>
  <c r="G385" i="1"/>
  <c r="G516" i="1" s="1"/>
  <c r="I363" i="1"/>
  <c r="I504" i="1" s="1"/>
  <c r="I380" i="1"/>
  <c r="I437" i="1" s="1"/>
  <c r="I399" i="1"/>
  <c r="I519" i="1" s="1"/>
  <c r="F364" i="1"/>
  <c r="F315" i="1"/>
  <c r="F420" i="1" s="1"/>
  <c r="H301" i="1"/>
  <c r="H465" i="1" s="1"/>
  <c r="F121" i="1"/>
  <c r="G364" i="1"/>
  <c r="G386" i="1"/>
  <c r="G517" i="1" s="1"/>
  <c r="G319" i="1"/>
  <c r="G474" i="1" s="1"/>
  <c r="G324" i="1"/>
  <c r="G479" i="1" s="1"/>
  <c r="F361" i="1"/>
  <c r="F428" i="1" s="1"/>
  <c r="G899" i="1"/>
  <c r="G123" i="1"/>
  <c r="H384" i="1"/>
  <c r="H515" i="1" s="1"/>
  <c r="I318" i="1"/>
  <c r="I473" i="1" s="1"/>
  <c r="H899" i="1"/>
  <c r="I899" i="1"/>
  <c r="I123" i="1"/>
  <c r="G325" i="1"/>
  <c r="G480" i="1" s="1"/>
  <c r="H742" i="1" a="1"/>
  <c r="H742" i="1" s="1"/>
  <c r="H744" i="1" s="1" a="1"/>
  <c r="H744" i="1" s="1"/>
  <c r="H726" i="1" a="1"/>
  <c r="H726" i="1" s="1"/>
  <c r="H728" i="1" s="1" a="1"/>
  <c r="H728" i="1" s="1"/>
  <c r="H198" i="1"/>
  <c r="H361" i="1" s="1"/>
  <c r="H428" i="1" s="1"/>
  <c r="H362" i="1"/>
  <c r="H429" i="1" s="1"/>
  <c r="I742" i="1" a="1"/>
  <c r="I742" i="1" s="1"/>
  <c r="I744" i="1" s="1" a="1"/>
  <c r="I744" i="1" s="1"/>
  <c r="I726" i="1" a="1"/>
  <c r="I726" i="1" s="1"/>
  <c r="I728" i="1" s="1" a="1"/>
  <c r="I728" i="1" s="1"/>
  <c r="F895" i="1"/>
  <c r="F903" i="1" s="1"/>
  <c r="F925" i="1"/>
  <c r="F924" i="1" s="1"/>
  <c r="G742" i="1" a="1"/>
  <c r="G742" i="1" s="1"/>
  <c r="G744" i="1" s="1" a="1"/>
  <c r="G744" i="1" s="1"/>
  <c r="G726" i="1" a="1"/>
  <c r="G726" i="1" s="1"/>
  <c r="G728" i="1" s="1" a="1"/>
  <c r="G728" i="1" s="1"/>
  <c r="F786" i="1"/>
  <c r="F787" i="1" s="1"/>
  <c r="F783" i="1"/>
  <c r="I783" i="1"/>
  <c r="I786" i="1"/>
  <c r="I787" i="1" s="1"/>
  <c r="F742" i="1" a="1"/>
  <c r="F742" i="1" s="1"/>
  <c r="F744" i="1" s="1" a="1"/>
  <c r="F744" i="1" s="1"/>
  <c r="F726" i="1" a="1"/>
  <c r="F726" i="1" s="1"/>
  <c r="F728" i="1" s="1" a="1"/>
  <c r="F728" i="1" s="1"/>
  <c r="F363" i="1"/>
  <c r="F504" i="1" s="1"/>
  <c r="G786" i="1"/>
  <c r="G787" i="1" s="1"/>
  <c r="G783" i="1"/>
  <c r="G363" i="1"/>
  <c r="G504" i="1" s="1"/>
  <c r="F283" i="1"/>
  <c r="F382" i="1" s="1"/>
  <c r="F513" i="1" s="1"/>
  <c r="F383" i="1"/>
  <c r="F514" i="1" s="1"/>
  <c r="G283" i="1"/>
  <c r="G382" i="1" s="1"/>
  <c r="G513" i="1" s="1"/>
  <c r="G383" i="1"/>
  <c r="G514" i="1" s="1"/>
  <c r="H120" i="1"/>
  <c r="F126" i="1"/>
  <c r="I361" i="1"/>
  <c r="I428" i="1" s="1"/>
  <c r="F362" i="1"/>
  <c r="F429" i="1" s="1"/>
  <c r="H783" i="1"/>
  <c r="G362" i="1"/>
  <c r="G429" i="1" s="1"/>
  <c r="I362" i="1"/>
  <c r="I429" i="1" s="1"/>
  <c r="G902" i="1"/>
  <c r="G300" i="1"/>
  <c r="G413" i="1" s="1"/>
  <c r="G241" i="1"/>
  <c r="G316" i="1" s="1"/>
  <c r="G471" i="1" s="1"/>
  <c r="F319" i="1"/>
  <c r="F474" i="1" s="1"/>
  <c r="I324" i="1"/>
  <c r="I479" i="1" s="1"/>
  <c r="H902" i="1"/>
  <c r="H241" i="1"/>
  <c r="H316" i="1" s="1"/>
  <c r="H471" i="1" s="1"/>
  <c r="I902" i="1"/>
  <c r="G400" i="1"/>
  <c r="G520" i="1" s="1"/>
  <c r="I241" i="1"/>
  <c r="I316" i="1" s="1"/>
  <c r="I471" i="1" s="1"/>
  <c r="F314" i="1"/>
  <c r="F419" i="1" s="1"/>
  <c r="H903" i="1"/>
  <c r="I129" i="1"/>
  <c r="I903" i="1"/>
  <c r="G321" i="1"/>
  <c r="G476" i="1" s="1"/>
  <c r="G925" i="1"/>
  <c r="G924" i="1" s="1"/>
  <c r="I124" i="1"/>
  <c r="G314" i="1"/>
  <c r="G419" i="1" s="1"/>
  <c r="H321" i="1"/>
  <c r="H476" i="1" s="1"/>
  <c r="I119" i="1"/>
  <c r="G141" i="1" a="1"/>
  <c r="G141" i="1" s="1"/>
  <c r="I383" i="1"/>
  <c r="I514" i="1" s="1"/>
  <c r="I470" i="1" l="1"/>
  <c r="I310" i="1"/>
  <c r="F899" i="1"/>
  <c r="F902" i="1"/>
  <c r="L2113" i="1" l="1"/>
  <c r="K2113" i="1"/>
  <c r="J2113" i="1"/>
  <c r="L2112" i="1"/>
  <c r="K2112" i="1"/>
  <c r="J2112" i="1"/>
  <c r="L2111" i="1"/>
  <c r="K2111" i="1"/>
  <c r="J2111" i="1"/>
  <c r="L2110" i="1"/>
  <c r="K2110" i="1"/>
  <c r="J2110" i="1"/>
  <c r="L2109" i="1"/>
  <c r="K2109" i="1"/>
  <c r="J2109" i="1"/>
  <c r="L2108" i="1"/>
  <c r="K2108" i="1"/>
  <c r="J2108" i="1"/>
  <c r="L2107" i="1"/>
  <c r="K2107" i="1"/>
  <c r="J2107" i="1"/>
  <c r="L2105" i="1"/>
  <c r="K2105" i="1"/>
  <c r="J2105" i="1"/>
  <c r="L2104" i="1"/>
  <c r="K2104" i="1"/>
  <c r="J2104" i="1"/>
  <c r="L2103" i="1"/>
  <c r="K2103" i="1"/>
  <c r="J2103" i="1"/>
  <c r="L2100" i="1"/>
  <c r="K2100" i="1"/>
  <c r="J2100" i="1"/>
  <c r="L2099" i="1"/>
  <c r="K2099" i="1"/>
  <c r="J2099" i="1"/>
  <c r="L2098" i="1"/>
  <c r="K2098" i="1"/>
  <c r="J2098" i="1"/>
  <c r="L2097" i="1"/>
  <c r="K2097" i="1"/>
  <c r="J2097" i="1"/>
  <c r="L2096" i="1"/>
  <c r="K2096" i="1"/>
  <c r="J2096" i="1"/>
  <c r="L2095" i="1"/>
  <c r="K2095" i="1"/>
  <c r="J2095" i="1"/>
  <c r="L2093" i="1"/>
  <c r="K2093" i="1"/>
  <c r="J2093" i="1"/>
  <c r="L2091" i="1"/>
  <c r="K2091" i="1"/>
  <c r="J2091" i="1"/>
  <c r="L2090" i="1"/>
  <c r="K2090" i="1"/>
  <c r="J2090" i="1"/>
  <c r="L2089" i="1"/>
  <c r="K2089" i="1"/>
  <c r="J2089" i="1"/>
  <c r="L2088" i="1"/>
  <c r="K2088" i="1"/>
  <c r="J2088" i="1"/>
  <c r="L2087" i="1"/>
  <c r="K2087" i="1"/>
  <c r="J2087" i="1"/>
  <c r="L2086" i="1"/>
  <c r="K2086" i="1"/>
  <c r="J2086" i="1"/>
  <c r="L2085" i="1"/>
  <c r="K2085" i="1"/>
  <c r="J2085" i="1"/>
  <c r="L2083" i="1"/>
  <c r="K2083" i="1"/>
  <c r="J2083" i="1"/>
  <c r="L2082" i="1"/>
  <c r="K2082" i="1"/>
  <c r="J2082" i="1"/>
  <c r="L2081" i="1"/>
  <c r="K2081" i="1"/>
  <c r="J2081" i="1"/>
  <c r="L2080" i="1"/>
  <c r="K2080" i="1"/>
  <c r="J2080" i="1"/>
  <c r="L2079" i="1"/>
  <c r="K2079" i="1"/>
  <c r="J2079" i="1"/>
  <c r="L2078" i="1"/>
  <c r="K2078" i="1"/>
  <c r="J2078" i="1"/>
  <c r="L2076" i="1"/>
  <c r="K2076" i="1"/>
  <c r="J2076" i="1"/>
  <c r="L2075" i="1"/>
  <c r="K2075" i="1"/>
  <c r="J2075" i="1"/>
  <c r="L2074" i="1"/>
  <c r="K2074" i="1"/>
  <c r="J2074" i="1"/>
  <c r="L2073" i="1"/>
  <c r="K2073" i="1"/>
  <c r="J2073" i="1"/>
  <c r="L2072" i="1"/>
  <c r="K2072" i="1"/>
  <c r="J2072" i="1"/>
  <c r="L2071" i="1"/>
  <c r="K2071" i="1"/>
  <c r="J2071" i="1"/>
  <c r="L2070" i="1"/>
  <c r="K2070" i="1"/>
  <c r="J2070" i="1"/>
  <c r="L2069" i="1"/>
  <c r="K2069" i="1"/>
  <c r="J2069" i="1"/>
  <c r="L2068" i="1"/>
  <c r="K2068" i="1"/>
  <c r="J2068" i="1"/>
  <c r="L2067" i="1"/>
  <c r="K2067" i="1"/>
  <c r="J2067" i="1"/>
  <c r="L2066" i="1"/>
  <c r="K2066" i="1"/>
  <c r="J2066" i="1"/>
  <c r="L2065" i="1"/>
  <c r="K2065" i="1"/>
  <c r="J2065" i="1"/>
  <c r="L2064" i="1"/>
  <c r="K2064" i="1"/>
  <c r="J2064" i="1"/>
  <c r="L2063" i="1"/>
  <c r="K2063" i="1"/>
  <c r="J2063" i="1"/>
  <c r="L2062" i="1"/>
  <c r="K2062" i="1"/>
  <c r="J2062" i="1"/>
  <c r="L2060" i="1"/>
  <c r="K2060" i="1"/>
  <c r="J2060" i="1"/>
  <c r="L2059" i="1"/>
  <c r="K2059" i="1"/>
  <c r="J2059" i="1"/>
  <c r="L2058" i="1"/>
  <c r="K2058" i="1"/>
  <c r="J2058" i="1"/>
  <c r="L2056" i="1"/>
  <c r="K2056" i="1"/>
  <c r="J2056" i="1"/>
  <c r="L2055" i="1"/>
  <c r="K2055" i="1"/>
  <c r="J2055" i="1"/>
  <c r="L2054" i="1"/>
  <c r="K2054" i="1"/>
  <c r="J2054" i="1"/>
  <c r="L2052" i="1"/>
  <c r="K2052" i="1"/>
  <c r="J2052" i="1"/>
  <c r="L1822" i="1"/>
  <c r="K1822" i="1"/>
  <c r="J1822" i="1"/>
  <c r="L1821" i="1"/>
  <c r="K1821" i="1"/>
  <c r="J1821" i="1"/>
  <c r="L1820" i="1"/>
  <c r="K1820" i="1"/>
  <c r="J1820" i="1"/>
  <c r="L1819" i="1"/>
  <c r="K1819" i="1"/>
  <c r="J1819" i="1"/>
  <c r="L1818" i="1"/>
  <c r="K1818" i="1"/>
  <c r="J1818" i="1"/>
  <c r="L1817" i="1"/>
  <c r="K1817" i="1"/>
  <c r="J1817" i="1"/>
  <c r="L1816" i="1"/>
  <c r="K1816" i="1"/>
  <c r="J1816" i="1"/>
  <c r="L1814" i="1"/>
  <c r="K1814" i="1"/>
  <c r="J1814" i="1"/>
  <c r="L1813" i="1"/>
  <c r="K1813" i="1"/>
  <c r="J1813" i="1"/>
  <c r="L1812" i="1"/>
  <c r="K1812" i="1"/>
  <c r="J1812" i="1"/>
  <c r="L1809" i="1"/>
  <c r="K1809" i="1"/>
  <c r="J1809" i="1"/>
  <c r="L1808" i="1"/>
  <c r="K1808" i="1"/>
  <c r="J1808" i="1"/>
  <c r="L1807" i="1"/>
  <c r="K1807" i="1"/>
  <c r="J1807" i="1"/>
  <c r="L1806" i="1"/>
  <c r="K1806" i="1"/>
  <c r="J1806" i="1"/>
  <c r="L1805" i="1"/>
  <c r="K1805" i="1"/>
  <c r="J1805" i="1"/>
  <c r="L1804" i="1"/>
  <c r="K1804" i="1"/>
  <c r="J1804" i="1"/>
  <c r="L1802" i="1"/>
  <c r="K1802" i="1"/>
  <c r="J1802" i="1"/>
  <c r="L1800" i="1"/>
  <c r="K1800" i="1"/>
  <c r="J1800" i="1"/>
  <c r="L1799" i="1"/>
  <c r="K1799" i="1"/>
  <c r="J1799" i="1"/>
  <c r="L1798" i="1"/>
  <c r="K1798" i="1"/>
  <c r="J1798" i="1"/>
  <c r="L1797" i="1"/>
  <c r="K1797" i="1"/>
  <c r="J1797" i="1"/>
  <c r="L1796" i="1"/>
  <c r="K1796" i="1"/>
  <c r="J1796" i="1"/>
  <c r="L1795" i="1"/>
  <c r="K1795" i="1"/>
  <c r="J1795" i="1"/>
  <c r="L1794" i="1"/>
  <c r="K1794" i="1"/>
  <c r="J1794" i="1"/>
  <c r="L1792" i="1"/>
  <c r="K1792" i="1"/>
  <c r="J1792" i="1"/>
  <c r="L1791" i="1"/>
  <c r="K1791" i="1"/>
  <c r="J1791" i="1"/>
  <c r="L1790" i="1"/>
  <c r="K1790" i="1"/>
  <c r="J1790" i="1"/>
  <c r="L1789" i="1"/>
  <c r="K1789" i="1"/>
  <c r="J1789" i="1"/>
  <c r="L1788" i="1"/>
  <c r="K1788" i="1"/>
  <c r="J1788" i="1"/>
  <c r="L1787" i="1"/>
  <c r="K1787" i="1"/>
  <c r="J1787" i="1"/>
  <c r="L1785" i="1"/>
  <c r="K1785" i="1"/>
  <c r="J1785" i="1"/>
  <c r="L1784" i="1"/>
  <c r="K1784" i="1"/>
  <c r="J1784" i="1"/>
  <c r="L1783" i="1"/>
  <c r="K1783" i="1"/>
  <c r="J1783" i="1"/>
  <c r="L1782" i="1"/>
  <c r="K1782" i="1"/>
  <c r="J1782" i="1"/>
  <c r="L1781" i="1"/>
  <c r="K1781" i="1"/>
  <c r="J1781" i="1"/>
  <c r="L1780" i="1"/>
  <c r="K1780" i="1"/>
  <c r="J1780" i="1"/>
  <c r="L1779" i="1"/>
  <c r="K1779" i="1"/>
  <c r="J1779" i="1"/>
  <c r="L1778" i="1"/>
  <c r="K1778" i="1"/>
  <c r="J1778" i="1"/>
  <c r="L1777" i="1"/>
  <c r="K1777" i="1"/>
  <c r="J1777" i="1"/>
  <c r="L1776" i="1"/>
  <c r="K1776" i="1"/>
  <c r="J1776" i="1"/>
  <c r="L1775" i="1"/>
  <c r="K1775" i="1"/>
  <c r="J1775" i="1"/>
  <c r="L1774" i="1"/>
  <c r="K1774" i="1"/>
  <c r="J1774" i="1"/>
  <c r="L1773" i="1"/>
  <c r="K1773" i="1"/>
  <c r="J1773" i="1"/>
  <c r="L1772" i="1"/>
  <c r="K1772" i="1"/>
  <c r="J1772" i="1"/>
  <c r="L1771" i="1"/>
  <c r="K1771" i="1"/>
  <c r="J1771" i="1"/>
  <c r="L1769" i="1"/>
  <c r="K1769" i="1"/>
  <c r="J1769" i="1"/>
  <c r="L1768" i="1"/>
  <c r="K1768" i="1"/>
  <c r="J1768" i="1"/>
  <c r="L1767" i="1"/>
  <c r="K1767" i="1"/>
  <c r="J1767" i="1"/>
  <c r="L1765" i="1"/>
  <c r="K1765" i="1"/>
  <c r="J1765" i="1"/>
  <c r="L1764" i="1"/>
  <c r="K1764" i="1"/>
  <c r="J1764" i="1"/>
  <c r="L1763" i="1"/>
  <c r="K1763" i="1"/>
  <c r="J1763" i="1"/>
  <c r="L1761" i="1"/>
  <c r="K1761" i="1"/>
  <c r="J1761" i="1"/>
  <c r="K1693" i="1" a="1"/>
  <c r="K1693" i="1" s="1"/>
  <c r="L1693" i="1" a="1"/>
  <c r="L1693" i="1" s="1"/>
  <c r="J1693" i="1" a="1"/>
  <c r="J1693" i="1" s="1"/>
  <c r="L1705" i="1"/>
  <c r="K1705" i="1"/>
  <c r="J1705" i="1"/>
  <c r="L1704" i="1"/>
  <c r="K1704" i="1"/>
  <c r="J1704" i="1"/>
  <c r="L1703" i="1"/>
  <c r="K1703" i="1"/>
  <c r="J1703" i="1"/>
  <c r="L1701" i="1"/>
  <c r="K1701" i="1"/>
  <c r="J1701" i="1"/>
  <c r="L1700" i="1"/>
  <c r="K1700" i="1"/>
  <c r="J1700" i="1"/>
  <c r="L1699" i="1"/>
  <c r="K1699" i="1"/>
  <c r="J1699" i="1"/>
  <c r="L1698" i="1"/>
  <c r="K1698" i="1"/>
  <c r="J1698" i="1"/>
  <c r="L1697" i="1"/>
  <c r="K1697" i="1"/>
  <c r="J1697" i="1"/>
  <c r="L1696" i="1"/>
  <c r="K1696" i="1"/>
  <c r="J1696" i="1"/>
  <c r="L1695" i="1"/>
  <c r="K1695" i="1"/>
  <c r="J1695" i="1"/>
  <c r="L1694" i="1"/>
  <c r="K1694" i="1"/>
  <c r="J1694" i="1"/>
  <c r="L1691" i="1"/>
  <c r="K1691" i="1"/>
  <c r="J1691" i="1"/>
  <c r="L1690" i="1"/>
  <c r="K1690" i="1"/>
  <c r="J1690" i="1"/>
  <c r="L1689" i="1"/>
  <c r="K1689" i="1"/>
  <c r="J1689" i="1"/>
  <c r="L1655" i="1"/>
  <c r="K1655" i="1"/>
  <c r="J1655" i="1"/>
  <c r="K1352" i="1" a="1"/>
  <c r="K1352" i="1" s="1"/>
  <c r="J1352" i="1" a="1"/>
  <c r="J1352" i="1" s="1"/>
  <c r="L1352" i="1" a="1"/>
  <c r="L1352" i="1" s="1"/>
  <c r="L1353" i="1" a="1"/>
  <c r="L1353" i="1" s="1"/>
  <c r="J1353" i="1" a="1"/>
  <c r="J1353" i="1" s="1"/>
  <c r="K1353" i="1" a="1"/>
  <c r="K1353" i="1" s="1"/>
  <c r="L1349" i="1" a="1"/>
  <c r="L1349" i="1" s="1"/>
  <c r="J1347" i="1" a="1"/>
  <c r="J1347" i="1" s="1"/>
  <c r="K1349" i="1" a="1"/>
  <c r="K1349" i="1" s="1"/>
  <c r="L1348" i="1" a="1"/>
  <c r="L1348" i="1" s="1"/>
  <c r="L1350" i="1" a="1"/>
  <c r="L1350" i="1" s="1"/>
  <c r="K1350" i="1" a="1"/>
  <c r="K1350" i="1" s="1"/>
  <c r="K1347" i="1" a="1"/>
  <c r="K1347" i="1" s="1"/>
  <c r="K1348" i="1" a="1"/>
  <c r="K1348" i="1" s="1"/>
  <c r="L1347" i="1" a="1"/>
  <c r="L1347" i="1" s="1"/>
  <c r="L1346" i="1" a="1"/>
  <c r="L1346" i="1" s="1"/>
  <c r="J1350" i="1" a="1"/>
  <c r="J1350" i="1" s="1"/>
  <c r="J1346" i="1" a="1"/>
  <c r="J1346" i="1" s="1"/>
  <c r="J1349" i="1" a="1"/>
  <c r="J1349" i="1" s="1"/>
  <c r="J1348" i="1" a="1"/>
  <c r="J1348" i="1" s="1"/>
  <c r="K1346" i="1" a="1"/>
  <c r="K1346" i="1" s="1"/>
  <c r="K1338" i="1" a="1"/>
  <c r="K1338" i="1" s="1"/>
  <c r="K1337" i="1" a="1"/>
  <c r="K1337" i="1" s="1"/>
  <c r="K1340" i="1" a="1"/>
  <c r="K1340" i="1" s="1"/>
  <c r="L1337" i="1" a="1"/>
  <c r="L1337" i="1" s="1"/>
  <c r="J1337" i="1" a="1"/>
  <c r="J1337" i="1" s="1"/>
  <c r="L1339" i="1" a="1"/>
  <c r="L1339" i="1" s="1"/>
  <c r="L1338" i="1" a="1"/>
  <c r="L1338" i="1" s="1"/>
  <c r="K1339" i="1" a="1"/>
  <c r="K1339" i="1" s="1"/>
  <c r="J1340" i="1" a="1"/>
  <c r="J1340" i="1" s="1"/>
  <c r="L1340" i="1" a="1"/>
  <c r="L1340" i="1" s="1"/>
  <c r="J1339" i="1" a="1"/>
  <c r="J1339" i="1" s="1"/>
  <c r="J1338" i="1" a="1"/>
  <c r="J1338" i="1" s="1"/>
  <c r="L1336" i="1" a="1"/>
  <c r="L1336" i="1" s="1"/>
  <c r="J1336" i="1" a="1"/>
  <c r="J1336" i="1" s="1"/>
  <c r="K1336" i="1" a="1"/>
  <c r="K1336" i="1" s="1"/>
  <c r="L1334" i="1" a="1"/>
  <c r="L1334" i="1" s="1"/>
  <c r="L1332" i="1" a="1"/>
  <c r="L1332" i="1" s="1"/>
  <c r="J1333" i="1" a="1"/>
  <c r="J1333" i="1" s="1"/>
  <c r="L1335" i="1" a="1"/>
  <c r="L1335" i="1" s="1"/>
  <c r="K1335" i="1" a="1"/>
  <c r="K1335" i="1" s="1"/>
  <c r="J1335" i="1" a="1"/>
  <c r="J1335" i="1" s="1"/>
  <c r="J1332" i="1" a="1"/>
  <c r="J1332" i="1" s="1"/>
  <c r="K1333" i="1" a="1"/>
  <c r="K1333" i="1" s="1"/>
  <c r="L1333" i="1" a="1"/>
  <c r="L1333" i="1" s="1"/>
  <c r="K1334" i="1" a="1"/>
  <c r="K1334" i="1" s="1"/>
  <c r="K1332" i="1" a="1"/>
  <c r="K1332" i="1" s="1"/>
  <c r="J1334" i="1" a="1"/>
  <c r="J1334" i="1" s="1"/>
  <c r="J1326" i="1" a="1"/>
  <c r="J1326" i="1" s="1"/>
  <c r="L1324" i="1" a="1"/>
  <c r="L1324" i="1" s="1"/>
  <c r="L1325" i="1" a="1"/>
  <c r="L1325" i="1" s="1"/>
  <c r="K1325" i="1" a="1"/>
  <c r="K1325" i="1" s="1"/>
  <c r="K1324" i="1" a="1"/>
  <c r="K1324" i="1" s="1"/>
  <c r="J1323" i="1" a="1"/>
  <c r="J1323" i="1" s="1"/>
  <c r="L1326" i="1" a="1"/>
  <c r="L1326" i="1" s="1"/>
  <c r="J1325" i="1" a="1"/>
  <c r="J1325" i="1" s="1"/>
  <c r="L1323" i="1" a="1"/>
  <c r="L1323" i="1" s="1"/>
  <c r="K1323" i="1" a="1"/>
  <c r="K1323" i="1" s="1"/>
  <c r="K1326" i="1" a="1"/>
  <c r="K1326" i="1" s="1"/>
  <c r="J1324" i="1" a="1"/>
  <c r="J1324" i="1" s="1"/>
  <c r="L1318" i="1" a="1"/>
  <c r="L1318" i="1" s="1"/>
  <c r="J1320" i="1" a="1"/>
  <c r="J1320" i="1" s="1"/>
  <c r="J1321" i="1" a="1"/>
  <c r="J1321" i="1" s="1"/>
  <c r="K1320" i="1" a="1"/>
  <c r="K1320" i="1" s="1"/>
  <c r="K1318" i="1" a="1"/>
  <c r="K1318" i="1" s="1"/>
  <c r="K1319" i="1" a="1"/>
  <c r="K1319" i="1" s="1"/>
  <c r="J1318" i="1" a="1"/>
  <c r="J1318" i="1" s="1"/>
  <c r="L1321" i="1" a="1"/>
  <c r="L1321" i="1" s="1"/>
  <c r="K1321" i="1" a="1"/>
  <c r="K1321" i="1" s="1"/>
  <c r="L1320" i="1" a="1"/>
  <c r="L1320" i="1" s="1"/>
  <c r="L1319" i="1" a="1"/>
  <c r="L1319" i="1" s="1"/>
  <c r="J1319" i="1" a="1"/>
  <c r="J1319" i="1" s="1"/>
  <c r="L1317" i="1" a="1"/>
  <c r="L1317" i="1" s="1"/>
  <c r="K1317" i="1" a="1"/>
  <c r="K1317" i="1" s="1"/>
  <c r="J1317" i="1" a="1"/>
  <c r="J1317" i="1" s="1"/>
  <c r="K1260" i="1" a="1"/>
  <c r="K1260" i="1" s="1"/>
  <c r="J1258" i="1" a="1"/>
  <c r="J1258" i="1" s="1"/>
  <c r="L1262" i="1" a="1"/>
  <c r="L1262" i="1" s="1"/>
  <c r="J1260" i="1" a="1"/>
  <c r="J1260" i="1" s="1"/>
  <c r="J1259" i="1" a="1"/>
  <c r="J1259" i="1" s="1"/>
  <c r="L1263" i="1" a="1"/>
  <c r="L1263" i="1" s="1"/>
  <c r="J1263" i="1" a="1"/>
  <c r="J1263" i="1" s="1"/>
  <c r="K1262" i="1" a="1"/>
  <c r="K1262" i="1" s="1"/>
  <c r="J1262" i="1" a="1"/>
  <c r="J1262" i="1" s="1"/>
  <c r="K1261" i="1" a="1"/>
  <c r="K1261" i="1" s="1"/>
  <c r="L1260" i="1" a="1"/>
  <c r="L1260" i="1" s="1"/>
  <c r="L1259" i="1" a="1"/>
  <c r="L1259" i="1" s="1"/>
  <c r="K1259" i="1" a="1"/>
  <c r="K1259" i="1" s="1"/>
  <c r="L1258" i="1" a="1"/>
  <c r="L1258" i="1" s="1"/>
  <c r="J1261" i="1" a="1"/>
  <c r="J1261" i="1" s="1"/>
  <c r="K1258" i="1" a="1"/>
  <c r="K1258" i="1" s="1"/>
  <c r="L1257" i="1" a="1"/>
  <c r="L1257" i="1" s="1"/>
  <c r="L1261" i="1" a="1"/>
  <c r="L1261" i="1" s="1"/>
  <c r="K1263" i="1" a="1"/>
  <c r="K1263" i="1" s="1"/>
  <c r="J1256" i="1" a="1"/>
  <c r="J1256" i="1" s="1"/>
  <c r="K1257" i="1" a="1"/>
  <c r="K1257" i="1" s="1"/>
  <c r="J1257" i="1" a="1"/>
  <c r="J1257" i="1" s="1"/>
  <c r="L1256" i="1" a="1"/>
  <c r="L1256" i="1" s="1"/>
  <c r="K1256" i="1" a="1"/>
  <c r="K1256" i="1" s="1"/>
  <c r="L1254" i="1" a="1"/>
  <c r="L1254" i="1" s="1"/>
  <c r="L1253" i="1" a="1"/>
  <c r="L1253" i="1" s="1"/>
  <c r="J1254" i="1" a="1"/>
  <c r="J1254" i="1" s="1"/>
  <c r="K1253" i="1" a="1"/>
  <c r="K1253" i="1" s="1"/>
  <c r="J1253" i="1" a="1"/>
  <c r="J1253" i="1" s="1"/>
  <c r="L1255" i="1" a="1"/>
  <c r="L1255" i="1" s="1"/>
  <c r="K1255" i="1" a="1"/>
  <c r="K1255" i="1" s="1"/>
  <c r="J1255" i="1" a="1"/>
  <c r="J1255" i="1" s="1"/>
  <c r="K1254" i="1" a="1"/>
  <c r="K1254" i="1" s="1"/>
  <c r="L1252" i="1" a="1"/>
  <c r="L1252" i="1" s="1"/>
  <c r="K1252" i="1" a="1"/>
  <c r="K1252" i="1" s="1"/>
  <c r="J1252" i="1" a="1"/>
  <c r="J1252" i="1" s="1"/>
  <c r="K1251" i="1" a="1"/>
  <c r="K1251" i="1" s="1"/>
  <c r="L1250" i="1" a="1"/>
  <c r="L1250" i="1" s="1"/>
  <c r="K1249" i="1" a="1"/>
  <c r="K1249" i="1" s="1"/>
  <c r="J1249" i="1" a="1"/>
  <c r="J1249" i="1" s="1"/>
  <c r="K1250" i="1" a="1"/>
  <c r="K1250" i="1" s="1"/>
  <c r="L1249" i="1" a="1"/>
  <c r="L1249" i="1" s="1"/>
  <c r="L1251" i="1" a="1"/>
  <c r="L1251" i="1" s="1"/>
  <c r="J1251" i="1" a="1"/>
  <c r="J1251" i="1" s="1"/>
  <c r="J1250" i="1" a="1"/>
  <c r="J1250" i="1" s="1"/>
  <c r="K1246" i="1" a="1"/>
  <c r="K1246" i="1" s="1"/>
  <c r="K1248" i="1" a="1"/>
  <c r="K1248" i="1" s="1"/>
  <c r="L1245" i="1" a="1"/>
  <c r="L1245" i="1" s="1"/>
  <c r="J1247" i="1" a="1"/>
  <c r="J1247" i="1" s="1"/>
  <c r="K1245" i="1" a="1"/>
  <c r="K1245" i="1" s="1"/>
  <c r="J1246" i="1" a="1"/>
  <c r="J1246" i="1" s="1"/>
  <c r="L1247" i="1" a="1"/>
  <c r="L1247" i="1" s="1"/>
  <c r="K1247" i="1" a="1"/>
  <c r="K1247" i="1" s="1"/>
  <c r="J1245" i="1" a="1"/>
  <c r="J1245" i="1" s="1"/>
  <c r="L1246" i="1" a="1"/>
  <c r="L1246" i="1" s="1"/>
  <c r="L1244" i="1" a="1"/>
  <c r="L1244" i="1" s="1"/>
  <c r="L1242" i="1" a="1"/>
  <c r="L1242" i="1" s="1"/>
  <c r="J1242" i="1" a="1"/>
  <c r="J1242" i="1" s="1"/>
  <c r="L1241" i="1" a="1"/>
  <c r="L1241" i="1" s="1"/>
  <c r="L1248" i="1" a="1"/>
  <c r="L1248" i="1" s="1"/>
  <c r="L1243" i="1" a="1"/>
  <c r="L1243" i="1" s="1"/>
  <c r="K1243" i="1" a="1"/>
  <c r="K1243" i="1" s="1"/>
  <c r="K1241" i="1" a="1"/>
  <c r="K1241" i="1" s="1"/>
  <c r="J1244" i="1" a="1"/>
  <c r="J1244" i="1" s="1"/>
  <c r="J1248" i="1" a="1"/>
  <c r="J1248" i="1" s="1"/>
  <c r="J1241" i="1" a="1"/>
  <c r="J1241" i="1" s="1"/>
  <c r="K1244" i="1" a="1"/>
  <c r="K1244" i="1" s="1"/>
  <c r="J1243" i="1" a="1"/>
  <c r="J1243" i="1" s="1"/>
  <c r="K1242" i="1" a="1"/>
  <c r="K1242" i="1" s="1"/>
  <c r="L1240" i="1" a="1"/>
  <c r="L1240" i="1" s="1"/>
  <c r="J1240" i="1" a="1"/>
  <c r="J1240" i="1" s="1"/>
  <c r="L1239" i="1" a="1"/>
  <c r="L1239" i="1" s="1"/>
  <c r="K1238" i="1" a="1"/>
  <c r="K1238" i="1" s="1"/>
  <c r="K1239" i="1" a="1"/>
  <c r="K1239" i="1" s="1"/>
  <c r="J1239" i="1" a="1"/>
  <c r="J1239" i="1" s="1"/>
  <c r="K1240" i="1" a="1"/>
  <c r="K1240" i="1" s="1"/>
  <c r="J1238" i="1" a="1"/>
  <c r="J1238" i="1" s="1"/>
  <c r="L1238" i="1" a="1"/>
  <c r="L1238" i="1" s="1"/>
  <c r="J1237" i="1" a="1"/>
  <c r="J1237" i="1" s="1"/>
  <c r="K1236" i="1" a="1"/>
  <c r="K1236" i="1" s="1"/>
  <c r="K1232" i="1" a="1"/>
  <c r="K1232" i="1" s="1"/>
  <c r="L1236" i="1" a="1"/>
  <c r="L1236" i="1" s="1"/>
  <c r="K1235" i="1" a="1"/>
  <c r="K1235" i="1" s="1"/>
  <c r="J1234" i="1" a="1"/>
  <c r="J1234" i="1" s="1"/>
  <c r="J1233" i="1" a="1"/>
  <c r="J1233" i="1" s="1"/>
  <c r="L1234" i="1" a="1"/>
  <c r="L1234" i="1" s="1"/>
  <c r="J1235" i="1" a="1"/>
  <c r="J1235" i="1" s="1"/>
  <c r="L1232" i="1" a="1"/>
  <c r="L1232" i="1" s="1"/>
  <c r="L1233" i="1" a="1"/>
  <c r="L1233" i="1" s="1"/>
  <c r="L1237" i="1" a="1"/>
  <c r="L1237" i="1" s="1"/>
  <c r="J1232" i="1" a="1"/>
  <c r="J1232" i="1" s="1"/>
  <c r="L1235" i="1" a="1"/>
  <c r="L1235" i="1" s="1"/>
  <c r="K1234" i="1" a="1"/>
  <c r="K1234" i="1" s="1"/>
  <c r="K1237" i="1" a="1"/>
  <c r="K1237" i="1" s="1"/>
  <c r="J1236" i="1" a="1"/>
  <c r="J1236" i="1" s="1"/>
  <c r="K1233" i="1" a="1"/>
  <c r="K1233" i="1" s="1"/>
  <c r="K1227" i="1" a="1"/>
  <c r="K1227" i="1" s="1"/>
  <c r="L1230" i="1" a="1"/>
  <c r="L1230" i="1" s="1"/>
  <c r="K1229" i="1" a="1"/>
  <c r="K1229" i="1" s="1"/>
  <c r="K1228" i="1" a="1"/>
  <c r="K1228" i="1" s="1"/>
  <c r="J1227" i="1" a="1"/>
  <c r="J1227" i="1" s="1"/>
  <c r="L1228" i="1" a="1"/>
  <c r="L1228" i="1" s="1"/>
  <c r="J1230" i="1" a="1"/>
  <c r="J1230" i="1" s="1"/>
  <c r="L1226" i="1" a="1"/>
  <c r="L1226" i="1" s="1"/>
  <c r="L1227" i="1" a="1"/>
  <c r="L1227" i="1" s="1"/>
  <c r="L1231" i="1" a="1"/>
  <c r="L1231" i="1" s="1"/>
  <c r="K1231" i="1" a="1"/>
  <c r="K1231" i="1" s="1"/>
  <c r="J1231" i="1" a="1"/>
  <c r="J1231" i="1" s="1"/>
  <c r="J1229" i="1" a="1"/>
  <c r="J1229" i="1" s="1"/>
  <c r="K1226" i="1" a="1"/>
  <c r="K1226" i="1" s="1"/>
  <c r="L1229" i="1" a="1"/>
  <c r="L1229" i="1" s="1"/>
  <c r="J1228" i="1" a="1"/>
  <c r="J1228" i="1" s="1"/>
  <c r="K1230" i="1" a="1"/>
  <c r="K1230" i="1" s="1"/>
  <c r="L1372" i="1" a="1"/>
  <c r="L1372" i="1" s="1"/>
  <c r="J1372" i="1" a="1"/>
  <c r="J1372" i="1" s="1"/>
  <c r="J1367" i="1" a="1"/>
  <c r="J1367" i="1" s="1"/>
  <c r="J1371" i="1" a="1"/>
  <c r="J1371" i="1" s="1"/>
  <c r="K1370" i="1" a="1"/>
  <c r="K1370" i="1" s="1"/>
  <c r="J1370" i="1" a="1"/>
  <c r="J1370" i="1" s="1"/>
  <c r="J1368" i="1" a="1"/>
  <c r="J1368" i="1" s="1"/>
  <c r="L1366" i="1" a="1"/>
  <c r="L1366" i="1" s="1"/>
  <c r="J1369" i="1" a="1"/>
  <c r="J1369" i="1" s="1"/>
  <c r="K1367" i="1" a="1"/>
  <c r="K1367" i="1" s="1"/>
  <c r="K1372" i="1" a="1"/>
  <c r="K1372" i="1" s="1"/>
  <c r="L1371" i="1" a="1"/>
  <c r="L1371" i="1" s="1"/>
  <c r="K1371" i="1" a="1"/>
  <c r="K1371" i="1" s="1"/>
  <c r="L1370" i="1" a="1"/>
  <c r="L1370" i="1" s="1"/>
  <c r="J1366" i="1" a="1"/>
  <c r="J1366" i="1" s="1"/>
  <c r="K1368" i="1" a="1"/>
  <c r="K1368" i="1" s="1"/>
  <c r="K1366" i="1" a="1"/>
  <c r="K1366" i="1" s="1"/>
  <c r="K1369" i="1" a="1"/>
  <c r="K1369" i="1" s="1"/>
  <c r="L1368" i="1" a="1"/>
  <c r="L1368" i="1" s="1"/>
  <c r="L1367" i="1" a="1"/>
  <c r="L1367" i="1" s="1"/>
  <c r="L1369" i="1" a="1"/>
  <c r="L1369" i="1" s="1"/>
  <c r="L1365" i="1" a="1"/>
  <c r="L1365" i="1" s="1"/>
  <c r="K1365" i="1" a="1"/>
  <c r="K1365" i="1" s="1"/>
  <c r="J1365" i="1" a="1"/>
  <c r="J1365" i="1" s="1"/>
  <c r="L1364" i="1" a="1"/>
  <c r="L1364" i="1" s="1"/>
  <c r="K1364" i="1" a="1"/>
  <c r="K1364" i="1" s="1"/>
  <c r="J1364" i="1" a="1"/>
  <c r="J1364" i="1" s="1"/>
  <c r="L1363" i="1" a="1"/>
  <c r="L1363" i="1" s="1"/>
  <c r="L1362" i="1" a="1"/>
  <c r="L1362" i="1" s="1"/>
  <c r="J1363" i="1" a="1"/>
  <c r="J1363" i="1" s="1"/>
  <c r="K1363" i="1" a="1"/>
  <c r="K1363" i="1" s="1"/>
  <c r="J1357" i="1" a="1"/>
  <c r="J1357" i="1" s="1"/>
  <c r="L1360" i="1" a="1"/>
  <c r="L1360" i="1" s="1"/>
  <c r="K1362" i="1" a="1"/>
  <c r="K1362" i="1" s="1"/>
  <c r="J1362" i="1" a="1"/>
  <c r="J1362" i="1" s="1"/>
  <c r="L1357" i="1" a="1"/>
  <c r="L1357" i="1" s="1"/>
  <c r="J1360" i="1" a="1"/>
  <c r="J1360" i="1" s="1"/>
  <c r="K1359" i="1" a="1"/>
  <c r="K1359" i="1" s="1"/>
  <c r="L1361" i="1" a="1"/>
  <c r="L1361" i="1" s="1"/>
  <c r="L1359" i="1" a="1"/>
  <c r="L1359" i="1" s="1"/>
  <c r="J1359" i="1" a="1"/>
  <c r="J1359" i="1" s="1"/>
  <c r="K1361" i="1" a="1"/>
  <c r="K1361" i="1" s="1"/>
  <c r="J1361" i="1" a="1"/>
  <c r="J1361" i="1" s="1"/>
  <c r="J1358" i="1" a="1"/>
  <c r="J1358" i="1" s="1"/>
  <c r="K1358" i="1" a="1"/>
  <c r="K1358" i="1" s="1"/>
  <c r="K1357" i="1" a="1"/>
  <c r="K1357" i="1" s="1"/>
  <c r="L1358" i="1" a="1"/>
  <c r="L1358" i="1" s="1"/>
  <c r="K1360" i="1" a="1"/>
  <c r="K1360" i="1" s="1"/>
  <c r="J1356" i="1" a="1"/>
  <c r="J1356" i="1" s="1"/>
  <c r="J1355" i="1" a="1"/>
  <c r="J1355" i="1" s="1"/>
  <c r="L1356" i="1" a="1"/>
  <c r="L1356" i="1" s="1"/>
  <c r="L1355" i="1" a="1"/>
  <c r="L1355" i="1" s="1"/>
  <c r="K1356" i="1" a="1"/>
  <c r="K1356" i="1" s="1"/>
  <c r="K1355" i="1" a="1"/>
  <c r="K1355" i="1" s="1"/>
  <c r="K1354" i="1" a="1"/>
  <c r="K1354" i="1" s="1"/>
  <c r="L1354" i="1" a="1"/>
  <c r="L1354" i="1" s="1"/>
  <c r="J1354" i="1" a="1"/>
  <c r="J1354" i="1" s="1"/>
  <c r="L1171" i="1" a="1"/>
  <c r="L1171" i="1" s="1"/>
  <c r="K1171" i="1" a="1"/>
  <c r="K1171" i="1" s="1"/>
  <c r="L1169" i="1" a="1"/>
  <c r="L1169" i="1" s="1"/>
  <c r="K1169" i="1" a="1"/>
  <c r="K1169" i="1" s="1"/>
  <c r="J1171" i="1" a="1"/>
  <c r="J1171" i="1" s="1"/>
  <c r="L1170" i="1" a="1"/>
  <c r="L1170" i="1" s="1"/>
  <c r="J1170" i="1" a="1"/>
  <c r="J1170" i="1" s="1"/>
  <c r="J1169" i="1" a="1"/>
  <c r="J1169" i="1" s="1"/>
  <c r="K1170" i="1" a="1"/>
  <c r="K1170" i="1" s="1"/>
  <c r="L1168" i="1" a="1"/>
  <c r="L1168" i="1" s="1"/>
  <c r="K1168" i="1" a="1"/>
  <c r="K1168" i="1" s="1"/>
  <c r="J1168" i="1" a="1"/>
  <c r="J1168" i="1" s="1"/>
  <c r="J1167" i="1" a="1"/>
  <c r="J1167" i="1" s="1"/>
  <c r="L1167" i="1" a="1"/>
  <c r="L1167" i="1" s="1"/>
  <c r="K1167" i="1" a="1"/>
  <c r="K1167" i="1" s="1"/>
  <c r="L1166" i="1" a="1"/>
  <c r="L1166" i="1" s="1"/>
  <c r="K1166" i="1" a="1"/>
  <c r="K1166" i="1" s="1"/>
  <c r="J1166" i="1" a="1"/>
  <c r="J1166" i="1" s="1"/>
  <c r="L1165" i="1" a="1"/>
  <c r="L1165" i="1" s="1"/>
  <c r="J1165" i="1" a="1"/>
  <c r="J1165" i="1" s="1"/>
  <c r="K1165" i="1" a="1"/>
  <c r="K1165" i="1" s="1"/>
  <c r="L1164" i="1" a="1"/>
  <c r="L1164" i="1" s="1"/>
  <c r="K1164" i="1" a="1"/>
  <c r="K1164" i="1" s="1"/>
  <c r="J1164" i="1" a="1"/>
  <c r="J1164" i="1" s="1"/>
  <c r="L1156" i="1" a="1"/>
  <c r="L1156" i="1" s="1"/>
  <c r="K1156" i="1" a="1"/>
  <c r="K1156" i="1" s="1"/>
  <c r="K1155" i="1" a="1"/>
  <c r="K1155" i="1" s="1"/>
  <c r="J1155" i="1" a="1"/>
  <c r="J1155" i="1" s="1"/>
  <c r="L1155" i="1" a="1"/>
  <c r="L1155" i="1" s="1"/>
  <c r="K1163" i="1" a="1"/>
  <c r="K1163" i="1" s="1"/>
  <c r="L1162" i="1" a="1"/>
  <c r="L1162" i="1" s="1"/>
  <c r="L1163" i="1" a="1"/>
  <c r="L1163" i="1" s="1"/>
  <c r="J1163" i="1" a="1"/>
  <c r="J1163" i="1" s="1"/>
  <c r="L1154" i="1" a="1"/>
  <c r="L1154" i="1" s="1"/>
  <c r="K1162" i="1" a="1"/>
  <c r="K1162" i="1" s="1"/>
  <c r="J1162" i="1" a="1"/>
  <c r="J1162" i="1" s="1"/>
  <c r="J1156" i="1" a="1"/>
  <c r="J1156" i="1" s="1"/>
  <c r="K1154" i="1" a="1"/>
  <c r="K1154" i="1" s="1"/>
  <c r="J1154" i="1" a="1"/>
  <c r="J1154" i="1" s="1"/>
  <c r="J1225" i="1" a="1"/>
  <c r="J1225" i="1" s="1"/>
  <c r="L1222" i="1" a="1"/>
  <c r="L1222" i="1" s="1"/>
  <c r="L1224" i="1" a="1"/>
  <c r="L1224" i="1" s="1"/>
  <c r="K1224" i="1" a="1"/>
  <c r="K1224" i="1" s="1"/>
  <c r="L1219" i="1" a="1"/>
  <c r="L1219" i="1" s="1"/>
  <c r="K1220" i="1" a="1"/>
  <c r="K1220" i="1" s="1"/>
  <c r="K1223" i="1" a="1"/>
  <c r="K1223" i="1" s="1"/>
  <c r="J1224" i="1" a="1"/>
  <c r="J1224" i="1" s="1"/>
  <c r="J1223" i="1" a="1"/>
  <c r="J1223" i="1" s="1"/>
  <c r="L1221" i="1" a="1"/>
  <c r="L1221" i="1" s="1"/>
  <c r="J1221" i="1" a="1"/>
  <c r="J1221" i="1" s="1"/>
  <c r="K1222" i="1" a="1"/>
  <c r="K1222" i="1" s="1"/>
  <c r="L1220" i="1" a="1"/>
  <c r="L1220" i="1" s="1"/>
  <c r="J1220" i="1" a="1"/>
  <c r="J1220" i="1" s="1"/>
  <c r="L1223" i="1" a="1"/>
  <c r="L1223" i="1" s="1"/>
  <c r="K1221" i="1" a="1"/>
  <c r="K1221" i="1" s="1"/>
  <c r="J1226" i="1" a="1"/>
  <c r="J1226" i="1" s="1"/>
  <c r="L1225" i="1" a="1"/>
  <c r="L1225" i="1" s="1"/>
  <c r="K1225" i="1" a="1"/>
  <c r="K1225" i="1" s="1"/>
  <c r="J1222" i="1" a="1"/>
  <c r="J1222" i="1" s="1"/>
  <c r="K1219" i="1" a="1"/>
  <c r="K1219" i="1" s="1"/>
  <c r="J1216" i="1" a="1"/>
  <c r="J1216" i="1" s="1"/>
  <c r="K1215" i="1" a="1"/>
  <c r="K1215" i="1" s="1"/>
  <c r="L1216" i="1" a="1"/>
  <c r="L1216" i="1" s="1"/>
  <c r="J1219" i="1" a="1"/>
  <c r="J1219" i="1" s="1"/>
  <c r="L1215" i="1" a="1"/>
  <c r="L1215" i="1" s="1"/>
  <c r="L1218" i="1" a="1"/>
  <c r="L1218" i="1" s="1"/>
  <c r="K1218" i="1" a="1"/>
  <c r="K1218" i="1" s="1"/>
  <c r="K1216" i="1" a="1"/>
  <c r="K1216" i="1" s="1"/>
  <c r="J1215" i="1" a="1"/>
  <c r="J1215" i="1" s="1"/>
  <c r="J1214" i="1" a="1"/>
  <c r="J1214" i="1" s="1"/>
  <c r="J1218" i="1" a="1"/>
  <c r="J1218" i="1" s="1"/>
  <c r="L1214" i="1" a="1"/>
  <c r="L1214" i="1" s="1"/>
  <c r="L1217" i="1" a="1"/>
  <c r="L1217" i="1" s="1"/>
  <c r="K1217" i="1" a="1"/>
  <c r="K1217" i="1" s="1"/>
  <c r="J1217" i="1" a="1"/>
  <c r="J1217" i="1" s="1"/>
  <c r="K1214" i="1" a="1"/>
  <c r="K1214" i="1" s="1"/>
  <c r="L1212" i="1" a="1"/>
  <c r="L1212" i="1" s="1"/>
  <c r="K1202" i="1" a="1"/>
  <c r="K1202" i="1" s="1"/>
  <c r="L1211" i="1" a="1"/>
  <c r="L1211" i="1" s="1"/>
  <c r="K1208" i="1" a="1"/>
  <c r="K1208" i="1" s="1"/>
  <c r="L1202" i="1" a="1"/>
  <c r="L1202" i="1" s="1"/>
  <c r="K1212" i="1" a="1"/>
  <c r="K1212" i="1" s="1"/>
  <c r="J1212" i="1" a="1"/>
  <c r="J1212" i="1" s="1"/>
  <c r="L1210" i="1" a="1"/>
  <c r="L1210" i="1" s="1"/>
  <c r="L1209" i="1" a="1"/>
  <c r="L1209" i="1" s="1"/>
  <c r="J1202" i="1" a="1"/>
  <c r="J1202" i="1" s="1"/>
  <c r="K1201" i="1" a="1"/>
  <c r="K1201" i="1" s="1"/>
  <c r="L1208" i="1" a="1"/>
  <c r="L1208" i="1" s="1"/>
  <c r="J1211" i="1" a="1"/>
  <c r="J1211" i="1" s="1"/>
  <c r="J1209" i="1" a="1"/>
  <c r="J1209" i="1" s="1"/>
  <c r="J1208" i="1" a="1"/>
  <c r="J1208" i="1" s="1"/>
  <c r="K1209" i="1" a="1"/>
  <c r="K1209" i="1" s="1"/>
  <c r="K1211" i="1" a="1"/>
  <c r="K1211" i="1" s="1"/>
  <c r="K1210" i="1" a="1"/>
  <c r="K1210" i="1" s="1"/>
  <c r="L1201" i="1" a="1"/>
  <c r="L1201" i="1" s="1"/>
  <c r="J1210" i="1" a="1"/>
  <c r="J1210" i="1" s="1"/>
  <c r="J1200" i="1" a="1"/>
  <c r="J1200" i="1" s="1"/>
  <c r="J1198" i="1" a="1"/>
  <c r="J1198" i="1" s="1"/>
  <c r="K1194" i="1" a="1"/>
  <c r="K1194" i="1" s="1"/>
  <c r="K1198" i="1" a="1"/>
  <c r="K1198" i="1" s="1"/>
  <c r="K1197" i="1" a="1"/>
  <c r="K1197" i="1" s="1"/>
  <c r="L1196" i="1" a="1"/>
  <c r="L1196" i="1" s="1"/>
  <c r="L1192" i="1" a="1"/>
  <c r="L1192" i="1" s="1"/>
  <c r="L1198" i="1" a="1"/>
  <c r="L1198" i="1" s="1"/>
  <c r="J1197" i="1" a="1"/>
  <c r="J1197" i="1" s="1"/>
  <c r="K1196" i="1" a="1"/>
  <c r="K1196" i="1" s="1"/>
  <c r="L1194" i="1" a="1"/>
  <c r="L1194" i="1" s="1"/>
  <c r="K1192" i="1" a="1"/>
  <c r="K1192" i="1" s="1"/>
  <c r="L1197" i="1" a="1"/>
  <c r="L1197" i="1" s="1"/>
  <c r="K1193" i="1" a="1"/>
  <c r="K1193" i="1" s="1"/>
  <c r="J1194" i="1" a="1"/>
  <c r="J1194" i="1" s="1"/>
  <c r="K1195" i="1" a="1"/>
  <c r="K1195" i="1" s="1"/>
  <c r="J1201" i="1" a="1"/>
  <c r="J1201" i="1" s="1"/>
  <c r="J1196" i="1" a="1"/>
  <c r="J1196" i="1" s="1"/>
  <c r="J1192" i="1" a="1"/>
  <c r="J1192" i="1" s="1"/>
  <c r="L1195" i="1" a="1"/>
  <c r="L1195" i="1" s="1"/>
  <c r="K1199" i="1" a="1"/>
  <c r="K1199" i="1" s="1"/>
  <c r="J1193" i="1" a="1"/>
  <c r="J1193" i="1" s="1"/>
  <c r="L1199" i="1" a="1"/>
  <c r="L1199" i="1" s="1"/>
  <c r="L1193" i="1" a="1"/>
  <c r="L1193" i="1" s="1"/>
  <c r="L1200" i="1" a="1"/>
  <c r="L1200" i="1" s="1"/>
  <c r="K1200" i="1" a="1"/>
  <c r="K1200" i="1" s="1"/>
  <c r="J1199" i="1" a="1"/>
  <c r="J1199" i="1" s="1"/>
  <c r="J1195" i="1" a="1"/>
  <c r="J1195" i="1" s="1"/>
  <c r="J1185" i="1" a="1"/>
  <c r="J1185" i="1" s="1"/>
  <c r="L1186" i="1" a="1"/>
  <c r="L1186" i="1" s="1"/>
  <c r="L1189" i="1" a="1"/>
  <c r="L1189" i="1" s="1"/>
  <c r="L1187" i="1" a="1"/>
  <c r="L1187" i="1" s="1"/>
  <c r="K1185" i="1" a="1"/>
  <c r="K1185" i="1" s="1"/>
  <c r="K1191" i="1" a="1"/>
  <c r="K1191" i="1" s="1"/>
  <c r="J1188" i="1" a="1"/>
  <c r="J1188" i="1" s="1"/>
  <c r="J1187" i="1" a="1"/>
  <c r="J1187" i="1" s="1"/>
  <c r="L1190" i="1" a="1"/>
  <c r="L1190" i="1" s="1"/>
  <c r="K1190" i="1" a="1"/>
  <c r="K1190" i="1" s="1"/>
  <c r="K1188" i="1" a="1"/>
  <c r="K1188" i="1" s="1"/>
  <c r="K1187" i="1" a="1"/>
  <c r="K1187" i="1" s="1"/>
  <c r="L1185" i="1" a="1"/>
  <c r="L1185" i="1" s="1"/>
  <c r="L1188" i="1" a="1"/>
  <c r="L1188" i="1" s="1"/>
  <c r="K1186" i="1" a="1"/>
  <c r="K1186" i="1" s="1"/>
  <c r="L1191" i="1" a="1"/>
  <c r="L1191" i="1" s="1"/>
  <c r="J1191" i="1" a="1"/>
  <c r="J1191" i="1" s="1"/>
  <c r="J1186" i="1" a="1"/>
  <c r="J1186" i="1" s="1"/>
  <c r="J1189" i="1" a="1"/>
  <c r="J1189" i="1" s="1"/>
  <c r="J1190" i="1" a="1"/>
  <c r="J1190" i="1" s="1"/>
  <c r="K1189" i="1" a="1"/>
  <c r="K1189" i="1" s="1"/>
  <c r="J1174" i="1" a="1"/>
  <c r="J1174" i="1" s="1"/>
  <c r="J1179" i="1" a="1"/>
  <c r="J1179" i="1" s="1"/>
  <c r="L1172" i="1" a="1"/>
  <c r="L1172" i="1" s="1"/>
  <c r="L1179" i="1" a="1"/>
  <c r="L1179" i="1" s="1"/>
  <c r="J1175" i="1" a="1"/>
  <c r="J1175" i="1" s="1"/>
  <c r="J1173" i="1" a="1"/>
  <c r="J1173" i="1" s="1"/>
  <c r="J1178" i="1" a="1"/>
  <c r="J1178" i="1" s="1"/>
  <c r="L1177" i="1" a="1"/>
  <c r="L1177" i="1" s="1"/>
  <c r="K1174" i="1" a="1"/>
  <c r="K1174" i="1" s="1"/>
  <c r="K1178" i="1" a="1"/>
  <c r="K1178" i="1" s="1"/>
  <c r="J1177" i="1" a="1"/>
  <c r="J1177" i="1" s="1"/>
  <c r="L1176" i="1" a="1"/>
  <c r="L1176" i="1" s="1"/>
  <c r="L1175" i="1" a="1"/>
  <c r="L1175" i="1" s="1"/>
  <c r="L1174" i="1" a="1"/>
  <c r="L1174" i="1" s="1"/>
  <c r="J1172" i="1" a="1"/>
  <c r="J1172" i="1" s="1"/>
  <c r="L1173" i="1" a="1"/>
  <c r="L1173" i="1" s="1"/>
  <c r="K1172" i="1" a="1"/>
  <c r="K1172" i="1" s="1"/>
  <c r="K1175" i="1" a="1"/>
  <c r="K1175" i="1" s="1"/>
  <c r="K1173" i="1" a="1"/>
  <c r="K1173" i="1" s="1"/>
  <c r="J1176" i="1" a="1"/>
  <c r="J1176" i="1" s="1"/>
  <c r="K1176" i="1" a="1"/>
  <c r="K1176" i="1" s="1"/>
  <c r="K1179" i="1" a="1"/>
  <c r="K1179" i="1" s="1"/>
  <c r="K1177" i="1" a="1"/>
  <c r="K1177" i="1" s="1"/>
  <c r="L1178" i="1" a="1"/>
  <c r="L1178" i="1" s="1"/>
  <c r="J1144" i="1" a="1"/>
  <c r="J1144" i="1" s="1"/>
  <c r="L1143" i="1" a="1"/>
  <c r="L1143" i="1" s="1"/>
  <c r="L1142" i="1" a="1"/>
  <c r="L1142" i="1" s="1"/>
  <c r="K1145" i="1" a="1"/>
  <c r="K1145" i="1" s="1"/>
  <c r="K1143" i="1" a="1"/>
  <c r="K1143" i="1" s="1"/>
  <c r="J1143" i="1" a="1"/>
  <c r="J1143" i="1" s="1"/>
  <c r="J1145" i="1" a="1"/>
  <c r="J1145" i="1" s="1"/>
  <c r="K1142" i="1" a="1"/>
  <c r="K1142" i="1" s="1"/>
  <c r="L1144" i="1" a="1"/>
  <c r="L1144" i="1" s="1"/>
  <c r="K1144" i="1" a="1"/>
  <c r="K1144" i="1" s="1"/>
  <c r="L1140" i="1" a="1"/>
  <c r="L1140" i="1" s="1"/>
  <c r="J1142" i="1" a="1"/>
  <c r="J1142" i="1" s="1"/>
  <c r="K1139" i="1" a="1"/>
  <c r="K1139" i="1" s="1"/>
  <c r="J1139" i="1" a="1"/>
  <c r="J1139" i="1" s="1"/>
  <c r="J1138" i="1" a="1"/>
  <c r="J1138" i="1" s="1"/>
  <c r="L1141" i="1" a="1"/>
  <c r="L1141" i="1" s="1"/>
  <c r="K1141" i="1" a="1"/>
  <c r="K1141" i="1" s="1"/>
  <c r="K1140" i="1" a="1"/>
  <c r="K1140" i="1" s="1"/>
  <c r="J1141" i="1" a="1"/>
  <c r="J1141" i="1" s="1"/>
  <c r="J1140" i="1" a="1"/>
  <c r="J1140" i="1" s="1"/>
  <c r="L1139" i="1" a="1"/>
  <c r="L1139" i="1" s="1"/>
  <c r="L1138" i="1" a="1"/>
  <c r="L1138" i="1" s="1"/>
  <c r="K1138" i="1" a="1"/>
  <c r="K1138" i="1" s="1"/>
  <c r="K1149" i="1" a="1"/>
  <c r="K1149" i="1" s="1"/>
  <c r="L1150" i="1" a="1"/>
  <c r="L1150" i="1" s="1"/>
  <c r="L1148" i="1" a="1"/>
  <c r="L1148" i="1" s="1"/>
  <c r="J1148" i="1" a="1"/>
  <c r="J1148" i="1" s="1"/>
  <c r="J1153" i="1" a="1"/>
  <c r="J1153" i="1" s="1"/>
  <c r="J1149" i="1" a="1"/>
  <c r="J1149" i="1" s="1"/>
  <c r="L1149" i="1" a="1"/>
  <c r="L1149" i="1" s="1"/>
  <c r="K1148" i="1" a="1"/>
  <c r="K1148" i="1" s="1"/>
  <c r="L1153" i="1" a="1"/>
  <c r="L1153" i="1" s="1"/>
  <c r="K1153" i="1" a="1"/>
  <c r="K1153" i="1" s="1"/>
  <c r="K1150" i="1" a="1"/>
  <c r="K1150" i="1" s="1"/>
  <c r="J1150" i="1" a="1"/>
  <c r="J1150" i="1" s="1"/>
  <c r="L1147" i="1" a="1"/>
  <c r="L1147" i="1" s="1"/>
  <c r="K1147" i="1" a="1"/>
  <c r="K1147" i="1" s="1"/>
  <c r="L1146" i="1" a="1"/>
  <c r="L1146" i="1" s="1"/>
  <c r="K1146" i="1" a="1"/>
  <c r="K1146" i="1" s="1"/>
  <c r="L1145" i="1" a="1"/>
  <c r="L1145" i="1" s="1"/>
  <c r="J1146" i="1" a="1"/>
  <c r="J1146" i="1" s="1"/>
  <c r="J1147" i="1" a="1"/>
  <c r="J1147" i="1" s="1"/>
  <c r="K1965" i="1" a="1"/>
  <c r="K1965" i="1" s="1"/>
  <c r="L1964" i="1" a="1"/>
  <c r="L1964" i="1" s="1"/>
  <c r="L1968" i="1" a="1"/>
  <c r="L1968" i="1" s="1"/>
  <c r="K1968" i="1" a="1"/>
  <c r="K1968" i="1" s="1"/>
  <c r="K1967" i="1" a="1"/>
  <c r="K1967" i="1" s="1"/>
  <c r="J1963" i="1" a="1"/>
  <c r="J1963" i="1" s="1"/>
  <c r="L1963" i="1" a="1"/>
  <c r="L1963" i="1" s="1"/>
  <c r="L1966" i="1" a="1"/>
  <c r="L1966" i="1" s="1"/>
  <c r="J1964" i="1" a="1"/>
  <c r="J1964" i="1" s="1"/>
  <c r="L1965" i="1" a="1"/>
  <c r="L1965" i="1" s="1"/>
  <c r="L1962" i="1" a="1"/>
  <c r="L1962" i="1" s="1"/>
  <c r="J1961" i="1" a="1"/>
  <c r="J1961" i="1" s="1"/>
  <c r="J1965" i="1" a="1"/>
  <c r="J1965" i="1" s="1"/>
  <c r="K1962" i="1" a="1"/>
  <c r="K1962" i="1" s="1"/>
  <c r="J1968" i="1" a="1"/>
  <c r="J1968" i="1" s="1"/>
  <c r="K1963" i="1" a="1"/>
  <c r="K1963" i="1" s="1"/>
  <c r="J1966" i="1" a="1"/>
  <c r="J1966" i="1" s="1"/>
  <c r="K1961" i="1" a="1"/>
  <c r="K1961" i="1" s="1"/>
  <c r="K1964" i="1" a="1"/>
  <c r="K1964" i="1" s="1"/>
  <c r="J1962" i="1" a="1"/>
  <c r="J1962" i="1" s="1"/>
  <c r="L1967" i="1" a="1"/>
  <c r="L1967" i="1" s="1"/>
  <c r="L1961" i="1" a="1"/>
  <c r="L1961" i="1" s="1"/>
  <c r="J1967" i="1" a="1"/>
  <c r="J1967" i="1" s="1"/>
  <c r="K1966" i="1" a="1"/>
  <c r="K1966" i="1" s="1"/>
  <c r="L1960" i="1" a="1"/>
  <c r="L1960" i="1" s="1"/>
  <c r="K1960" i="1" a="1"/>
  <c r="K1960" i="1" s="1"/>
  <c r="J1957" i="1" a="1"/>
  <c r="J1957" i="1" s="1"/>
  <c r="J1960" i="1" a="1"/>
  <c r="J1960" i="1" s="1"/>
  <c r="K1953" i="1" a="1"/>
  <c r="K1953" i="1" s="1"/>
  <c r="L1959" i="1" a="1"/>
  <c r="L1959" i="1" s="1"/>
  <c r="K1955" i="1" a="1"/>
  <c r="K1955" i="1" s="1"/>
  <c r="K1959" i="1" a="1"/>
  <c r="K1959" i="1" s="1"/>
  <c r="K1957" i="1" a="1"/>
  <c r="K1957" i="1" s="1"/>
  <c r="J1959" i="1" a="1"/>
  <c r="J1959" i="1" s="1"/>
  <c r="L1957" i="1" a="1"/>
  <c r="L1957" i="1" s="1"/>
  <c r="J1952" i="1" a="1"/>
  <c r="J1952" i="1" s="1"/>
  <c r="L1958" i="1" a="1"/>
  <c r="L1958" i="1" s="1"/>
  <c r="L1955" i="1" a="1"/>
  <c r="L1955" i="1" s="1"/>
  <c r="K1952" i="1" a="1"/>
  <c r="K1952" i="1" s="1"/>
  <c r="K1958" i="1" a="1"/>
  <c r="K1958" i="1" s="1"/>
  <c r="L1953" i="1" a="1"/>
  <c r="L1953" i="1" s="1"/>
  <c r="J1958" i="1" a="1"/>
  <c r="J1958" i="1" s="1"/>
  <c r="J1956" i="1" a="1"/>
  <c r="J1956" i="1" s="1"/>
  <c r="J1955" i="1" a="1"/>
  <c r="J1955" i="1" s="1"/>
  <c r="J1953" i="1" a="1"/>
  <c r="J1953" i="1" s="1"/>
  <c r="L1952" i="1" a="1"/>
  <c r="L1952" i="1" s="1"/>
  <c r="L1956" i="1" a="1"/>
  <c r="L1956" i="1" s="1"/>
  <c r="K1956" i="1" a="1"/>
  <c r="K1956" i="1" s="1"/>
  <c r="K1947" i="1" a="1"/>
  <c r="K1947" i="1" s="1"/>
  <c r="J1949" i="1" a="1"/>
  <c r="J1949" i="1" s="1"/>
  <c r="J1948" i="1" a="1"/>
  <c r="J1948" i="1" s="1"/>
  <c r="L1949" i="1" a="1"/>
  <c r="L1949" i="1" s="1"/>
  <c r="L1951" i="1" a="1"/>
  <c r="L1951" i="1" s="1"/>
  <c r="K1951" i="1" a="1"/>
  <c r="K1951" i="1" s="1"/>
  <c r="K1948" i="1" a="1"/>
  <c r="K1948" i="1" s="1"/>
  <c r="J1951" i="1" a="1"/>
  <c r="J1951" i="1" s="1"/>
  <c r="K1949" i="1" a="1"/>
  <c r="K1949" i="1" s="1"/>
  <c r="J1950" i="1" a="1"/>
  <c r="J1950" i="1" s="1"/>
  <c r="L1950" i="1" a="1"/>
  <c r="L1950" i="1" s="1"/>
  <c r="K1950" i="1" a="1"/>
  <c r="K1950" i="1" s="1"/>
  <c r="L1948" i="1" a="1"/>
  <c r="L1948" i="1" s="1"/>
  <c r="J1946" i="1" a="1"/>
  <c r="J1946" i="1" s="1"/>
  <c r="L1947" i="1" a="1"/>
  <c r="L1947" i="1" s="1"/>
  <c r="L1946" i="1" a="1"/>
  <c r="L1946" i="1" s="1"/>
  <c r="J1947" i="1" a="1"/>
  <c r="J1947" i="1" s="1"/>
  <c r="K1946" i="1" a="1"/>
  <c r="K1946" i="1" s="1"/>
  <c r="K1942" i="1" a="1"/>
  <c r="K1942" i="1" s="1"/>
  <c r="L1944" i="1" a="1"/>
  <c r="L1944" i="1" s="1"/>
  <c r="K1944" i="1" a="1"/>
  <c r="K1944" i="1" s="1"/>
  <c r="K1937" i="1" a="1"/>
  <c r="K1937" i="1" s="1"/>
  <c r="L1945" i="1" a="1"/>
  <c r="L1945" i="1" s="1"/>
  <c r="K1939" i="1" a="1"/>
  <c r="K1939" i="1" s="1"/>
  <c r="K1945" i="1" a="1"/>
  <c r="K1945" i="1" s="1"/>
  <c r="J1945" i="1" a="1"/>
  <c r="J1945" i="1" s="1"/>
  <c r="K1940" i="1" a="1"/>
  <c r="K1940" i="1" s="1"/>
  <c r="J1939" i="1" a="1"/>
  <c r="J1939" i="1" s="1"/>
  <c r="J1944" i="1" a="1"/>
  <c r="J1944" i="1" s="1"/>
  <c r="L1943" i="1" a="1"/>
  <c r="L1943" i="1" s="1"/>
  <c r="L1942" i="1" a="1"/>
  <c r="L1942" i="1" s="1"/>
  <c r="J1941" i="1" a="1"/>
  <c r="J1941" i="1" s="1"/>
  <c r="K1943" i="1" a="1"/>
  <c r="K1943" i="1" s="1"/>
  <c r="J1940" i="1" a="1"/>
  <c r="J1940" i="1" s="1"/>
  <c r="L1939" i="1" a="1"/>
  <c r="L1939" i="1" s="1"/>
  <c r="J1943" i="1" a="1"/>
  <c r="J1943" i="1" s="1"/>
  <c r="L1941" i="1" a="1"/>
  <c r="L1941" i="1" s="1"/>
  <c r="J1937" i="1" a="1"/>
  <c r="J1937" i="1" s="1"/>
  <c r="K1938" i="1" a="1"/>
  <c r="K1938" i="1" s="1"/>
  <c r="L1937" i="1" a="1"/>
  <c r="L1937" i="1" s="1"/>
  <c r="L1936" i="1" a="1"/>
  <c r="L1936" i="1" s="1"/>
  <c r="J1942" i="1" a="1"/>
  <c r="J1942" i="1" s="1"/>
  <c r="L1940" i="1" a="1"/>
  <c r="L1940" i="1" s="1"/>
  <c r="K1941" i="1" a="1"/>
  <c r="K1941" i="1" s="1"/>
  <c r="J1938" i="1" a="1"/>
  <c r="J1938" i="1" s="1"/>
  <c r="L1938" i="1" a="1"/>
  <c r="L1938" i="1" s="1"/>
  <c r="K1934" i="1" a="1"/>
  <c r="K1934" i="1" s="1"/>
  <c r="J1931" i="1" a="1"/>
  <c r="J1931" i="1" s="1"/>
  <c r="L1933" i="1" a="1"/>
  <c r="L1933" i="1" s="1"/>
  <c r="L1932" i="1" a="1"/>
  <c r="L1932" i="1" s="1"/>
  <c r="K1930" i="1" a="1"/>
  <c r="K1930" i="1" s="1"/>
  <c r="K1927" i="1" a="1"/>
  <c r="K1927" i="1" s="1"/>
  <c r="L1935" i="1" a="1"/>
  <c r="L1935" i="1" s="1"/>
  <c r="J1935" i="1" a="1"/>
  <c r="J1935" i="1" s="1"/>
  <c r="L1934" i="1" a="1"/>
  <c r="L1934" i="1" s="1"/>
  <c r="J1934" i="1" a="1"/>
  <c r="J1934" i="1" s="1"/>
  <c r="K1929" i="1" a="1"/>
  <c r="K1929" i="1" s="1"/>
  <c r="K1932" i="1" a="1"/>
  <c r="K1932" i="1" s="1"/>
  <c r="L1931" i="1" a="1"/>
  <c r="L1931" i="1" s="1"/>
  <c r="L1930" i="1" a="1"/>
  <c r="L1930" i="1" s="1"/>
  <c r="J1930" i="1" a="1"/>
  <c r="J1930" i="1" s="1"/>
  <c r="L1927" i="1" a="1"/>
  <c r="L1927" i="1" s="1"/>
  <c r="J1933" i="1" a="1"/>
  <c r="J1933" i="1" s="1"/>
  <c r="J1929" i="1" a="1"/>
  <c r="J1929" i="1" s="1"/>
  <c r="L1928" i="1" a="1"/>
  <c r="L1928" i="1" s="1"/>
  <c r="J1928" i="1" a="1"/>
  <c r="J1928" i="1" s="1"/>
  <c r="K1936" i="1" a="1"/>
  <c r="K1936" i="1" s="1"/>
  <c r="J1936" i="1" a="1"/>
  <c r="J1936" i="1" s="1"/>
  <c r="L1929" i="1" a="1"/>
  <c r="L1929" i="1" s="1"/>
  <c r="K1935" i="1" a="1"/>
  <c r="K1935" i="1" s="1"/>
  <c r="K1933" i="1" a="1"/>
  <c r="K1933" i="1" s="1"/>
  <c r="K1928" i="1" a="1"/>
  <c r="K1928" i="1" s="1"/>
  <c r="J1932" i="1" a="1"/>
  <c r="J1932" i="1" s="1"/>
  <c r="K1931" i="1" a="1"/>
  <c r="K1931" i="1" s="1"/>
  <c r="K1925" i="1" a="1"/>
  <c r="K1925" i="1" s="1"/>
  <c r="K1923" i="1" a="1"/>
  <c r="K1923" i="1" s="1"/>
  <c r="K1919" i="1" a="1"/>
  <c r="K1919" i="1" s="1"/>
  <c r="L1923" i="1" a="1"/>
  <c r="L1923" i="1" s="1"/>
  <c r="J1922" i="1" a="1"/>
  <c r="J1922" i="1" s="1"/>
  <c r="J1920" i="1" a="1"/>
  <c r="J1920" i="1" s="1"/>
  <c r="L1918" i="1" a="1"/>
  <c r="L1918" i="1" s="1"/>
  <c r="K1918" i="1" a="1"/>
  <c r="K1918" i="1" s="1"/>
  <c r="J1921" i="1" a="1"/>
  <c r="J1921" i="1" s="1"/>
  <c r="J1927" i="1" a="1"/>
  <c r="J1927" i="1" s="1"/>
  <c r="K1922" i="1" a="1"/>
  <c r="K1922" i="1" s="1"/>
  <c r="K1926" i="1" a="1"/>
  <c r="K1926" i="1" s="1"/>
  <c r="L1924" i="1" a="1"/>
  <c r="L1924" i="1" s="1"/>
  <c r="L1921" i="1" a="1"/>
  <c r="L1921" i="1" s="1"/>
  <c r="K1924" i="1" a="1"/>
  <c r="K1924" i="1" s="1"/>
  <c r="L1919" i="1" a="1"/>
  <c r="L1919" i="1" s="1"/>
  <c r="J1918" i="1" a="1"/>
  <c r="J1918" i="1" s="1"/>
  <c r="J1923" i="1" a="1"/>
  <c r="J1923" i="1" s="1"/>
  <c r="J1925" i="1" a="1"/>
  <c r="J1925" i="1" s="1"/>
  <c r="J1924" i="1" a="1"/>
  <c r="J1924" i="1" s="1"/>
  <c r="J1919" i="1" a="1"/>
  <c r="J1919" i="1" s="1"/>
  <c r="L1920" i="1" a="1"/>
  <c r="L1920" i="1" s="1"/>
  <c r="K1921" i="1" a="1"/>
  <c r="K1921" i="1" s="1"/>
  <c r="L1925" i="1" a="1"/>
  <c r="L1925" i="1" s="1"/>
  <c r="K1920" i="1" a="1"/>
  <c r="K1920" i="1" s="1"/>
  <c r="L1926" i="1" a="1"/>
  <c r="L1926" i="1" s="1"/>
  <c r="J1926" i="1" a="1"/>
  <c r="J1926" i="1" s="1"/>
  <c r="L1922" i="1" a="1"/>
  <c r="L1922" i="1" s="1"/>
  <c r="J1911" i="1" a="1"/>
  <c r="J1911" i="1" s="1"/>
  <c r="L1916" i="1" a="1"/>
  <c r="L1916" i="1" s="1"/>
  <c r="K1912" i="1" a="1"/>
  <c r="K1912" i="1" s="1"/>
  <c r="K1911" i="1" a="1"/>
  <c r="K1911" i="1" s="1"/>
  <c r="K1910" i="1" a="1"/>
  <c r="K1910" i="1" s="1"/>
  <c r="L1913" i="1" a="1"/>
  <c r="L1913" i="1" s="1"/>
  <c r="J1913" i="1" a="1"/>
  <c r="J1913" i="1" s="1"/>
  <c r="L1917" i="1" a="1"/>
  <c r="L1917" i="1" s="1"/>
  <c r="K1917" i="1" a="1"/>
  <c r="K1917" i="1" s="1"/>
  <c r="J1917" i="1" a="1"/>
  <c r="J1917" i="1" s="1"/>
  <c r="L1915" i="1" a="1"/>
  <c r="L1915" i="1" s="1"/>
  <c r="K1916" i="1" a="1"/>
  <c r="K1916" i="1" s="1"/>
  <c r="J1916" i="1" a="1"/>
  <c r="J1916" i="1" s="1"/>
  <c r="L1909" i="1" a="1"/>
  <c r="L1909" i="1" s="1"/>
  <c r="L1914" i="1" a="1"/>
  <c r="L1914" i="1" s="1"/>
  <c r="K1914" i="1" a="1"/>
  <c r="K1914" i="1" s="1"/>
  <c r="J1910" i="1" a="1"/>
  <c r="J1910" i="1" s="1"/>
  <c r="L1912" i="1" a="1"/>
  <c r="L1912" i="1" s="1"/>
  <c r="L1910" i="1" a="1"/>
  <c r="L1910" i="1" s="1"/>
  <c r="K1913" i="1" a="1"/>
  <c r="K1913" i="1" s="1"/>
  <c r="J1914" i="1" a="1"/>
  <c r="J1914" i="1" s="1"/>
  <c r="K1915" i="1" a="1"/>
  <c r="K1915" i="1" s="1"/>
  <c r="J1915" i="1" a="1"/>
  <c r="J1915" i="1" s="1"/>
  <c r="L1911" i="1" a="1"/>
  <c r="L1911" i="1" s="1"/>
  <c r="J1912" i="1" a="1"/>
  <c r="J1912" i="1" s="1"/>
  <c r="L1904" i="1" a="1"/>
  <c r="L1904" i="1" s="1"/>
  <c r="K1905" i="1" a="1"/>
  <c r="K1905" i="1" s="1"/>
  <c r="J1904" i="1" a="1"/>
  <c r="J1904" i="1" s="1"/>
  <c r="J1908" i="1" a="1"/>
  <c r="J1908" i="1" s="1"/>
  <c r="J1905" i="1" a="1"/>
  <c r="J1905" i="1" s="1"/>
  <c r="K1909" i="1" a="1"/>
  <c r="K1909" i="1" s="1"/>
  <c r="J1909" i="1" a="1"/>
  <c r="J1909" i="1" s="1"/>
  <c r="L1907" i="1" a="1"/>
  <c r="L1907" i="1" s="1"/>
  <c r="L1908" i="1" a="1"/>
  <c r="L1908" i="1" s="1"/>
  <c r="K1908" i="1" a="1"/>
  <c r="K1908" i="1" s="1"/>
  <c r="K1907" i="1" a="1"/>
  <c r="K1907" i="1" s="1"/>
  <c r="J1907" i="1" a="1"/>
  <c r="J1907" i="1" s="1"/>
  <c r="K1906" i="1" a="1"/>
  <c r="K1906" i="1" s="1"/>
  <c r="J1906" i="1" a="1"/>
  <c r="J1906" i="1" s="1"/>
  <c r="K1904" i="1" a="1"/>
  <c r="K1904" i="1" s="1"/>
  <c r="L1905" i="1" a="1"/>
  <c r="L1905" i="1" s="1"/>
  <c r="L1906" i="1" a="1"/>
  <c r="L1906" i="1" s="1"/>
  <c r="K2232" i="1" a="1"/>
  <c r="K2232" i="1" s="1"/>
  <c r="J2232" i="1" a="1"/>
  <c r="J2232" i="1" s="1"/>
  <c r="L2232" i="1" a="1"/>
  <c r="L2232" i="1" s="1"/>
  <c r="J2222" i="1" a="1"/>
  <c r="J2222" i="1" s="1"/>
  <c r="J2224" i="1" a="1"/>
  <c r="J2224" i="1" s="1"/>
  <c r="J2225" i="1" s="1" a="1"/>
  <c r="J2225" i="1" s="1"/>
  <c r="L2229" i="1" a="1"/>
  <c r="L2229" i="1" s="1"/>
  <c r="L2230" i="1" s="1" a="1"/>
  <c r="L2230" i="1" s="1"/>
  <c r="L2231" i="1" a="1"/>
  <c r="L2231" i="1" s="1"/>
  <c r="K2231" i="1" a="1"/>
  <c r="K2231" i="1" s="1"/>
  <c r="J2231" i="1" a="1"/>
  <c r="J2231" i="1" s="1"/>
  <c r="K2229" i="1" a="1"/>
  <c r="K2229" i="1" s="1"/>
  <c r="K2230" i="1" s="1" a="1"/>
  <c r="K2230" i="1" s="1"/>
  <c r="K2227" i="1" a="1"/>
  <c r="K2227" i="1" s="1"/>
  <c r="K2228" i="1" s="1" a="1"/>
  <c r="K2228" i="1" s="1"/>
  <c r="L2226" i="1" a="1"/>
  <c r="L2226" i="1" s="1"/>
  <c r="K2222" i="1" a="1"/>
  <c r="K2222" i="1" s="1"/>
  <c r="J2227" i="1" a="1"/>
  <c r="J2227" i="1" s="1"/>
  <c r="J2228" i="1" s="1" a="1"/>
  <c r="J2228" i="1" s="1"/>
  <c r="L2227" i="1" a="1"/>
  <c r="L2227" i="1" s="1"/>
  <c r="L2228" i="1" s="1" a="1"/>
  <c r="L2228" i="1" s="1"/>
  <c r="J2229" i="1" a="1"/>
  <c r="J2229" i="1" s="1"/>
  <c r="J2230" i="1" s="1" a="1"/>
  <c r="J2230" i="1" s="1"/>
  <c r="L2222" i="1" a="1"/>
  <c r="L2222" i="1" s="1"/>
  <c r="L2224" i="1" a="1"/>
  <c r="L2224" i="1" s="1"/>
  <c r="L2225" i="1" s="1" a="1"/>
  <c r="L2225" i="1" s="1"/>
  <c r="K2226" i="1" a="1"/>
  <c r="K2226" i="1" s="1"/>
  <c r="J2226" i="1" a="1"/>
  <c r="J2226" i="1" s="1"/>
  <c r="K2224" i="1" a="1"/>
  <c r="K2224" i="1" s="1"/>
  <c r="K2225" i="1" s="1" a="1"/>
  <c r="K2225" i="1" s="1"/>
  <c r="L2214" i="1" a="1"/>
  <c r="L2214" i="1" s="1"/>
  <c r="L2215" i="1" s="1" a="1"/>
  <c r="L2215" i="1" s="1"/>
  <c r="J2214" i="1" a="1"/>
  <c r="J2214" i="1" s="1"/>
  <c r="J2215" i="1" s="1" a="1"/>
  <c r="J2215" i="1" s="1"/>
  <c r="L2221" i="1" a="1"/>
  <c r="L2221" i="1" s="1"/>
  <c r="K2221" i="1" a="1"/>
  <c r="K2221" i="1" s="1"/>
  <c r="J2221" i="1" a="1"/>
  <c r="J2221" i="1" s="1"/>
  <c r="J2216" i="1" a="1"/>
  <c r="J2216" i="1" s="1"/>
  <c r="L2212" i="1" a="1"/>
  <c r="L2212" i="1" s="1"/>
  <c r="J2217" i="1" a="1"/>
  <c r="J2217" i="1" s="1"/>
  <c r="J2218" i="1" s="1" a="1"/>
  <c r="J2218" i="1" s="1"/>
  <c r="K2219" i="1" a="1"/>
  <c r="K2219" i="1" s="1"/>
  <c r="K2220" i="1" s="1" a="1"/>
  <c r="K2220" i="1" s="1"/>
  <c r="L2217" i="1" a="1"/>
  <c r="L2217" i="1" s="1"/>
  <c r="L2218" i="1" s="1" a="1"/>
  <c r="L2218" i="1" s="1"/>
  <c r="L2216" i="1" a="1"/>
  <c r="L2216" i="1" s="1"/>
  <c r="K2217" i="1" a="1"/>
  <c r="K2217" i="1" s="1"/>
  <c r="K2218" i="1" s="1" a="1"/>
  <c r="K2218" i="1" s="1"/>
  <c r="K2214" i="1" a="1"/>
  <c r="K2214" i="1" s="1"/>
  <c r="K2215" i="1" s="1" a="1"/>
  <c r="K2215" i="1" s="1"/>
  <c r="L2219" i="1" a="1"/>
  <c r="L2219" i="1" s="1"/>
  <c r="L2220" i="1" s="1" a="1"/>
  <c r="L2220" i="1" s="1"/>
  <c r="K2216" i="1" a="1"/>
  <c r="K2216" i="1" s="1"/>
  <c r="J2219" i="1" a="1"/>
  <c r="J2219" i="1" s="1"/>
  <c r="J2220" i="1" s="1" a="1"/>
  <c r="J2220" i="1" s="1"/>
  <c r="K2212" i="1" a="1"/>
  <c r="K2212" i="1" s="1"/>
  <c r="J2212" i="1" a="1"/>
  <c r="J2212" i="1" s="1"/>
  <c r="J2206" i="1" a="1"/>
  <c r="J2206" i="1" s="1"/>
  <c r="L2207" i="1" a="1"/>
  <c r="L2207" i="1" s="1"/>
  <c r="K2210" i="1" a="1"/>
  <c r="K2210" i="1" s="1"/>
  <c r="K2208" i="1" a="1"/>
  <c r="K2208" i="1" s="1"/>
  <c r="L2211" i="1" a="1"/>
  <c r="L2211" i="1" s="1"/>
  <c r="K2211" i="1" a="1"/>
  <c r="K2211" i="1" s="1"/>
  <c r="K2207" i="1" a="1"/>
  <c r="K2207" i="1" s="1"/>
  <c r="J2211" i="1" a="1"/>
  <c r="J2211" i="1" s="1"/>
  <c r="L2209" i="1" a="1"/>
  <c r="L2209" i="1" s="1"/>
  <c r="J2209" i="1" a="1"/>
  <c r="J2209" i="1" s="1"/>
  <c r="K2204" i="1" a="1"/>
  <c r="K2204" i="1" s="1"/>
  <c r="L2205" i="1" a="1"/>
  <c r="L2205" i="1" s="1"/>
  <c r="L2203" i="1" a="1"/>
  <c r="L2203" i="1" s="1"/>
  <c r="J2203" i="1" a="1"/>
  <c r="J2203" i="1" s="1"/>
  <c r="J2208" i="1" a="1"/>
  <c r="J2208" i="1" s="1"/>
  <c r="L2210" i="1" a="1"/>
  <c r="L2210" i="1" s="1"/>
  <c r="J2210" i="1" a="1"/>
  <c r="J2210" i="1" s="1"/>
  <c r="L2208" i="1" a="1"/>
  <c r="L2208" i="1" s="1"/>
  <c r="J2207" i="1" a="1"/>
  <c r="J2207" i="1" s="1"/>
  <c r="J2204" i="1" a="1"/>
  <c r="J2204" i="1" s="1"/>
  <c r="K2203" i="1" a="1"/>
  <c r="K2203" i="1" s="1"/>
  <c r="J2205" i="1" a="1"/>
  <c r="J2205" i="1" s="1"/>
  <c r="K2209" i="1" a="1"/>
  <c r="K2209" i="1" s="1"/>
  <c r="K2206" i="1" a="1"/>
  <c r="K2206" i="1" s="1"/>
  <c r="L2204" i="1" a="1"/>
  <c r="L2204" i="1" s="1"/>
  <c r="K2205" i="1" a="1"/>
  <c r="K2205" i="1" s="1"/>
  <c r="L2206" i="1" a="1"/>
  <c r="L2206" i="1" s="1"/>
  <c r="J2198" i="1" a="1"/>
  <c r="J2198" i="1" s="1"/>
  <c r="J2194" i="1" a="1"/>
  <c r="J2194" i="1" s="1"/>
  <c r="L2202" i="1" a="1"/>
  <c r="L2202" i="1" s="1"/>
  <c r="J2202" i="1" a="1"/>
  <c r="J2202" i="1" s="1"/>
  <c r="L2201" i="1" a="1"/>
  <c r="L2201" i="1" s="1"/>
  <c r="J2196" i="1" a="1"/>
  <c r="J2196" i="1" s="1"/>
  <c r="K2199" i="1" a="1"/>
  <c r="K2199" i="1" s="1"/>
  <c r="K2197" i="1" a="1"/>
  <c r="K2197" i="1" s="1"/>
  <c r="K2196" i="1" a="1"/>
  <c r="K2196" i="1" s="1"/>
  <c r="K2202" i="1" a="1"/>
  <c r="K2202" i="1" s="1"/>
  <c r="K2201" i="1" a="1"/>
  <c r="K2201" i="1" s="1"/>
  <c r="J2195" i="1" a="1"/>
  <c r="J2195" i="1" s="1"/>
  <c r="K2194" i="1" a="1"/>
  <c r="K2194" i="1" s="1"/>
  <c r="L2195" i="1" a="1"/>
  <c r="L2195" i="1" s="1"/>
  <c r="J2199" i="1" a="1"/>
  <c r="J2199" i="1" s="1"/>
  <c r="L2200" i="1" a="1"/>
  <c r="L2200" i="1" s="1"/>
  <c r="K2200" i="1" a="1"/>
  <c r="K2200" i="1" s="1"/>
  <c r="L2197" i="1" a="1"/>
  <c r="L2197" i="1" s="1"/>
  <c r="L2199" i="1" a="1"/>
  <c r="L2199" i="1" s="1"/>
  <c r="K2198" i="1" a="1"/>
  <c r="K2198" i="1" s="1"/>
  <c r="J2197" i="1" a="1"/>
  <c r="J2197" i="1" s="1"/>
  <c r="J2201" i="1" a="1"/>
  <c r="J2201" i="1" s="1"/>
  <c r="J2200" i="1" a="1"/>
  <c r="J2200" i="1" s="1"/>
  <c r="L2196" i="1" a="1"/>
  <c r="L2196" i="1" s="1"/>
  <c r="L2198" i="1" a="1"/>
  <c r="L2198" i="1" s="1"/>
  <c r="K2195" i="1" a="1"/>
  <c r="K2195" i="1" s="1"/>
  <c r="L2194" i="1" a="1"/>
  <c r="L2194" i="1" s="1"/>
  <c r="J2185" i="1" a="1"/>
  <c r="J2185" i="1" s="1"/>
  <c r="L2188" i="1" a="1"/>
  <c r="L2188" i="1" s="1"/>
  <c r="K2190" i="1" a="1"/>
  <c r="K2190" i="1" s="1"/>
  <c r="K2184" i="1" a="1"/>
  <c r="K2184" i="1" s="1"/>
  <c r="L2193" i="1" a="1"/>
  <c r="L2193" i="1" s="1"/>
  <c r="K2193" i="1" a="1"/>
  <c r="K2193" i="1" s="1"/>
  <c r="J2193" i="1" a="1"/>
  <c r="J2193" i="1" s="1"/>
  <c r="J2192" i="1" a="1"/>
  <c r="J2192" i="1" s="1"/>
  <c r="L2191" i="1" a="1"/>
  <c r="L2191" i="1" s="1"/>
  <c r="K2191" i="1" a="1"/>
  <c r="K2191" i="1" s="1"/>
  <c r="J2187" i="1" a="1"/>
  <c r="J2187" i="1" s="1"/>
  <c r="J2190" i="1" a="1"/>
  <c r="J2190" i="1" s="1"/>
  <c r="L2185" i="1" a="1"/>
  <c r="L2185" i="1" s="1"/>
  <c r="J2184" i="1" a="1"/>
  <c r="J2184" i="1" s="1"/>
  <c r="L2186" i="1" a="1"/>
  <c r="L2186" i="1" s="1"/>
  <c r="J2191" i="1" a="1"/>
  <c r="J2191" i="1" s="1"/>
  <c r="K2187" i="1" a="1"/>
  <c r="K2187" i="1" s="1"/>
  <c r="K2186" i="1" a="1"/>
  <c r="K2186" i="1" s="1"/>
  <c r="L2184" i="1" a="1"/>
  <c r="L2184" i="1" s="1"/>
  <c r="L2190" i="1" a="1"/>
  <c r="L2190" i="1" s="1"/>
  <c r="L2192" i="1" a="1"/>
  <c r="L2192" i="1" s="1"/>
  <c r="K2192" i="1" a="1"/>
  <c r="K2192" i="1" s="1"/>
  <c r="L2187" i="1" a="1"/>
  <c r="L2187" i="1" s="1"/>
  <c r="K2188" i="1" a="1"/>
  <c r="K2188" i="1" s="1"/>
  <c r="J2186" i="1" a="1"/>
  <c r="J2186" i="1" s="1"/>
  <c r="K2185" i="1" a="1"/>
  <c r="K2185" i="1" s="1"/>
  <c r="J2188" i="1" a="1"/>
  <c r="J2188" i="1" s="1"/>
  <c r="L2175" i="1" a="1"/>
  <c r="L2175" i="1" s="1"/>
  <c r="K2182" i="1" a="1"/>
  <c r="K2182" i="1" s="1"/>
  <c r="L2179" i="1" a="1"/>
  <c r="L2179" i="1" s="1"/>
  <c r="J2176" i="1" a="1"/>
  <c r="J2176" i="1" s="1"/>
  <c r="L2177" i="1" a="1"/>
  <c r="L2177" i="1" s="1"/>
  <c r="L2176" i="1" a="1"/>
  <c r="L2176" i="1" s="1"/>
  <c r="K2177" i="1" a="1"/>
  <c r="K2177" i="1" s="1"/>
  <c r="K2176" i="1" a="1"/>
  <c r="K2176" i="1" s="1"/>
  <c r="J2181" i="1" a="1"/>
  <c r="J2181" i="1" s="1"/>
  <c r="J2183" i="1" a="1"/>
  <c r="J2183" i="1" s="1"/>
  <c r="L2183" i="1" a="1"/>
  <c r="L2183" i="1" s="1"/>
  <c r="K2178" i="1" a="1"/>
  <c r="K2178" i="1" s="1"/>
  <c r="K2175" i="1" a="1"/>
  <c r="K2175" i="1" s="1"/>
  <c r="J2179" i="1" a="1"/>
  <c r="J2179" i="1" s="1"/>
  <c r="J2182" i="1" a="1"/>
  <c r="J2182" i="1" s="1"/>
  <c r="L2181" i="1" a="1"/>
  <c r="L2181" i="1" s="1"/>
  <c r="K2183" i="1" a="1"/>
  <c r="K2183" i="1" s="1"/>
  <c r="J2175" i="1" a="1"/>
  <c r="J2175" i="1" s="1"/>
  <c r="L2180" i="1" a="1"/>
  <c r="L2180" i="1" s="1"/>
  <c r="K2180" i="1" a="1"/>
  <c r="K2180" i="1" s="1"/>
  <c r="K2179" i="1" a="1"/>
  <c r="K2179" i="1" s="1"/>
  <c r="J2177" i="1" a="1"/>
  <c r="J2177" i="1" s="1"/>
  <c r="K2181" i="1" a="1"/>
  <c r="K2181" i="1" s="1"/>
  <c r="J2180" i="1" a="1"/>
  <c r="J2180" i="1" s="1"/>
  <c r="L2182" i="1" a="1"/>
  <c r="L2182" i="1" s="1"/>
  <c r="L2178" i="1" a="1"/>
  <c r="L2178" i="1" s="1"/>
  <c r="J2178" i="1" a="1"/>
  <c r="J2178" i="1" s="1"/>
  <c r="J2171" i="1" a="1"/>
  <c r="J2171" i="1" s="1"/>
  <c r="K2169" i="1" a="1"/>
  <c r="K2169" i="1" s="1"/>
  <c r="J2172" i="1" a="1"/>
  <c r="J2172" i="1" s="1"/>
  <c r="K2171" i="1" a="1"/>
  <c r="K2171" i="1" s="1"/>
  <c r="J2168" i="1" a="1"/>
  <c r="J2168" i="1" s="1"/>
  <c r="K2172" i="1" a="1"/>
  <c r="K2172" i="1" s="1"/>
  <c r="K2170" i="1" a="1"/>
  <c r="K2170" i="1" s="1"/>
  <c r="K2168" i="1" a="1"/>
  <c r="K2168" i="1" s="1"/>
  <c r="K2174" i="1" a="1"/>
  <c r="K2174" i="1" s="1"/>
  <c r="K2173" i="1" a="1"/>
  <c r="K2173" i="1" s="1"/>
  <c r="L2172" i="1" a="1"/>
  <c r="L2172" i="1" s="1"/>
  <c r="L2170" i="1" a="1"/>
  <c r="L2170" i="1" s="1"/>
  <c r="L2168" i="1" a="1"/>
  <c r="L2168" i="1" s="1"/>
  <c r="J2169" i="1" a="1"/>
  <c r="J2169" i="1" s="1"/>
  <c r="L2173" i="1" a="1"/>
  <c r="L2173" i="1" s="1"/>
  <c r="L2171" i="1" a="1"/>
  <c r="L2171" i="1" s="1"/>
  <c r="L2169" i="1" a="1"/>
  <c r="L2169" i="1" s="1"/>
  <c r="J2173" i="1" a="1"/>
  <c r="J2173" i="1" s="1"/>
  <c r="J2170" i="1" a="1"/>
  <c r="J2170" i="1" s="1"/>
  <c r="L2174" i="1" a="1"/>
  <c r="L2174" i="1" s="1"/>
  <c r="J2174" i="1" a="1"/>
  <c r="J2174" i="1" s="1"/>
  <c r="J2161" i="1" a="1"/>
  <c r="J2161" i="1" s="1"/>
  <c r="L2161" i="1" a="1"/>
  <c r="L2161" i="1" s="1"/>
  <c r="L2164" i="1" a="1"/>
  <c r="L2164" i="1" s="1"/>
  <c r="J2167" i="1" a="1"/>
  <c r="J2167" i="1" s="1"/>
  <c r="K2166" i="1" a="1"/>
  <c r="K2166" i="1" s="1"/>
  <c r="K2159" i="1" a="1"/>
  <c r="K2159" i="1" s="1"/>
  <c r="J2166" i="1" a="1"/>
  <c r="J2166" i="1" s="1"/>
  <c r="J2164" i="1" a="1"/>
  <c r="J2164" i="1" s="1"/>
  <c r="L2160" i="1" a="1"/>
  <c r="L2160" i="1" s="1"/>
  <c r="K2161" i="1" a="1"/>
  <c r="K2161" i="1" s="1"/>
  <c r="K2160" i="1" a="1"/>
  <c r="K2160" i="1" s="1"/>
  <c r="L2167" i="1" a="1"/>
  <c r="L2167" i="1" s="1"/>
  <c r="K2167" i="1" a="1"/>
  <c r="K2167" i="1" s="1"/>
  <c r="L2162" i="1" a="1"/>
  <c r="L2162" i="1" s="1"/>
  <c r="J2162" i="1" a="1"/>
  <c r="J2162" i="1" s="1"/>
  <c r="J2159" i="1" a="1"/>
  <c r="J2159" i="1" s="1"/>
  <c r="L2159" i="1" a="1"/>
  <c r="L2159" i="1" s="1"/>
  <c r="L2166" i="1" a="1"/>
  <c r="L2166" i="1" s="1"/>
  <c r="K2163" i="1" a="1"/>
  <c r="K2163" i="1" s="1"/>
  <c r="J2160" i="1" a="1"/>
  <c r="J2160" i="1" s="1"/>
  <c r="J2163" i="1" a="1"/>
  <c r="J2163" i="1" s="1"/>
  <c r="K2162" i="1" a="1"/>
  <c r="K2162" i="1" s="1"/>
  <c r="K2164" i="1" a="1"/>
  <c r="K2164" i="1" s="1"/>
  <c r="L2163" i="1" a="1"/>
  <c r="L2163" i="1" s="1"/>
  <c r="K2154" i="1" a="1"/>
  <c r="K2154" i="1" s="1"/>
  <c r="K2155" i="1" a="1"/>
  <c r="K2155" i="1" s="1"/>
  <c r="L2156" i="1" a="1"/>
  <c r="L2156" i="1" s="1"/>
  <c r="J2153" i="1" a="1"/>
  <c r="J2153" i="1" s="1"/>
  <c r="K2158" i="1" a="1"/>
  <c r="K2158" i="1" s="1"/>
  <c r="J2157" i="1" a="1"/>
  <c r="J2157" i="1" s="1"/>
  <c r="L2158" i="1" a="1"/>
  <c r="L2158" i="1" s="1"/>
  <c r="J2158" i="1" a="1"/>
  <c r="J2158" i="1" s="1"/>
  <c r="K2156" i="1" a="1"/>
  <c r="K2156" i="1" s="1"/>
  <c r="L2157" i="1" a="1"/>
  <c r="L2157" i="1" s="1"/>
  <c r="K2157" i="1" a="1"/>
  <c r="K2157" i="1" s="1"/>
  <c r="J2156" i="1" a="1"/>
  <c r="J2156" i="1" s="1"/>
  <c r="K2153" i="1" a="1"/>
  <c r="K2153" i="1" s="1"/>
  <c r="K2151" i="1" a="1"/>
  <c r="K2151" i="1" s="1"/>
  <c r="J2155" i="1" a="1"/>
  <c r="J2155" i="1" s="1"/>
  <c r="L2153" i="1" a="1"/>
  <c r="L2153" i="1" s="1"/>
  <c r="L2152" i="1" a="1"/>
  <c r="L2152" i="1" s="1"/>
  <c r="J2152" i="1" a="1"/>
  <c r="J2152" i="1" s="1"/>
  <c r="J2154" i="1" a="1"/>
  <c r="J2154" i="1" s="1"/>
  <c r="L2151" i="1" a="1"/>
  <c r="L2151" i="1" s="1"/>
  <c r="L2155" i="1" a="1"/>
  <c r="L2155" i="1" s="1"/>
  <c r="L2154" i="1" a="1"/>
  <c r="L2154" i="1" s="1"/>
  <c r="K2152" i="1" a="1"/>
  <c r="K2152" i="1" s="1"/>
  <c r="J2151" i="1" a="1"/>
  <c r="J2151" i="1" s="1"/>
  <c r="K2144" i="1" a="1"/>
  <c r="K2144" i="1" s="1"/>
  <c r="L2148" i="1" a="1"/>
  <c r="L2148" i="1" s="1"/>
  <c r="L2149" i="1" a="1"/>
  <c r="L2149" i="1" s="1"/>
  <c r="K2146" i="1" a="1"/>
  <c r="K2146" i="1" s="1"/>
  <c r="L2143" i="1" a="1"/>
  <c r="L2143" i="1" s="1"/>
  <c r="L2147" i="1" a="1"/>
  <c r="L2147" i="1" s="1"/>
  <c r="J2144" i="1" a="1"/>
  <c r="J2144" i="1" s="1"/>
  <c r="J2147" i="1" a="1"/>
  <c r="J2147" i="1" s="1"/>
  <c r="J2146" i="1" a="1"/>
  <c r="J2146" i="1" s="1"/>
  <c r="L2145" i="1" a="1"/>
  <c r="L2145" i="1" s="1"/>
  <c r="L2144" i="1" a="1"/>
  <c r="L2144" i="1" s="1"/>
  <c r="J2145" i="1" a="1"/>
  <c r="J2145" i="1" s="1"/>
  <c r="L2146" i="1" a="1"/>
  <c r="L2146" i="1" s="1"/>
  <c r="L2150" i="1" a="1"/>
  <c r="L2150" i="1" s="1"/>
  <c r="K2150" i="1" a="1"/>
  <c r="K2150" i="1" s="1"/>
  <c r="J2149" i="1" a="1"/>
  <c r="J2149" i="1" s="1"/>
  <c r="J2150" i="1" a="1"/>
  <c r="J2150" i="1" s="1"/>
  <c r="K2149" i="1" a="1"/>
  <c r="K2149" i="1" s="1"/>
  <c r="K2148" i="1" a="1"/>
  <c r="K2148" i="1" s="1"/>
  <c r="K2145" i="1" a="1"/>
  <c r="K2145" i="1" s="1"/>
  <c r="J2148" i="1" a="1"/>
  <c r="J2148" i="1" s="1"/>
  <c r="K2147" i="1" a="1"/>
  <c r="K2147" i="1" s="1"/>
  <c r="K2142" i="1" a="1"/>
  <c r="K2142" i="1" s="1"/>
  <c r="J2142" i="1" a="1"/>
  <c r="J2142" i="1" s="1"/>
  <c r="J2135" i="1" a="1"/>
  <c r="J2135" i="1" s="1"/>
  <c r="K2136" i="1" a="1"/>
  <c r="K2136" i="1" s="1"/>
  <c r="K2140" i="1" a="1"/>
  <c r="K2140" i="1" s="1"/>
  <c r="K2139" i="1" a="1"/>
  <c r="K2139" i="1" s="1"/>
  <c r="L2137" i="1" a="1"/>
  <c r="L2137" i="1" s="1"/>
  <c r="L2134" i="1" a="1"/>
  <c r="L2134" i="1" s="1"/>
  <c r="K2138" i="1" a="1"/>
  <c r="K2138" i="1" s="1"/>
  <c r="J2140" i="1" a="1"/>
  <c r="J2140" i="1" s="1"/>
  <c r="J2138" i="1" a="1"/>
  <c r="J2138" i="1" s="1"/>
  <c r="L2139" i="1" a="1"/>
  <c r="L2139" i="1" s="1"/>
  <c r="L2138" i="1" a="1"/>
  <c r="L2138" i="1" s="1"/>
  <c r="J2136" i="1" a="1"/>
  <c r="J2136" i="1" s="1"/>
  <c r="J2137" i="1" a="1"/>
  <c r="J2137" i="1" s="1"/>
  <c r="L2140" i="1" a="1"/>
  <c r="L2140" i="1" s="1"/>
  <c r="K2143" i="1" a="1"/>
  <c r="K2143" i="1" s="1"/>
  <c r="J2143" i="1" a="1"/>
  <c r="J2143" i="1" s="1"/>
  <c r="K2141" i="1" a="1"/>
  <c r="K2141" i="1" s="1"/>
  <c r="L2141" i="1" a="1"/>
  <c r="L2141" i="1" s="1"/>
  <c r="K2135" i="1" a="1"/>
  <c r="K2135" i="1" s="1"/>
  <c r="J2139" i="1" a="1"/>
  <c r="J2139" i="1" s="1"/>
  <c r="L2136" i="1" a="1"/>
  <c r="L2136" i="1" s="1"/>
  <c r="K2137" i="1" a="1"/>
  <c r="K2137" i="1" s="1"/>
  <c r="J2141" i="1" a="1"/>
  <c r="J2141" i="1" s="1"/>
  <c r="L2142" i="1" a="1"/>
  <c r="L2142" i="1" s="1"/>
  <c r="L2135" i="1" a="1"/>
  <c r="L2135" i="1" s="1"/>
  <c r="J2132" i="1" a="1"/>
  <c r="J2132" i="1" s="1"/>
  <c r="L2131" i="1" a="1"/>
  <c r="L2131" i="1" s="1"/>
  <c r="L2125" i="1" a="1"/>
  <c r="L2125" i="1" s="1"/>
  <c r="K2134" i="1" a="1"/>
  <c r="K2134" i="1" s="1"/>
  <c r="L2127" i="1" a="1"/>
  <c r="L2127" i="1" s="1"/>
  <c r="K2132" i="1" a="1"/>
  <c r="K2132" i="1" s="1"/>
  <c r="J2134" i="1" a="1"/>
  <c r="J2134" i="1" s="1"/>
  <c r="J2128" i="1" a="1"/>
  <c r="J2128" i="1" s="1"/>
  <c r="J2127" i="1" a="1"/>
  <c r="J2127" i="1" s="1"/>
  <c r="L2133" i="1" a="1"/>
  <c r="L2133" i="1" s="1"/>
  <c r="K2133" i="1" a="1"/>
  <c r="K2133" i="1" s="1"/>
  <c r="L2132" i="1" a="1"/>
  <c r="L2132" i="1" s="1"/>
  <c r="L2129" i="1" a="1"/>
  <c r="L2129" i="1" s="1"/>
  <c r="L2130" i="1" a="1"/>
  <c r="L2130" i="1" s="1"/>
  <c r="K2130" i="1" a="1"/>
  <c r="K2130" i="1" s="1"/>
  <c r="L2128" i="1" a="1"/>
  <c r="L2128" i="1" s="1"/>
  <c r="J2129" i="1" a="1"/>
  <c r="J2129" i="1" s="1"/>
  <c r="K2126" i="1" a="1"/>
  <c r="K2126" i="1" s="1"/>
  <c r="J2130" i="1" a="1"/>
  <c r="J2130" i="1" s="1"/>
  <c r="K2131" i="1" a="1"/>
  <c r="K2131" i="1" s="1"/>
  <c r="K2125" i="1" a="1"/>
  <c r="K2125" i="1" s="1"/>
  <c r="J2133" i="1" a="1"/>
  <c r="J2133" i="1" s="1"/>
  <c r="K2129" i="1" a="1"/>
  <c r="K2129" i="1" s="1"/>
  <c r="J2131" i="1" a="1"/>
  <c r="J2131" i="1" s="1"/>
  <c r="K2128" i="1" a="1"/>
  <c r="K2128" i="1" s="1"/>
  <c r="K2127" i="1" a="1"/>
  <c r="K2127" i="1" s="1"/>
  <c r="L2126" i="1" a="1"/>
  <c r="L2126" i="1" s="1"/>
  <c r="J2126" i="1" a="1"/>
  <c r="J2126" i="1" s="1"/>
  <c r="K2123" i="1" a="1"/>
  <c r="K2123" i="1" s="1"/>
  <c r="J2119" i="1" a="1"/>
  <c r="J2119" i="1" s="1"/>
  <c r="J2122" i="1" a="1"/>
  <c r="J2122" i="1" s="1"/>
  <c r="K2119" i="1" a="1"/>
  <c r="K2119" i="1" s="1"/>
  <c r="K2120" i="1" a="1"/>
  <c r="K2120" i="1" s="1"/>
  <c r="L2117" i="1" a="1"/>
  <c r="L2117" i="1" s="1"/>
  <c r="J2118" i="1" a="1"/>
  <c r="J2118" i="1" s="1"/>
  <c r="L2122" i="1" a="1"/>
  <c r="L2122" i="1" s="1"/>
  <c r="J2121" i="1" a="1"/>
  <c r="J2121" i="1" s="1"/>
  <c r="L2123" i="1" a="1"/>
  <c r="L2123" i="1" s="1"/>
  <c r="J2125" i="1" a="1"/>
  <c r="J2125" i="1" s="1"/>
  <c r="L2120" i="1" a="1"/>
  <c r="L2120" i="1" s="1"/>
  <c r="K2121" i="1" a="1"/>
  <c r="K2121" i="1" s="1"/>
  <c r="J2120" i="1" a="1"/>
  <c r="J2120" i="1" s="1"/>
  <c r="L2124" i="1" a="1"/>
  <c r="L2124" i="1" s="1"/>
  <c r="K2124" i="1" a="1"/>
  <c r="K2124" i="1" s="1"/>
  <c r="L2119" i="1" a="1"/>
  <c r="L2119" i="1" s="1"/>
  <c r="J2124" i="1" a="1"/>
  <c r="J2124" i="1" s="1"/>
  <c r="K2122" i="1" a="1"/>
  <c r="K2122" i="1" s="1"/>
  <c r="K2118" i="1" a="1"/>
  <c r="K2118" i="1" s="1"/>
  <c r="L2118" i="1" a="1"/>
  <c r="L2118" i="1" s="1"/>
  <c r="L2121" i="1" a="1"/>
  <c r="L2121" i="1" s="1"/>
  <c r="J2123" i="1" a="1"/>
  <c r="J2123" i="1" s="1"/>
  <c r="K2117" i="1" a="1"/>
  <c r="K2117" i="1" s="1"/>
  <c r="J2117" i="1" a="1"/>
  <c r="J2117" i="1" s="1"/>
  <c r="L2116" i="1" a="1"/>
  <c r="L2116" i="1" s="1"/>
  <c r="K2116" i="1" a="1"/>
  <c r="K2116" i="1" s="1"/>
  <c r="K2115" i="1" a="1"/>
  <c r="K2115" i="1" s="1"/>
  <c r="J2116" i="1" a="1"/>
  <c r="J2116" i="1" s="1"/>
  <c r="L2115" i="1" a="1"/>
  <c r="L2115" i="1" s="1"/>
  <c r="J2115" i="1" a="1"/>
  <c r="J2115" i="1" s="1"/>
  <c r="J2021" i="1" a="1"/>
  <c r="J2021" i="1" s="1"/>
  <c r="L2020" i="1" a="1"/>
  <c r="L2020" i="1" s="1"/>
  <c r="J2020" i="1" a="1"/>
  <c r="J2020" i="1" s="1"/>
  <c r="K2021" i="1" a="1"/>
  <c r="K2021" i="1" s="1"/>
  <c r="K2020" i="1" a="1"/>
  <c r="K2020" i="1" s="1"/>
  <c r="L2021" i="1" a="1"/>
  <c r="L2021" i="1" s="1"/>
  <c r="K2015" i="1" a="1"/>
  <c r="K2015" i="1" s="1"/>
  <c r="J2015" i="1" a="1"/>
  <c r="J2015" i="1" s="1"/>
  <c r="J2018" i="1" a="1"/>
  <c r="J2018" i="1" s="1"/>
  <c r="J2019" i="1" s="1" a="1"/>
  <c r="J2019" i="1" s="1"/>
  <c r="J2016" i="1" a="1"/>
  <c r="J2016" i="1" s="1"/>
  <c r="J2017" i="1" s="1" a="1"/>
  <c r="J2017" i="1" s="1"/>
  <c r="L2015" i="1" a="1"/>
  <c r="L2015" i="1" s="1"/>
  <c r="L2013" i="1" a="1"/>
  <c r="L2013" i="1" s="1"/>
  <c r="L2014" i="1" s="1" a="1"/>
  <c r="L2014" i="1" s="1"/>
  <c r="K2013" i="1" a="1"/>
  <c r="K2013" i="1" s="1"/>
  <c r="K2014" i="1" s="1" a="1"/>
  <c r="K2014" i="1" s="1"/>
  <c r="K2016" i="1" a="1"/>
  <c r="K2016" i="1" s="1"/>
  <c r="K2017" i="1" s="1" a="1"/>
  <c r="K2017" i="1" s="1"/>
  <c r="L2018" i="1" a="1"/>
  <c r="L2018" i="1" s="1"/>
  <c r="L2019" i="1" s="1" a="1"/>
  <c r="L2019" i="1" s="1"/>
  <c r="K2018" i="1" a="1"/>
  <c r="K2018" i="1" s="1"/>
  <c r="K2019" i="1" s="1" a="1"/>
  <c r="K2019" i="1" s="1"/>
  <c r="K2011" i="1" a="1"/>
  <c r="K2011" i="1" s="1"/>
  <c r="L2011" i="1" a="1"/>
  <c r="L2011" i="1" s="1"/>
  <c r="L2016" i="1" a="1"/>
  <c r="L2016" i="1" s="1"/>
  <c r="L2017" i="1" s="1" a="1"/>
  <c r="L2017" i="1" s="1"/>
  <c r="J2013" i="1" a="1"/>
  <c r="J2013" i="1" s="1"/>
  <c r="J2014" i="1" s="1" a="1"/>
  <c r="J2014" i="1" s="1"/>
  <c r="J2011" i="1" a="1"/>
  <c r="J2011" i="1" s="1"/>
  <c r="K2003" i="1" a="1"/>
  <c r="K2003" i="1" s="1"/>
  <c r="K2004" i="1" s="1" a="1"/>
  <c r="K2004" i="1" s="1"/>
  <c r="J2005" i="1" a="1"/>
  <c r="J2005" i="1" s="1"/>
  <c r="L2010" i="1" a="1"/>
  <c r="L2010" i="1" s="1"/>
  <c r="J2010" i="1" a="1"/>
  <c r="J2010" i="1" s="1"/>
  <c r="J2008" i="1" a="1"/>
  <c r="J2008" i="1" s="1"/>
  <c r="J2009" i="1" s="1" a="1"/>
  <c r="J2009" i="1" s="1"/>
  <c r="K2010" i="1" a="1"/>
  <c r="K2010" i="1" s="1"/>
  <c r="K2008" i="1" a="1"/>
  <c r="K2008" i="1" s="1"/>
  <c r="K2009" i="1" s="1" a="1"/>
  <c r="K2009" i="1" s="1"/>
  <c r="J2006" i="1" a="1"/>
  <c r="J2006" i="1" s="1"/>
  <c r="J2007" i="1" s="1" a="1"/>
  <c r="J2007" i="1" s="1"/>
  <c r="L2003" i="1" a="1"/>
  <c r="L2003" i="1" s="1"/>
  <c r="L2004" i="1" s="1" a="1"/>
  <c r="L2004" i="1" s="1"/>
  <c r="L2005" i="1" a="1"/>
  <c r="L2005" i="1" s="1"/>
  <c r="J2003" i="1" a="1"/>
  <c r="J2003" i="1" s="1"/>
  <c r="J2004" i="1" s="1" a="1"/>
  <c r="J2004" i="1" s="1"/>
  <c r="K2005" i="1" a="1"/>
  <c r="K2005" i="1" s="1"/>
  <c r="L2006" i="1" a="1"/>
  <c r="L2006" i="1" s="1"/>
  <c r="L2007" i="1" s="1" a="1"/>
  <c r="L2007" i="1" s="1"/>
  <c r="L2001" i="1" a="1"/>
  <c r="L2001" i="1" s="1"/>
  <c r="L2008" i="1" a="1"/>
  <c r="L2008" i="1" s="1"/>
  <c r="L2009" i="1" s="1" a="1"/>
  <c r="L2009" i="1" s="1"/>
  <c r="K2006" i="1" a="1"/>
  <c r="K2006" i="1" s="1"/>
  <c r="K2007" i="1" s="1" a="1"/>
  <c r="K2007" i="1" s="1"/>
  <c r="J1994" i="1" a="1"/>
  <c r="J1994" i="1" s="1"/>
  <c r="K1993" i="1" a="1"/>
  <c r="K1993" i="1" s="1"/>
  <c r="L1994" i="1" a="1"/>
  <c r="L1994" i="1" s="1"/>
  <c r="J1996" i="1" a="1"/>
  <c r="J1996" i="1" s="1"/>
  <c r="L1996" i="1" a="1"/>
  <c r="L1996" i="1" s="1"/>
  <c r="K1996" i="1" a="1"/>
  <c r="K1996" i="1" s="1"/>
  <c r="L1997" i="1" a="1"/>
  <c r="L1997" i="1" s="1"/>
  <c r="K2001" i="1" a="1"/>
  <c r="K2001" i="1" s="1"/>
  <c r="J2001" i="1" a="1"/>
  <c r="J2001" i="1" s="1"/>
  <c r="J1998" i="1" a="1"/>
  <c r="J1998" i="1" s="1"/>
  <c r="L2000" i="1" a="1"/>
  <c r="L2000" i="1" s="1"/>
  <c r="K2000" i="1" a="1"/>
  <c r="K2000" i="1" s="1"/>
  <c r="J2000" i="1" a="1"/>
  <c r="J2000" i="1" s="1"/>
  <c r="J1999" i="1" a="1"/>
  <c r="J1999" i="1" s="1"/>
  <c r="L1998" i="1" a="1"/>
  <c r="L1998" i="1" s="1"/>
  <c r="J1997" i="1" a="1"/>
  <c r="J1997" i="1" s="1"/>
  <c r="K1998" i="1" a="1"/>
  <c r="K1998" i="1" s="1"/>
  <c r="L1999" i="1" a="1"/>
  <c r="L1999" i="1" s="1"/>
  <c r="K1999" i="1" a="1"/>
  <c r="K1999" i="1" s="1"/>
  <c r="L1995" i="1" a="1"/>
  <c r="L1995" i="1" s="1"/>
  <c r="K1994" i="1" a="1"/>
  <c r="K1994" i="1" s="1"/>
  <c r="K1997" i="1" a="1"/>
  <c r="K1997" i="1" s="1"/>
  <c r="K1995" i="1" a="1"/>
  <c r="K1995" i="1" s="1"/>
  <c r="L1993" i="1" a="1"/>
  <c r="L1993" i="1" s="1"/>
  <c r="J1993" i="1" a="1"/>
  <c r="J1993" i="1" s="1"/>
  <c r="J1995" i="1" a="1"/>
  <c r="J1995" i="1" s="1"/>
  <c r="L1992" i="1" a="1"/>
  <c r="L1992" i="1" s="1"/>
  <c r="L1989" i="1" a="1"/>
  <c r="L1989" i="1" s="1"/>
  <c r="K1988" i="1" a="1"/>
  <c r="K1988" i="1" s="1"/>
  <c r="K1992" i="1" a="1"/>
  <c r="K1992" i="1" s="1"/>
  <c r="J1992" i="1" a="1"/>
  <c r="J1992" i="1" s="1"/>
  <c r="J1986" i="1" a="1"/>
  <c r="J1986" i="1" s="1"/>
  <c r="K1983" i="1" a="1"/>
  <c r="K1983" i="1" s="1"/>
  <c r="K1986" i="1" a="1"/>
  <c r="K1986" i="1" s="1"/>
  <c r="J1984" i="1" a="1"/>
  <c r="J1984" i="1" s="1"/>
  <c r="J1988" i="1" a="1"/>
  <c r="J1988" i="1" s="1"/>
  <c r="K1987" i="1" a="1"/>
  <c r="K1987" i="1" s="1"/>
  <c r="K1989" i="1" a="1"/>
  <c r="K1989" i="1" s="1"/>
  <c r="K1991" i="1" a="1"/>
  <c r="K1991" i="1" s="1"/>
  <c r="J1989" i="1" a="1"/>
  <c r="J1989" i="1" s="1"/>
  <c r="L1987" i="1" a="1"/>
  <c r="L1987" i="1" s="1"/>
  <c r="L1988" i="1" a="1"/>
  <c r="L1988" i="1" s="1"/>
  <c r="L1991" i="1" a="1"/>
  <c r="L1991" i="1" s="1"/>
  <c r="J1991" i="1" a="1"/>
  <c r="J1991" i="1" s="1"/>
  <c r="L1990" i="1" a="1"/>
  <c r="L1990" i="1" s="1"/>
  <c r="K1990" i="1" a="1"/>
  <c r="K1990" i="1" s="1"/>
  <c r="J1990" i="1" a="1"/>
  <c r="J1990" i="1" s="1"/>
  <c r="L1986" i="1" a="1"/>
  <c r="L1986" i="1" s="1"/>
  <c r="J1985" i="1" a="1"/>
  <c r="J1985" i="1" s="1"/>
  <c r="L1984" i="1" a="1"/>
  <c r="L1984" i="1" s="1"/>
  <c r="K1985" i="1" a="1"/>
  <c r="K1985" i="1" s="1"/>
  <c r="L1985" i="1" a="1"/>
  <c r="L1985" i="1" s="1"/>
  <c r="K1984" i="1" a="1"/>
  <c r="K1984" i="1" s="1"/>
  <c r="L1983" i="1" a="1"/>
  <c r="L1983" i="1" s="1"/>
  <c r="J1987" i="1" a="1"/>
  <c r="J1987" i="1" s="1"/>
  <c r="J1983" i="1" a="1"/>
  <c r="J1983" i="1" s="1"/>
  <c r="L1975" i="1" a="1"/>
  <c r="L1975" i="1" s="1"/>
  <c r="L1982" i="1" a="1"/>
  <c r="L1982" i="1" s="1"/>
  <c r="K1982" i="1" a="1"/>
  <c r="K1982" i="1" s="1"/>
  <c r="K1981" i="1" a="1"/>
  <c r="K1981" i="1" s="1"/>
  <c r="K1977" i="1" a="1"/>
  <c r="K1977" i="1" s="1"/>
  <c r="J1982" i="1" a="1"/>
  <c r="J1982" i="1" s="1"/>
  <c r="J1980" i="1" a="1"/>
  <c r="J1980" i="1" s="1"/>
  <c r="L1976" i="1" a="1"/>
  <c r="L1976" i="1" s="1"/>
  <c r="J1977" i="1" a="1"/>
  <c r="J1977" i="1" s="1"/>
  <c r="K1976" i="1" a="1"/>
  <c r="K1976" i="1" s="1"/>
  <c r="K1980" i="1" a="1"/>
  <c r="K1980" i="1" s="1"/>
  <c r="L1981" i="1" a="1"/>
  <c r="L1981" i="1" s="1"/>
  <c r="J1981" i="1" a="1"/>
  <c r="J1981" i="1" s="1"/>
  <c r="J1979" i="1" a="1"/>
  <c r="J1979" i="1" s="1"/>
  <c r="L1977" i="1" a="1"/>
  <c r="L1977" i="1" s="1"/>
  <c r="L1980" i="1" a="1"/>
  <c r="L1980" i="1" s="1"/>
  <c r="L1979" i="1" a="1"/>
  <c r="L1979" i="1" s="1"/>
  <c r="J1976" i="1" a="1"/>
  <c r="J1976" i="1" s="1"/>
  <c r="K1979" i="1" a="1"/>
  <c r="K1979" i="1" s="1"/>
  <c r="K1972" i="1" a="1"/>
  <c r="K1972" i="1" s="1"/>
  <c r="L1969" i="1" a="1"/>
  <c r="L1969" i="1" s="1"/>
  <c r="L1973" i="1" a="1"/>
  <c r="L1973" i="1" s="1"/>
  <c r="K1973" i="1" a="1"/>
  <c r="K1973" i="1" s="1"/>
  <c r="L1971" i="1" a="1"/>
  <c r="L1971" i="1" s="1"/>
  <c r="K1975" i="1" a="1"/>
  <c r="K1975" i="1" s="1"/>
  <c r="J1975" i="1" a="1"/>
  <c r="J1975" i="1" s="1"/>
  <c r="J1973" i="1" a="1"/>
  <c r="J1973" i="1" s="1"/>
  <c r="J1972" i="1" a="1"/>
  <c r="J1972" i="1" s="1"/>
  <c r="K1971" i="1" a="1"/>
  <c r="K1971" i="1" s="1"/>
  <c r="L1970" i="1" a="1"/>
  <c r="L1970" i="1" s="1"/>
  <c r="K1970" i="1" a="1"/>
  <c r="K1970" i="1" s="1"/>
  <c r="K1974" i="1" a="1"/>
  <c r="K1974" i="1" s="1"/>
  <c r="J1974" i="1" a="1"/>
  <c r="J1974" i="1" s="1"/>
  <c r="L1974" i="1" a="1"/>
  <c r="L1974" i="1" s="1"/>
  <c r="K1969" i="1" a="1"/>
  <c r="K1969" i="1" s="1"/>
  <c r="L1972" i="1" a="1"/>
  <c r="L1972" i="1" s="1"/>
  <c r="J1970" i="1" a="1"/>
  <c r="J1970" i="1" s="1"/>
  <c r="J1971" i="1" a="1"/>
  <c r="J1971" i="1" s="1"/>
  <c r="J1969" i="1" a="1"/>
  <c r="J1969" i="1" s="1"/>
  <c r="K1432" i="1" a="1"/>
  <c r="K1432" i="1"/>
  <c r="J1436" i="1" a="1"/>
  <c r="J1436" i="1" s="1"/>
  <c r="L1431" i="1" a="1"/>
  <c r="L1431" i="1" s="1"/>
  <c r="K1437" i="1" a="1"/>
  <c r="K1437" i="1" s="1"/>
  <c r="K1430" i="1" a="1"/>
  <c r="K1430" i="1" s="1"/>
  <c r="L1433" i="1" a="1"/>
  <c r="L1433" i="1" s="1"/>
  <c r="L1436" i="1" a="1"/>
  <c r="L1436" i="1" s="1"/>
  <c r="L1434" i="1" a="1"/>
  <c r="L1434" i="1" s="1"/>
  <c r="K1436" i="1" a="1"/>
  <c r="K1436" i="1" s="1"/>
  <c r="L1430" i="1" a="1"/>
  <c r="L1430" i="1" s="1"/>
  <c r="K1431" i="1" a="1"/>
  <c r="K1431" i="1" s="1"/>
  <c r="K1434" i="1" a="1"/>
  <c r="K1434" i="1" s="1"/>
  <c r="J1437" i="1" a="1"/>
  <c r="J1437" i="1" s="1"/>
  <c r="J1434" i="1" a="1"/>
  <c r="J1434" i="1" s="1"/>
  <c r="J1432" i="1" a="1"/>
  <c r="J1432" i="1" s="1"/>
  <c r="J1430" i="1" a="1"/>
  <c r="J1430" i="1" s="1"/>
  <c r="K1433" i="1" a="1"/>
  <c r="K1433" i="1" s="1"/>
  <c r="J1431" i="1" a="1"/>
  <c r="J1431" i="1" s="1"/>
  <c r="J1433" i="1" a="1"/>
  <c r="J1433" i="1" s="1"/>
  <c r="L1432" i="1" a="1"/>
  <c r="L1432" i="1" s="1"/>
  <c r="L1424" i="1" a="1"/>
  <c r="L1424" i="1" s="1"/>
  <c r="K1423" i="1" a="1"/>
  <c r="K1423" i="1" s="1"/>
  <c r="J1422" i="1" a="1"/>
  <c r="J1422" i="1" s="1"/>
  <c r="K1418" i="1" a="1"/>
  <c r="K1418" i="1" s="1"/>
  <c r="K1420" i="1" a="1"/>
  <c r="K1420" i="1" s="1"/>
  <c r="J1419" i="1" a="1"/>
  <c r="J1419" i="1" s="1"/>
  <c r="K1419" i="1" a="1"/>
  <c r="K1419" i="1" s="1"/>
  <c r="J1420" i="1" a="1"/>
  <c r="J1420" i="1" s="1"/>
  <c r="K1424" i="1" a="1"/>
  <c r="K1424" i="1" s="1"/>
  <c r="L1419" i="1" a="1"/>
  <c r="L1419" i="1" s="1"/>
  <c r="J1424" i="1" a="1"/>
  <c r="J1424" i="1" s="1"/>
  <c r="L1421" i="1" a="1"/>
  <c r="L1421" i="1" s="1"/>
  <c r="L1423" i="1" a="1"/>
  <c r="L1423" i="1" s="1"/>
  <c r="L1420" i="1" a="1"/>
  <c r="L1420" i="1" s="1"/>
  <c r="J1418" i="1" a="1"/>
  <c r="J1418" i="1" s="1"/>
  <c r="J1423" i="1" a="1"/>
  <c r="J1423" i="1" s="1"/>
  <c r="L1422" i="1" a="1"/>
  <c r="L1422" i="1" s="1"/>
  <c r="K1422" i="1" a="1"/>
  <c r="K1422" i="1" s="1"/>
  <c r="K1421" i="1" a="1"/>
  <c r="K1421" i="1" s="1"/>
  <c r="J1421" i="1" a="1"/>
  <c r="J1421" i="1" s="1"/>
  <c r="L1418" i="1" a="1"/>
  <c r="L1418" i="1" s="1"/>
  <c r="L1409" i="1" a="1"/>
  <c r="L1409" i="1" s="1"/>
  <c r="J1417" i="1" a="1"/>
  <c r="J1417" i="1" s="1"/>
  <c r="L1416" i="1" a="1"/>
  <c r="L1416" i="1" s="1"/>
  <c r="K1409" i="1" a="1"/>
  <c r="K1409" i="1" s="1"/>
  <c r="L1417" i="1" a="1"/>
  <c r="L1417" i="1" s="1"/>
  <c r="K1417" i="1" a="1"/>
  <c r="K1417" i="1" s="1"/>
  <c r="L1408" i="1" a="1"/>
  <c r="L1408" i="1" s="1"/>
  <c r="J1416" i="1" a="1"/>
  <c r="J1416" i="1" s="1"/>
  <c r="K1410" i="1" a="1"/>
  <c r="K1410" i="1" s="1"/>
  <c r="L1410" i="1" a="1"/>
  <c r="L1410" i="1" s="1"/>
  <c r="L1407" i="1" a="1"/>
  <c r="L1407" i="1" s="1"/>
  <c r="K1416" i="1" a="1"/>
  <c r="K1416" i="1" s="1"/>
  <c r="K1408" i="1" a="1"/>
  <c r="K1408" i="1" s="1"/>
  <c r="K1407" i="1" a="1"/>
  <c r="K1407" i="1" s="1"/>
  <c r="J1410" i="1" a="1"/>
  <c r="J1410" i="1" s="1"/>
  <c r="J1409" i="1" a="1"/>
  <c r="J1409" i="1" s="1"/>
  <c r="J1408" i="1" a="1"/>
  <c r="J1408" i="1" s="1"/>
  <c r="J1405" i="1" a="1"/>
  <c r="J1405" i="1" s="1"/>
  <c r="J1404" i="1" a="1"/>
  <c r="J1404" i="1" s="1"/>
  <c r="L1402" i="1" a="1"/>
  <c r="L1402" i="1" s="1"/>
  <c r="J1407" i="1" a="1"/>
  <c r="J1407" i="1" s="1"/>
  <c r="L1404" i="1" a="1"/>
  <c r="L1404" i="1" s="1"/>
  <c r="L1405" i="1" a="1"/>
  <c r="L1405" i="1" s="1"/>
  <c r="K1403" i="1" a="1"/>
  <c r="K1403" i="1" s="1"/>
  <c r="J1402" i="1" a="1"/>
  <c r="J1402" i="1" s="1"/>
  <c r="K1404" i="1" a="1"/>
  <c r="K1404" i="1" s="1"/>
  <c r="L1401" i="1" a="1"/>
  <c r="L1401" i="1" s="1"/>
  <c r="K1402" i="1" a="1"/>
  <c r="K1402" i="1" s="1"/>
  <c r="J1403" i="1" a="1"/>
  <c r="J1403" i="1" s="1"/>
  <c r="L1403" i="1" a="1"/>
  <c r="L1403" i="1" s="1"/>
  <c r="K1401" i="1" a="1"/>
  <c r="K1401" i="1" s="1"/>
  <c r="K1405" i="1" a="1"/>
  <c r="K1405" i="1" s="1"/>
  <c r="J1401" i="1" a="1"/>
  <c r="J1401" i="1" s="1"/>
  <c r="L1374" i="1" a="1"/>
  <c r="L1374" i="1" s="1"/>
  <c r="J1373" i="1" a="1"/>
  <c r="J1373" i="1" s="1"/>
  <c r="K1373" i="1" a="1"/>
  <c r="K1373" i="1" s="1"/>
  <c r="L1373" i="1" a="1"/>
  <c r="L1373" i="1" s="1"/>
  <c r="K1374" i="1" a="1"/>
  <c r="K1374" i="1" s="1"/>
  <c r="J1374" i="1" a="1"/>
  <c r="J1374" i="1" s="1"/>
  <c r="J1674" i="1" a="1"/>
  <c r="J1674" i="1" s="1"/>
  <c r="J1671" i="1" a="1"/>
  <c r="J1671" i="1" s="1"/>
  <c r="K1676" i="1" a="1"/>
  <c r="K1676" i="1" s="1"/>
  <c r="K1675" i="1" a="1"/>
  <c r="K1675" i="1" s="1"/>
  <c r="L1672" i="1" a="1"/>
  <c r="L1672" i="1" s="1"/>
  <c r="L1674" i="1" a="1"/>
  <c r="L1674" i="1" s="1"/>
  <c r="K1674" i="1" a="1"/>
  <c r="K1674" i="1" s="1"/>
  <c r="K1673" i="1" a="1"/>
  <c r="K1673" i="1" s="1"/>
  <c r="K1672" i="1" a="1"/>
  <c r="K1672" i="1" s="1"/>
  <c r="J1673" i="1" a="1"/>
  <c r="J1673" i="1" s="1"/>
  <c r="L1675" i="1" a="1"/>
  <c r="L1675" i="1" s="1"/>
  <c r="K1671" i="1" a="1"/>
  <c r="K1671" i="1" s="1"/>
  <c r="L1676" i="1" a="1"/>
  <c r="L1676" i="1" s="1"/>
  <c r="L1673" i="1" a="1"/>
  <c r="L1673" i="1" s="1"/>
  <c r="J1676" i="1" a="1"/>
  <c r="J1676" i="1" s="1"/>
  <c r="J1675" i="1" a="1"/>
  <c r="J1675" i="1" s="1"/>
  <c r="L1671" i="1" a="1"/>
  <c r="L1671" i="1" s="1"/>
  <c r="J1672" i="1" a="1"/>
  <c r="J1672" i="1" s="1"/>
  <c r="L1662" i="1" a="1"/>
  <c r="L1662" i="1" s="1"/>
  <c r="L1669" i="1" a="1"/>
  <c r="L1669" i="1" s="1"/>
  <c r="K1660" i="1" a="1"/>
  <c r="K1660" i="1" s="1"/>
  <c r="J1669" i="1" a="1"/>
  <c r="J1669" i="1" s="1"/>
  <c r="L1668" i="1" a="1"/>
  <c r="L1668" i="1" s="1"/>
  <c r="J1668" i="1" a="1"/>
  <c r="J1668" i="1" s="1"/>
  <c r="L1667" i="1" a="1"/>
  <c r="L1667" i="1" s="1"/>
  <c r="J1667" i="1" a="1"/>
  <c r="J1667" i="1" s="1"/>
  <c r="K1662" i="1" a="1"/>
  <c r="K1662" i="1" s="1"/>
  <c r="K1661" i="1" a="1"/>
  <c r="K1661" i="1" s="1"/>
  <c r="J1661" i="1" a="1"/>
  <c r="J1661" i="1" s="1"/>
  <c r="J1662" i="1" a="1"/>
  <c r="J1662" i="1" s="1"/>
  <c r="K1669" i="1" a="1"/>
  <c r="K1669" i="1" s="1"/>
  <c r="L1661" i="1" a="1"/>
  <c r="L1661" i="1" s="1"/>
  <c r="L1670" i="1" a="1"/>
  <c r="L1670" i="1" s="1"/>
  <c r="K1670" i="1" a="1"/>
  <c r="K1670" i="1" s="1"/>
  <c r="J1670" i="1" a="1"/>
  <c r="J1670" i="1" s="1"/>
  <c r="J1660" i="1" a="1"/>
  <c r="J1660" i="1" s="1"/>
  <c r="K1668" i="1" a="1"/>
  <c r="K1668" i="1" s="1"/>
  <c r="K1667" i="1" a="1"/>
  <c r="K1667" i="1" s="1"/>
  <c r="L1660" i="1" a="1"/>
  <c r="L1660" i="1" s="1"/>
  <c r="L1642" i="1" a="1"/>
  <c r="L1642" i="1" s="1"/>
  <c r="L1647" i="1" a="1"/>
  <c r="L1647" i="1" s="1"/>
  <c r="L1646" i="1" a="1"/>
  <c r="L1646" i="1" s="1"/>
  <c r="L1643" i="1" a="1"/>
  <c r="L1643" i="1" s="1"/>
  <c r="K1647" i="1" a="1"/>
  <c r="K1647" i="1" s="1"/>
  <c r="L1654" i="1" a="1"/>
  <c r="L1654" i="1" s="1"/>
  <c r="J1643" i="1" a="1"/>
  <c r="J1643" i="1" s="1"/>
  <c r="J1654" i="1" a="1"/>
  <c r="J1654" i="1" s="1"/>
  <c r="K1654" i="1" a="1"/>
  <c r="K1654" i="1" s="1"/>
  <c r="J1646" i="1" a="1"/>
  <c r="J1646" i="1" s="1"/>
  <c r="J1647" i="1" a="1"/>
  <c r="J1647" i="1" s="1"/>
  <c r="K1646" i="1" a="1"/>
  <c r="K1646" i="1" s="1"/>
  <c r="K1643" i="1" a="1"/>
  <c r="K1643" i="1" s="1"/>
  <c r="J1642" i="1" a="1"/>
  <c r="J1642" i="1" s="1"/>
  <c r="L1625" i="1" a="1"/>
  <c r="L1625" i="1" s="1"/>
  <c r="K1629" i="1" a="1"/>
  <c r="K1629" i="1" s="1"/>
  <c r="L1629" i="1" a="1"/>
  <c r="L1629" i="1" s="1"/>
  <c r="J1628" i="1" a="1"/>
  <c r="J1628" i="1" s="1"/>
  <c r="K1642" i="1" a="1"/>
  <c r="K1642" i="1" s="1"/>
  <c r="K1628" i="1" a="1"/>
  <c r="K1628" i="1" s="1"/>
  <c r="J1629" i="1" a="1"/>
  <c r="J1629" i="1" s="1"/>
  <c r="L1626" i="1" a="1"/>
  <c r="L1626" i="1" s="1"/>
  <c r="K1627" i="1" a="1"/>
  <c r="K1627" i="1" s="1"/>
  <c r="K1625" i="1" a="1"/>
  <c r="K1625" i="1" s="1"/>
  <c r="J1625" i="1" a="1"/>
  <c r="J1625" i="1" s="1"/>
  <c r="J1627" i="1" a="1"/>
  <c r="J1627" i="1" s="1"/>
  <c r="K1626" i="1" a="1"/>
  <c r="K1626" i="1" s="1"/>
  <c r="J1626" i="1" a="1"/>
  <c r="J1626" i="1" s="1"/>
  <c r="L1628" i="1" a="1"/>
  <c r="L1628" i="1" s="1"/>
  <c r="L1627" i="1" a="1"/>
  <c r="L1627" i="1" s="1"/>
  <c r="L1621" i="1" a="1"/>
  <c r="L1621" i="1" s="1"/>
  <c r="K1624" i="1" a="1"/>
  <c r="K1624" i="1" s="1"/>
  <c r="J1624" i="1" a="1"/>
  <c r="J1624" i="1" s="1"/>
  <c r="J1622" i="1" a="1"/>
  <c r="J1622" i="1" s="1"/>
  <c r="J1623" i="1" a="1"/>
  <c r="J1623" i="1" s="1"/>
  <c r="J1619" i="1" a="1"/>
  <c r="J1619" i="1" s="1"/>
  <c r="K1613" i="1" a="1"/>
  <c r="K1613" i="1" s="1"/>
  <c r="L1623" i="1" a="1"/>
  <c r="L1623" i="1" s="1"/>
  <c r="L1612" i="1" a="1"/>
  <c r="L1612" i="1" s="1"/>
  <c r="J1612" i="1" a="1"/>
  <c r="J1612" i="1" s="1"/>
  <c r="L1624" i="1" a="1"/>
  <c r="L1624" i="1" s="1"/>
  <c r="K1623" i="1" a="1"/>
  <c r="K1623" i="1" s="1"/>
  <c r="L1622" i="1" a="1"/>
  <c r="L1622" i="1" s="1"/>
  <c r="J1613" i="1" a="1"/>
  <c r="J1613" i="1" s="1"/>
  <c r="L1613" i="1" a="1"/>
  <c r="L1613" i="1" s="1"/>
  <c r="K1622" i="1" a="1"/>
  <c r="K1622" i="1" s="1"/>
  <c r="K1621" i="1" a="1"/>
  <c r="K1621" i="1" s="1"/>
  <c r="L1619" i="1" a="1"/>
  <c r="L1619" i="1" s="1"/>
  <c r="J1621" i="1" a="1"/>
  <c r="J1621" i="1" s="1"/>
  <c r="K1619" i="1" a="1"/>
  <c r="K1619" i="1" s="1"/>
  <c r="K1612" i="1" a="1"/>
  <c r="K1612" i="1" s="1"/>
  <c r="J1611" i="1" a="1"/>
  <c r="J1611" i="1" s="1"/>
  <c r="L1611" i="1" a="1"/>
  <c r="L1611" i="1" s="1"/>
  <c r="K1611" i="1" a="1"/>
  <c r="K1611" i="1" s="1"/>
  <c r="J1605" i="1" a="1"/>
  <c r="J1605" i="1" s="1"/>
  <c r="L1598" i="1" a="1"/>
  <c r="L1598" i="1" s="1"/>
  <c r="K1604" i="1" a="1"/>
  <c r="K1604" i="1" s="1"/>
  <c r="J1596" i="1" a="1"/>
  <c r="J1596" i="1" s="1"/>
  <c r="L1605" i="1" a="1"/>
  <c r="L1605" i="1" s="1"/>
  <c r="K1596" i="1" a="1"/>
  <c r="K1596" i="1" s="1"/>
  <c r="K1605" i="1" a="1"/>
  <c r="K1605" i="1" s="1"/>
  <c r="J1604" i="1" a="1"/>
  <c r="J1604" i="1" s="1"/>
  <c r="K1598" i="1" a="1"/>
  <c r="K1598" i="1" s="1"/>
  <c r="L1604" i="1" a="1"/>
  <c r="L1604" i="1" s="1"/>
  <c r="J1598" i="1" a="1"/>
  <c r="J1598" i="1" s="1"/>
  <c r="L1596" i="1" a="1"/>
  <c r="L1596" i="1" s="1"/>
  <c r="J1582" i="1" a="1"/>
  <c r="J1582" i="1" s="1"/>
  <c r="L1581" i="1" a="1"/>
  <c r="L1581" i="1" s="1"/>
  <c r="K1582" i="1" a="1"/>
  <c r="K1582" i="1" s="1"/>
  <c r="J1581" i="1" a="1"/>
  <c r="J1581" i="1" s="1"/>
  <c r="J1580" i="1" a="1"/>
  <c r="J1580" i="1" s="1"/>
  <c r="L1582" i="1" a="1"/>
  <c r="L1582" i="1" s="1"/>
  <c r="L1580" i="1" a="1"/>
  <c r="L1580" i="1" s="1"/>
  <c r="L1595" i="1" a="1"/>
  <c r="L1595" i="1" s="1"/>
  <c r="K1595" i="1" a="1"/>
  <c r="K1595" i="1" s="1"/>
  <c r="J1595" i="1" a="1"/>
  <c r="J1595" i="1" s="1"/>
  <c r="K1581" i="1" a="1"/>
  <c r="K1581" i="1" s="1"/>
  <c r="K1580" i="1" a="1"/>
  <c r="K1580" i="1" s="1"/>
  <c r="L1575" i="1" a="1"/>
  <c r="L1575" i="1" s="1"/>
  <c r="K1575" i="1" a="1"/>
  <c r="K1575" i="1" s="1"/>
  <c r="L1578" i="1" a="1"/>
  <c r="L1578" i="1" s="1"/>
  <c r="J1576" i="1" a="1"/>
  <c r="J1576" i="1" s="1"/>
  <c r="L1576" i="1" a="1"/>
  <c r="L1576" i="1" s="1"/>
  <c r="L1577" i="1" a="1"/>
  <c r="L1577" i="1" s="1"/>
  <c r="K1574" i="1" a="1"/>
  <c r="K1574" i="1" s="1"/>
  <c r="K1578" i="1" a="1"/>
  <c r="K1578" i="1" s="1"/>
  <c r="J1572" i="1" a="1"/>
  <c r="J1572" i="1" s="1"/>
  <c r="K1577" i="1" a="1"/>
  <c r="K1577" i="1" s="1"/>
  <c r="J1578" i="1" a="1"/>
  <c r="J1578" i="1" s="1"/>
  <c r="L1574" i="1" a="1"/>
  <c r="L1574" i="1" s="1"/>
  <c r="K1576" i="1" a="1"/>
  <c r="K1576" i="1" s="1"/>
  <c r="J1575" i="1" a="1"/>
  <c r="J1575" i="1" s="1"/>
  <c r="L1572" i="1" a="1"/>
  <c r="L1572" i="1" s="1"/>
  <c r="K1572" i="1" a="1"/>
  <c r="K1572" i="1" s="1"/>
  <c r="K1579" i="1" a="1"/>
  <c r="K1579" i="1" s="1"/>
  <c r="L1579" i="1" a="1"/>
  <c r="L1579" i="1" s="1"/>
  <c r="J1579" i="1" a="1"/>
  <c r="J1579" i="1" s="1"/>
  <c r="J1577" i="1" a="1"/>
  <c r="J1577" i="1" s="1"/>
  <c r="J1574" i="1" a="1"/>
  <c r="J1574" i="1" s="1"/>
  <c r="K1565" i="1" a="1"/>
  <c r="K1565" i="1" s="1"/>
  <c r="L1557" i="1" a="1"/>
  <c r="L1557" i="1" s="1"/>
  <c r="K1558" i="1" a="1"/>
  <c r="K1558" i="1" s="1"/>
  <c r="K1564" i="1" a="1"/>
  <c r="K1564" i="1" s="1"/>
  <c r="L1566" i="1" a="1"/>
  <c r="L1566" i="1" s="1"/>
  <c r="K1566" i="1" a="1"/>
  <c r="K1566" i="1" s="1"/>
  <c r="J1566" i="1" a="1"/>
  <c r="J1566" i="1" s="1"/>
  <c r="L1565" i="1" a="1"/>
  <c r="L1565" i="1" s="1"/>
  <c r="J1565" i="1" a="1"/>
  <c r="J1565" i="1" s="1"/>
  <c r="L1558" i="1" a="1"/>
  <c r="L1558" i="1" s="1"/>
  <c r="J1558" i="1" a="1"/>
  <c r="J1558" i="1" s="1"/>
  <c r="K1557" i="1" a="1"/>
  <c r="K1557" i="1" s="1"/>
  <c r="L1564" i="1" a="1"/>
  <c r="L1564" i="1" s="1"/>
  <c r="J1564" i="1" a="1"/>
  <c r="J1564" i="1" s="1"/>
  <c r="J1557" i="1" a="1"/>
  <c r="J1557" i="1" s="1"/>
  <c r="L1548" i="1" a="1"/>
  <c r="L1548" i="1" s="1"/>
  <c r="L1549" i="1" a="1"/>
  <c r="L1549" i="1" s="1"/>
  <c r="J1549" i="1" a="1"/>
  <c r="J1549" i="1" s="1"/>
  <c r="K1551" i="1" a="1"/>
  <c r="K1551" i="1" s="1"/>
  <c r="J1548" i="1" a="1"/>
  <c r="J1548" i="1" s="1"/>
  <c r="L1551" i="1" a="1"/>
  <c r="L1551" i="1" s="1"/>
  <c r="J1551" i="1" a="1"/>
  <c r="J1551" i="1" s="1"/>
  <c r="K1531" i="1" a="1"/>
  <c r="K1531" i="1" s="1"/>
  <c r="K1548" i="1" a="1"/>
  <c r="K1548" i="1" s="1"/>
  <c r="J1531" i="1" a="1"/>
  <c r="J1531" i="1" s="1"/>
  <c r="K1530" i="1" a="1"/>
  <c r="K1530" i="1" s="1"/>
  <c r="L1530" i="1" a="1"/>
  <c r="L1530" i="1" s="1"/>
  <c r="L1531" i="1" a="1"/>
  <c r="L1531" i="1" s="1"/>
  <c r="J1530" i="1" a="1"/>
  <c r="J1530" i="1" s="1"/>
  <c r="K1549" i="1" a="1"/>
  <c r="K1549" i="1" s="1"/>
  <c r="L1528" i="1" a="1"/>
  <c r="L1528" i="1" s="1"/>
  <c r="K1528" i="1" a="1"/>
  <c r="K1528" i="1" s="1"/>
  <c r="J1528" i="1" a="1"/>
  <c r="J1528" i="1" s="1"/>
  <c r="L1529" i="1" a="1"/>
  <c r="L1529" i="1" s="1"/>
  <c r="K1529" i="1" a="1"/>
  <c r="K1529" i="1" s="1"/>
  <c r="J1529" i="1" a="1"/>
  <c r="J1529" i="1" s="1"/>
  <c r="L1520" i="1" a="1"/>
  <c r="L1520" i="1" s="1"/>
  <c r="K1524" i="1" a="1"/>
  <c r="K1524" i="1" s="1"/>
  <c r="L1527" i="1" a="1"/>
  <c r="L1527" i="1" s="1"/>
  <c r="K1527" i="1" a="1"/>
  <c r="K1527" i="1" s="1"/>
  <c r="J1524" i="1" a="1"/>
  <c r="J1524" i="1" s="1"/>
  <c r="J1527" i="1" a="1"/>
  <c r="J1527" i="1" s="1"/>
  <c r="L1524" i="1" a="1"/>
  <c r="L1524" i="1" s="1"/>
  <c r="K1523" i="1" a="1"/>
  <c r="K1523" i="1" s="1"/>
  <c r="L1525" i="1" a="1"/>
  <c r="L1525" i="1" s="1"/>
  <c r="K1522" i="1" a="1"/>
  <c r="K1522" i="1" s="1"/>
  <c r="J1523" i="1" a="1"/>
  <c r="J1523" i="1" s="1"/>
  <c r="K1525" i="1" a="1"/>
  <c r="K1525" i="1" s="1"/>
  <c r="J1522" i="1" a="1"/>
  <c r="J1522" i="1" s="1"/>
  <c r="K1521" i="1" a="1"/>
  <c r="K1521" i="1" s="1"/>
  <c r="J1521" i="1" a="1"/>
  <c r="J1521" i="1" s="1"/>
  <c r="L1526" i="1" a="1"/>
  <c r="L1526" i="1" s="1"/>
  <c r="K1526" i="1" a="1"/>
  <c r="K1526" i="1" s="1"/>
  <c r="J1526" i="1" a="1"/>
  <c r="J1526" i="1" s="1"/>
  <c r="L1522" i="1" a="1"/>
  <c r="L1522" i="1" s="1"/>
  <c r="L1519" i="1" a="1"/>
  <c r="L1519" i="1" s="1"/>
  <c r="L1521" i="1" a="1"/>
  <c r="L1521" i="1" s="1"/>
  <c r="J1525" i="1" a="1"/>
  <c r="J1525" i="1" s="1"/>
  <c r="J1520" i="1" a="1"/>
  <c r="J1520" i="1" s="1"/>
  <c r="L1523" i="1" a="1"/>
  <c r="L1523" i="1" s="1"/>
  <c r="K1520" i="1" a="1"/>
  <c r="K1520" i="1" s="1"/>
  <c r="K1519" i="1" a="1"/>
  <c r="K1519" i="1" s="1"/>
  <c r="L1515" i="1" a="1"/>
  <c r="L1515" i="1" s="1"/>
  <c r="K1513" i="1" a="1"/>
  <c r="K1513" i="1" s="1"/>
  <c r="K1514" i="1" a="1"/>
  <c r="K1514" i="1" s="1"/>
  <c r="K1517" i="1" a="1"/>
  <c r="K1517" i="1" s="1"/>
  <c r="L1514" i="1" a="1"/>
  <c r="L1514" i="1" s="1"/>
  <c r="J1516" i="1" a="1"/>
  <c r="J1516" i="1" s="1"/>
  <c r="J1515" i="1" a="1"/>
  <c r="J1515" i="1" s="1"/>
  <c r="K1516" i="1" a="1"/>
  <c r="K1516" i="1" s="1"/>
  <c r="J1519" i="1" a="1"/>
  <c r="J1519" i="1" s="1"/>
  <c r="L1517" i="1" a="1"/>
  <c r="L1517" i="1" s="1"/>
  <c r="K1515" i="1" a="1"/>
  <c r="K1515" i="1" s="1"/>
  <c r="J1517" i="1" a="1"/>
  <c r="J1517" i="1" s="1"/>
  <c r="L1516" i="1" a="1"/>
  <c r="L1516" i="1" s="1"/>
  <c r="J1513" i="1" a="1"/>
  <c r="J1513" i="1" s="1"/>
  <c r="J1514" i="1" a="1"/>
  <c r="J1514" i="1" s="1"/>
  <c r="L1513" i="1" a="1"/>
  <c r="L1513" i="1" s="1"/>
  <c r="K1499" i="1" a="1"/>
  <c r="K1499" i="1" s="1"/>
  <c r="K1507" i="1" a="1"/>
  <c r="K1507" i="1" s="1"/>
  <c r="L1504" i="1" a="1"/>
  <c r="L1504" i="1" s="1"/>
  <c r="L1501" i="1" a="1"/>
  <c r="L1501" i="1" s="1"/>
  <c r="K1505" i="1" a="1"/>
  <c r="K1505" i="1" s="1"/>
  <c r="L1506" i="1" a="1"/>
  <c r="L1506" i="1" s="1"/>
  <c r="L1502" i="1" a="1"/>
  <c r="L1502" i="1" s="1"/>
  <c r="K1502" i="1" a="1"/>
  <c r="K1502" i="1" s="1"/>
  <c r="J1501" i="1" a="1"/>
  <c r="J1501" i="1" s="1"/>
  <c r="L1507" i="1" a="1"/>
  <c r="L1507" i="1" s="1"/>
  <c r="J1507" i="1" a="1"/>
  <c r="J1507" i="1" s="1"/>
  <c r="K1506" i="1" a="1"/>
  <c r="K1506" i="1" s="1"/>
  <c r="J1506" i="1" a="1"/>
  <c r="J1506" i="1" s="1"/>
  <c r="L1505" i="1" a="1"/>
  <c r="L1505" i="1" s="1"/>
  <c r="K1501" i="1" a="1"/>
  <c r="K1501" i="1" s="1"/>
  <c r="L1500" i="1" a="1"/>
  <c r="L1500" i="1" s="1"/>
  <c r="L1499" i="1" a="1"/>
  <c r="L1499" i="1" s="1"/>
  <c r="J1505" i="1" a="1"/>
  <c r="J1505" i="1" s="1"/>
  <c r="K1504" i="1" a="1"/>
  <c r="K1504" i="1" s="1"/>
  <c r="J1504" i="1" a="1"/>
  <c r="J1504" i="1" s="1"/>
  <c r="J1500" i="1" a="1"/>
  <c r="J1500" i="1" s="1"/>
  <c r="J1499" i="1" a="1"/>
  <c r="J1499" i="1" s="1"/>
  <c r="J1502" i="1" a="1"/>
  <c r="J1502" i="1" s="1"/>
  <c r="K1500" i="1" a="1"/>
  <c r="K1500" i="1" s="1"/>
  <c r="K1494" i="1" a="1"/>
  <c r="K1494" i="1" s="1"/>
  <c r="L1494" i="1" a="1"/>
  <c r="L1494" i="1" s="1"/>
  <c r="J1492" i="1" a="1"/>
  <c r="J1492" i="1" s="1"/>
  <c r="J1487" i="1" a="1"/>
  <c r="J1487" i="1" s="1"/>
  <c r="J1494" i="1" a="1"/>
  <c r="J1494" i="1" s="1"/>
  <c r="L1492" i="1" a="1"/>
  <c r="L1492" i="1" s="1"/>
  <c r="K1487" i="1" a="1"/>
  <c r="K1487" i="1" s="1"/>
  <c r="L1485" i="1" a="1"/>
  <c r="L1485" i="1" s="1"/>
  <c r="K1485" i="1" a="1"/>
  <c r="K1485" i="1" s="1"/>
  <c r="L1487" i="1" a="1"/>
  <c r="L1487" i="1" s="1"/>
  <c r="K1492" i="1" a="1"/>
  <c r="K1492" i="1" s="1"/>
  <c r="J1485" i="1" a="1"/>
  <c r="J1485" i="1" s="1"/>
  <c r="L1458" i="1" a="1"/>
  <c r="L1458" i="1" s="1"/>
  <c r="K1457" i="1" a="1"/>
  <c r="K1457" i="1" s="1"/>
  <c r="J1458" i="1" a="1"/>
  <c r="J1458" i="1" s="1"/>
  <c r="J1456" i="1" a="1"/>
  <c r="J1456" i="1" s="1"/>
  <c r="K1458" i="1" a="1"/>
  <c r="K1458" i="1" s="1"/>
  <c r="L1457" i="1" a="1"/>
  <c r="L1457" i="1" s="1"/>
  <c r="J1457" i="1" a="1"/>
  <c r="J1457" i="1" s="1"/>
  <c r="K1456" i="1" a="1"/>
  <c r="K1456" i="1" s="1"/>
  <c r="L1456" i="1" a="1"/>
  <c r="L1456" i="1" s="1"/>
  <c r="L1454" i="1" a="1"/>
  <c r="L1454" i="1" s="1"/>
  <c r="K1454" i="1" a="1"/>
  <c r="K1454" i="1" s="1"/>
  <c r="J1454" i="1" a="1"/>
  <c r="J1454" i="1" s="1"/>
  <c r="L1447" i="1" a="1"/>
  <c r="L1447" i="1" s="1"/>
  <c r="J1448" i="1" a="1"/>
  <c r="J1448" i="1" s="1"/>
  <c r="K1447" i="1" a="1"/>
  <c r="K1447" i="1" s="1"/>
  <c r="J1455" i="1" a="1"/>
  <c r="J1455" i="1" s="1"/>
  <c r="J1451" i="1" a="1"/>
  <c r="J1451" i="1" s="1"/>
  <c r="J1447" i="1" a="1"/>
  <c r="J1447" i="1" s="1"/>
  <c r="L1453" i="1" a="1"/>
  <c r="L1453" i="1" s="1"/>
  <c r="K1452" i="1" a="1"/>
  <c r="K1452" i="1" s="1"/>
  <c r="K1449" i="1" a="1"/>
  <c r="K1449" i="1" s="1"/>
  <c r="J1452" i="1" a="1"/>
  <c r="J1452" i="1" s="1"/>
  <c r="L1449" i="1" a="1"/>
  <c r="L1449" i="1" s="1"/>
  <c r="K1451" i="1" a="1"/>
  <c r="K1451" i="1" s="1"/>
  <c r="L1448" i="1" a="1"/>
  <c r="L1448" i="1" s="1"/>
  <c r="K1453" i="1" a="1"/>
  <c r="K1453" i="1" s="1"/>
  <c r="J1453" i="1" a="1"/>
  <c r="J1453" i="1" s="1"/>
  <c r="K1448" i="1" a="1"/>
  <c r="K1448" i="1" s="1"/>
  <c r="L1450" i="1" a="1"/>
  <c r="L1450" i="1" s="1"/>
  <c r="L1451" i="1" a="1"/>
  <c r="L1451" i="1" s="1"/>
  <c r="K1450" i="1" a="1"/>
  <c r="K1450" i="1" s="1"/>
  <c r="J1450" i="1" a="1"/>
  <c r="J1450" i="1" s="1"/>
  <c r="J1449" i="1" a="1"/>
  <c r="J1449" i="1" s="1"/>
  <c r="L1452" i="1" a="1"/>
  <c r="L1452" i="1" s="1"/>
  <c r="L1455" i="1" a="1"/>
  <c r="L1455" i="1" s="1"/>
  <c r="K1455" i="1" a="1"/>
  <c r="K1455" i="1" s="1"/>
  <c r="J1444" i="1" a="1"/>
  <c r="J1444" i="1" s="1"/>
  <c r="L1439" i="1" a="1"/>
  <c r="L1439" i="1" s="1"/>
  <c r="L1445" i="1" a="1"/>
  <c r="L1445" i="1" s="1"/>
  <c r="K1440" i="1" a="1"/>
  <c r="K1440" i="1" s="1"/>
  <c r="K1439" i="1" a="1"/>
  <c r="K1439" i="1" s="1"/>
  <c r="J1440" i="1" a="1"/>
  <c r="J1440" i="1" s="1"/>
  <c r="K1445" i="1" a="1"/>
  <c r="K1445" i="1" s="1"/>
  <c r="L1443" i="1" a="1"/>
  <c r="L1443" i="1" s="1"/>
  <c r="K1443" i="1" a="1"/>
  <c r="K1443" i="1" s="1"/>
  <c r="J1439" i="1" a="1"/>
  <c r="J1439" i="1" s="1"/>
  <c r="K1438" i="1" a="1"/>
  <c r="K1438" i="1" s="1"/>
  <c r="L1437" i="1" a="1"/>
  <c r="L1437" i="1" s="1"/>
  <c r="K1442" i="1" a="1"/>
  <c r="K1442" i="1" s="1"/>
  <c r="J1443" i="1" a="1"/>
  <c r="J1443" i="1" s="1"/>
  <c r="L1441" i="1" a="1"/>
  <c r="L1441" i="1" s="1"/>
  <c r="J1438" i="1" a="1"/>
  <c r="J1438" i="1" s="1"/>
  <c r="J1441" i="1" a="1"/>
  <c r="J1441" i="1" s="1"/>
  <c r="K1444" i="1" a="1"/>
  <c r="K1444" i="1" s="1"/>
  <c r="J1445" i="1" a="1"/>
  <c r="J1445" i="1" s="1"/>
  <c r="L1446" i="1" a="1"/>
  <c r="L1446" i="1" s="1"/>
  <c r="L1444" i="1" a="1"/>
  <c r="L1444" i="1" s="1"/>
  <c r="J1442" i="1" a="1"/>
  <c r="J1442" i="1" s="1"/>
  <c r="K1441" i="1" a="1"/>
  <c r="K1441" i="1" s="1"/>
  <c r="L1438" i="1" a="1"/>
  <c r="L1438" i="1" s="1"/>
  <c r="K1446" i="1" a="1"/>
  <c r="K1446" i="1" s="1"/>
  <c r="J1446" i="1" a="1"/>
  <c r="J1446" i="1" s="1"/>
  <c r="L1440" i="1" a="1"/>
  <c r="L1440" i="1" s="1"/>
  <c r="L1442" i="1" a="1"/>
  <c r="L1442" i="1" s="1"/>
  <c r="L1082" i="1"/>
  <c r="K1082" i="1"/>
  <c r="J1082" i="1"/>
  <c r="L1081" i="1"/>
  <c r="L1107" i="1" s="1"/>
  <c r="K1081" i="1"/>
  <c r="K1107" i="1" s="1"/>
  <c r="J1081" i="1"/>
  <c r="J1107" i="1" s="1"/>
  <c r="L1080" i="1"/>
  <c r="L1106" i="1" s="1"/>
  <c r="K1080" i="1"/>
  <c r="K1106" i="1" s="1"/>
  <c r="J1080" i="1"/>
  <c r="J1106" i="1" s="1"/>
  <c r="L1078" i="1"/>
  <c r="L1104" i="1" s="1"/>
  <c r="K1078" i="1"/>
  <c r="K1104" i="1" s="1"/>
  <c r="J1078" i="1"/>
  <c r="J1104" i="1" s="1"/>
  <c r="L1076" i="1"/>
  <c r="L1102" i="1" s="1"/>
  <c r="K1076" i="1"/>
  <c r="K1102" i="1" s="1"/>
  <c r="J1076" i="1"/>
  <c r="J1102" i="1" s="1"/>
  <c r="L1074" i="1"/>
  <c r="L1100" i="1" s="1"/>
  <c r="K1074" i="1"/>
  <c r="K1100" i="1" s="1"/>
  <c r="J1074" i="1"/>
  <c r="J1100" i="1" s="1"/>
  <c r="L1068" i="1"/>
  <c r="L1094" i="1" s="1"/>
  <c r="K1068" i="1"/>
  <c r="K1094" i="1" s="1"/>
  <c r="J1068" i="1"/>
  <c r="J1094" i="1" s="1"/>
  <c r="L1067" i="1"/>
  <c r="K1067" i="1"/>
  <c r="J1067" i="1"/>
  <c r="L1066" i="1"/>
  <c r="K1066" i="1"/>
  <c r="J1066" i="1"/>
  <c r="L1064" i="1"/>
  <c r="L1090" i="1" s="1"/>
  <c r="K1064" i="1"/>
  <c r="K1090" i="1" s="1"/>
  <c r="J1064" i="1"/>
  <c r="J1090" i="1" s="1"/>
  <c r="L1063" i="1"/>
  <c r="L1089" i="1" s="1"/>
  <c r="K1063" i="1"/>
  <c r="K1089" i="1" s="1"/>
  <c r="J1063" i="1"/>
  <c r="J1089" i="1" s="1"/>
  <c r="L1061" i="1"/>
  <c r="L1087" i="1" s="1"/>
  <c r="K1061" i="1"/>
  <c r="K1087" i="1" s="1"/>
  <c r="J1061" i="1"/>
  <c r="J1087" i="1" s="1"/>
  <c r="L1059" i="1"/>
  <c r="L1085" i="1" s="1"/>
  <c r="K1059" i="1"/>
  <c r="K1085" i="1" s="1"/>
  <c r="J1059" i="1"/>
  <c r="J1085" i="1" s="1"/>
  <c r="L1058" i="1"/>
  <c r="L1084" i="1" s="1"/>
  <c r="K1058" i="1"/>
  <c r="K1084" i="1" s="1"/>
  <c r="J1058" i="1"/>
  <c r="J1084" i="1" s="1"/>
  <c r="L1056" i="1"/>
  <c r="K1056" i="1"/>
  <c r="J1056" i="1"/>
  <c r="L1055" i="1"/>
  <c r="K1055" i="1"/>
  <c r="J1055" i="1"/>
  <c r="L1048" i="1"/>
  <c r="K1048" i="1"/>
  <c r="J1048" i="1"/>
  <c r="L1042" i="1"/>
  <c r="K1042" i="1"/>
  <c r="J1042" i="1"/>
  <c r="L1035" i="1"/>
  <c r="K1035" i="1"/>
  <c r="J1035" i="1"/>
  <c r="L1030" i="1"/>
  <c r="K1030" i="1"/>
  <c r="J1030" i="1"/>
  <c r="L1015" i="1"/>
  <c r="K1015" i="1"/>
  <c r="J1015" i="1"/>
  <c r="L996" i="1"/>
  <c r="K996" i="1"/>
  <c r="J996" i="1"/>
  <c r="L995" i="1"/>
  <c r="K995" i="1"/>
  <c r="J995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3" i="1"/>
  <c r="K973" i="1"/>
  <c r="J973" i="1"/>
  <c r="L972" i="1"/>
  <c r="K972" i="1"/>
  <c r="J972" i="1"/>
  <c r="L953" i="1"/>
  <c r="K953" i="1"/>
  <c r="J953" i="1"/>
  <c r="L952" i="1"/>
  <c r="K952" i="1"/>
  <c r="J952" i="1"/>
  <c r="L950" i="1"/>
  <c r="K950" i="1"/>
  <c r="J950" i="1"/>
  <c r="L948" i="1"/>
  <c r="K948" i="1"/>
  <c r="J948" i="1"/>
  <c r="L946" i="1"/>
  <c r="K946" i="1"/>
  <c r="J946" i="1"/>
  <c r="L944" i="1"/>
  <c r="K944" i="1"/>
  <c r="J944" i="1"/>
  <c r="L938" i="1"/>
  <c r="K938" i="1"/>
  <c r="J938" i="1"/>
  <c r="L936" i="1"/>
  <c r="K936" i="1"/>
  <c r="J936" i="1"/>
  <c r="L935" i="1"/>
  <c r="K935" i="1"/>
  <c r="J935" i="1"/>
  <c r="L934" i="1"/>
  <c r="K934" i="1"/>
  <c r="J934" i="1"/>
  <c r="L932" i="1"/>
  <c r="K932" i="1"/>
  <c r="J932" i="1"/>
  <c r="L930" i="1"/>
  <c r="K930" i="1"/>
  <c r="J930" i="1"/>
  <c r="L929" i="1"/>
  <c r="K929" i="1"/>
  <c r="J929" i="1"/>
  <c r="L926" i="1"/>
  <c r="K926" i="1"/>
  <c r="J926" i="1"/>
  <c r="L922" i="1"/>
  <c r="K922" i="1"/>
  <c r="J922" i="1"/>
  <c r="L919" i="1"/>
  <c r="K919" i="1"/>
  <c r="J919" i="1"/>
  <c r="L918" i="1"/>
  <c r="K918" i="1"/>
  <c r="J918" i="1"/>
  <c r="L906" i="1"/>
  <c r="K906" i="1"/>
  <c r="J906" i="1"/>
  <c r="L905" i="1"/>
  <c r="K905" i="1"/>
  <c r="J905" i="1"/>
  <c r="L904" i="1"/>
  <c r="L901" i="1" s="1"/>
  <c r="K904" i="1"/>
  <c r="K901" i="1" s="1"/>
  <c r="J904" i="1"/>
  <c r="J901" i="1" s="1"/>
  <c r="L898" i="1"/>
  <c r="K898" i="1"/>
  <c r="J898" i="1"/>
  <c r="L897" i="1"/>
  <c r="K897" i="1"/>
  <c r="J897" i="1"/>
  <c r="L895" i="1"/>
  <c r="K895" i="1"/>
  <c r="J895" i="1"/>
  <c r="L893" i="1"/>
  <c r="K893" i="1"/>
  <c r="J893" i="1"/>
  <c r="L890" i="1"/>
  <c r="K890" i="1"/>
  <c r="J890" i="1"/>
  <c r="L886" i="1"/>
  <c r="K886" i="1"/>
  <c r="J886" i="1"/>
  <c r="L883" i="1"/>
  <c r="K883" i="1"/>
  <c r="J883" i="1"/>
  <c r="L975" i="1" a="1"/>
  <c r="L975" i="1" s="1"/>
  <c r="K975" i="1" a="1"/>
  <c r="K975" i="1" s="1"/>
  <c r="J979" i="1" a="1"/>
  <c r="J979" i="1" s="1"/>
  <c r="J1053" i="1" s="1" a="1"/>
  <c r="J1053" i="1" s="1"/>
  <c r="K978" i="1" a="1"/>
  <c r="K978" i="1" s="1"/>
  <c r="J978" i="1" a="1"/>
  <c r="J978" i="1" s="1"/>
  <c r="K976" i="1" a="1"/>
  <c r="K976" i="1" s="1"/>
  <c r="J976" i="1" a="1"/>
  <c r="J976" i="1" s="1"/>
  <c r="L976" i="1" a="1"/>
  <c r="L976" i="1" s="1"/>
  <c r="L979" i="1" a="1"/>
  <c r="L979" i="1" s="1"/>
  <c r="L1053" i="1" s="1" a="1"/>
  <c r="L1053" i="1" s="1"/>
  <c r="K979" i="1" a="1"/>
  <c r="K979" i="1" s="1"/>
  <c r="K1053" i="1" s="1" a="1"/>
  <c r="K1053" i="1" s="1"/>
  <c r="L978" i="1" a="1"/>
  <c r="L978" i="1" s="1"/>
  <c r="J975" i="1" a="1"/>
  <c r="J975" i="1" s="1"/>
  <c r="L928" i="1" a="1"/>
  <c r="L928" i="1" s="1"/>
  <c r="K928" i="1" a="1"/>
  <c r="K928" i="1" s="1"/>
  <c r="J928" i="1" a="1"/>
  <c r="J928" i="1" s="1"/>
  <c r="K914" i="1" a="1"/>
  <c r="K914" i="1" s="1"/>
  <c r="K896" i="1" a="1"/>
  <c r="K896" i="1" s="1"/>
  <c r="L914" i="1" a="1"/>
  <c r="L914" i="1" s="1"/>
  <c r="J914" i="1" a="1"/>
  <c r="J914" i="1" s="1"/>
  <c r="L896" i="1" a="1"/>
  <c r="L896" i="1" s="1"/>
  <c r="K885" i="1" a="1"/>
  <c r="K885" i="1" s="1"/>
  <c r="L885" i="1" a="1"/>
  <c r="L885" i="1" s="1"/>
  <c r="J885" i="1" a="1"/>
  <c r="J885" i="1" s="1"/>
  <c r="L916" i="1" a="1"/>
  <c r="L916" i="1" s="1"/>
  <c r="K916" i="1" a="1"/>
  <c r="K916" i="1" s="1"/>
  <c r="J896" i="1" a="1"/>
  <c r="J896" i="1" s="1"/>
  <c r="J925" i="1" s="1"/>
  <c r="J924" i="1" s="1"/>
  <c r="J916" i="1" a="1"/>
  <c r="J916" i="1" s="1"/>
  <c r="L884" i="1" a="1"/>
  <c r="L884" i="1" s="1"/>
  <c r="K884" i="1" a="1"/>
  <c r="K884" i="1" s="1"/>
  <c r="J884" i="1" a="1"/>
  <c r="J884" i="1" s="1"/>
  <c r="K802" i="1" a="1"/>
  <c r="K802" i="1" s="1"/>
  <c r="J802" i="1" a="1"/>
  <c r="J802" i="1" s="1"/>
  <c r="L806" i="1" a="1"/>
  <c r="L806" i="1" s="1"/>
  <c r="L804" i="1" a="1"/>
  <c r="L804" i="1" s="1"/>
  <c r="J806" i="1" a="1"/>
  <c r="J806" i="1" s="1"/>
  <c r="K806" i="1" a="1"/>
  <c r="K806" i="1" s="1"/>
  <c r="J804" i="1" a="1"/>
  <c r="J804" i="1" s="1"/>
  <c r="K804" i="1" a="1"/>
  <c r="K804" i="1" s="1"/>
  <c r="L802" i="1" a="1"/>
  <c r="L802" i="1" s="1"/>
  <c r="L780" i="1" a="1"/>
  <c r="L780" i="1" s="1"/>
  <c r="K766" i="1" a="1"/>
  <c r="K766" i="1" s="1"/>
  <c r="K816" i="1" s="1" a="1"/>
  <c r="K816" i="1" s="1"/>
  <c r="K780" i="1" a="1"/>
  <c r="K780" i="1" s="1"/>
  <c r="J780" i="1" a="1"/>
  <c r="J780" i="1" s="1"/>
  <c r="J766" i="1" a="1"/>
  <c r="J766" i="1" s="1"/>
  <c r="J816" i="1" s="1" a="1"/>
  <c r="J816" i="1" s="1"/>
  <c r="L766" i="1" a="1"/>
  <c r="L766" i="1" s="1"/>
  <c r="L816" i="1" s="1" a="1"/>
  <c r="L816" i="1" s="1"/>
  <c r="L999" i="1" a="1"/>
  <c r="L999" i="1" s="1"/>
  <c r="L1051" i="1" s="1" a="1"/>
  <c r="L1051" i="1" s="1"/>
  <c r="J998" i="1" a="1"/>
  <c r="J998" i="1" s="1"/>
  <c r="K999" i="1" a="1"/>
  <c r="K999" i="1" s="1"/>
  <c r="K1051" i="1" s="1" a="1"/>
  <c r="K1051" i="1" s="1"/>
  <c r="J999" i="1" a="1"/>
  <c r="J999" i="1" s="1"/>
  <c r="J1051" i="1" s="1" a="1"/>
  <c r="J1051" i="1" s="1"/>
  <c r="J985" i="1" a="1"/>
  <c r="J985" i="1" s="1"/>
  <c r="L998" i="1" a="1"/>
  <c r="L998" i="1" s="1"/>
  <c r="K998" i="1" a="1"/>
  <c r="K998" i="1" s="1"/>
  <c r="K991" i="1" a="1"/>
  <c r="K991" i="1" s="1"/>
  <c r="L985" i="1" a="1"/>
  <c r="L985" i="1" s="1"/>
  <c r="J991" i="1" a="1"/>
  <c r="J991" i="1" s="1"/>
  <c r="K985" i="1" a="1"/>
  <c r="K985" i="1" s="1"/>
  <c r="L991" i="1" a="1"/>
  <c r="L991" i="1" s="1"/>
  <c r="L1041" i="1" a="1"/>
  <c r="L1041" i="1" s="1"/>
  <c r="J1039" i="1" a="1"/>
  <c r="J1039" i="1" s="1"/>
  <c r="K1041" i="1" a="1"/>
  <c r="K1041" i="1" s="1"/>
  <c r="K1039" i="1" a="1"/>
  <c r="K1039" i="1" s="1"/>
  <c r="K1032" i="1" a="1"/>
  <c r="K1032" i="1" s="1"/>
  <c r="L1039" i="1" a="1"/>
  <c r="L1039" i="1" s="1"/>
  <c r="J1032" i="1" a="1"/>
  <c r="J1032" i="1" s="1"/>
  <c r="L1032" i="1" a="1"/>
  <c r="L1032" i="1" s="1"/>
  <c r="J1041" i="1" a="1"/>
  <c r="J1041" i="1" s="1"/>
  <c r="K1027" i="1" a="1"/>
  <c r="K1027" i="1" s="1"/>
  <c r="J1029" i="1" a="1"/>
  <c r="J1029" i="1" s="1"/>
  <c r="K1024" i="1" a="1"/>
  <c r="K1024" i="1" s="1"/>
  <c r="L1024" i="1" a="1"/>
  <c r="L1024" i="1" s="1"/>
  <c r="L1008" i="1" a="1"/>
  <c r="L1008" i="1" s="1"/>
  <c r="L1054" i="1" s="1" a="1"/>
  <c r="L1054" i="1" s="1"/>
  <c r="J1024" i="1" a="1"/>
  <c r="J1024" i="1" s="1"/>
  <c r="K1008" i="1" a="1"/>
  <c r="K1008" i="1" s="1"/>
  <c r="K1054" i="1" s="1" a="1"/>
  <c r="K1054" i="1" s="1"/>
  <c r="L1027" i="1" a="1"/>
  <c r="L1027" i="1" s="1"/>
  <c r="J1027" i="1" a="1"/>
  <c r="J1027" i="1" s="1"/>
  <c r="J1008" i="1" a="1"/>
  <c r="J1008" i="1" s="1"/>
  <c r="J1054" i="1" s="1" a="1"/>
  <c r="J1054" i="1" s="1"/>
  <c r="L1029" i="1" a="1"/>
  <c r="L1029" i="1" s="1"/>
  <c r="K1029" i="1" a="1"/>
  <c r="K1029" i="1" s="1"/>
  <c r="J2310" i="1" a="1"/>
  <c r="J2310" i="1" s="1"/>
  <c r="K2310" i="1" a="1"/>
  <c r="K2310" i="1" s="1"/>
  <c r="J2306" i="1" a="1"/>
  <c r="J2306" i="1" s="1"/>
  <c r="K2303" i="1" a="1"/>
  <c r="K2303" i="1" s="1"/>
  <c r="J2312" i="1" a="1"/>
  <c r="J2312" i="1" s="1"/>
  <c r="K2308" i="1" a="1"/>
  <c r="K2308" i="1" s="1"/>
  <c r="J2302" i="1" a="1"/>
  <c r="J2302" i="1" s="1"/>
  <c r="L2306" i="1" a="1"/>
  <c r="L2306" i="1" s="1"/>
  <c r="J2303" i="1" a="1"/>
  <c r="J2303" i="1" s="1"/>
  <c r="J2304" i="1" a="1"/>
  <c r="J2304" i="1" s="1"/>
  <c r="L2312" i="1" a="1"/>
  <c r="L2312" i="1" s="1"/>
  <c r="L2302" i="1" a="1"/>
  <c r="L2302" i="1" s="1"/>
  <c r="K2312" i="1" a="1"/>
  <c r="K2312" i="1" s="1"/>
  <c r="L2303" i="1" a="1"/>
  <c r="L2303" i="1" s="1"/>
  <c r="K2304" i="1" a="1"/>
  <c r="K2304" i="1" s="1"/>
  <c r="L2310" i="1" a="1"/>
  <c r="L2310" i="1" s="1"/>
  <c r="K2306" i="1" a="1"/>
  <c r="K2306" i="1" s="1"/>
  <c r="L2308" i="1" a="1"/>
  <c r="L2308" i="1" s="1"/>
  <c r="J2308" i="1" a="1"/>
  <c r="J2308" i="1" s="1"/>
  <c r="K2302" i="1" a="1"/>
  <c r="K2302" i="1" s="1"/>
  <c r="L2304" i="1" a="1"/>
  <c r="L2304" i="1" s="1"/>
  <c r="L2298" i="1" a="1"/>
  <c r="L2298" i="1" s="1"/>
  <c r="J2294" i="1" a="1"/>
  <c r="J2294" i="1" s="1"/>
  <c r="K2292" i="1" a="1"/>
  <c r="K2292" i="1" s="1"/>
  <c r="L2288" i="1" a="1"/>
  <c r="L2288" i="1" s="1"/>
  <c r="K2298" i="1" a="1"/>
  <c r="K2298" i="1" s="1"/>
  <c r="L2297" i="1" a="1"/>
  <c r="L2297" i="1" s="1"/>
  <c r="L2292" i="1" a="1"/>
  <c r="L2292" i="1" s="1"/>
  <c r="L2300" i="1" a="1"/>
  <c r="L2300" i="1" s="1"/>
  <c r="K2300" i="1" a="1"/>
  <c r="K2300" i="1" s="1"/>
  <c r="J2298" i="1" a="1"/>
  <c r="J2298" i="1" s="1"/>
  <c r="J2297" i="1" a="1"/>
  <c r="J2297" i="1" s="1"/>
  <c r="K2297" i="1" a="1"/>
  <c r="K2297" i="1" s="1"/>
  <c r="J2288" i="1" a="1"/>
  <c r="J2288" i="1" s="1"/>
  <c r="L2290" i="1" a="1"/>
  <c r="L2290" i="1" s="1"/>
  <c r="J2292" i="1" a="1"/>
  <c r="J2292" i="1" s="1"/>
  <c r="K2290" i="1" a="1"/>
  <c r="K2290" i="1" s="1"/>
  <c r="K2288" i="1" a="1"/>
  <c r="K2288" i="1" s="1"/>
  <c r="J2290" i="1" a="1"/>
  <c r="J2290" i="1" s="1"/>
  <c r="K2294" i="1" a="1"/>
  <c r="K2294" i="1" s="1"/>
  <c r="L2294" i="1" a="1"/>
  <c r="L2294" i="1" s="1"/>
  <c r="J2300" i="1" a="1"/>
  <c r="J2300" i="1" s="1"/>
  <c r="J2277" i="1" a="1"/>
  <c r="J2277" i="1" s="1"/>
  <c r="L2281" i="1" a="1"/>
  <c r="L2281" i="1" s="1"/>
  <c r="J2280" i="1" a="1"/>
  <c r="J2280" i="1" s="1"/>
  <c r="L2278" i="1" a="1"/>
  <c r="L2278" i="1" s="1"/>
  <c r="K2284" i="1" a="1"/>
  <c r="K2284" i="1" s="1"/>
  <c r="K2281" i="1" a="1"/>
  <c r="K2281" i="1" s="1"/>
  <c r="J2281" i="1" a="1"/>
  <c r="J2281" i="1" s="1"/>
  <c r="L2280" i="1" a="1"/>
  <c r="L2280" i="1" s="1"/>
  <c r="L2277" i="1" a="1"/>
  <c r="L2277" i="1" s="1"/>
  <c r="L2284" i="1" a="1"/>
  <c r="L2284" i="1" s="1"/>
  <c r="J2282" i="1" a="1"/>
  <c r="J2282" i="1" s="1"/>
  <c r="K2277" i="1" a="1"/>
  <c r="K2277" i="1" s="1"/>
  <c r="J2275" i="1" a="1"/>
  <c r="J2275" i="1" s="1"/>
  <c r="L2286" i="1" a="1"/>
  <c r="L2286" i="1" s="1"/>
  <c r="K2286" i="1" a="1"/>
  <c r="K2286" i="1" s="1"/>
  <c r="J2286" i="1" a="1"/>
  <c r="J2286" i="1" s="1"/>
  <c r="K2275" i="1" a="1"/>
  <c r="K2275" i="1" s="1"/>
  <c r="J2284" i="1" a="1"/>
  <c r="J2284" i="1" s="1"/>
  <c r="L2275" i="1" a="1"/>
  <c r="L2275" i="1" s="1"/>
  <c r="L2282" i="1" a="1"/>
  <c r="L2282" i="1" s="1"/>
  <c r="K2278" i="1" a="1"/>
  <c r="K2278" i="1" s="1"/>
  <c r="K2280" i="1" a="1"/>
  <c r="K2280" i="1" s="1"/>
  <c r="K2282" i="1" a="1"/>
  <c r="K2282" i="1" s="1"/>
  <c r="J2278" i="1" a="1"/>
  <c r="J2278" i="1" s="1"/>
  <c r="J2274" i="1" a="1"/>
  <c r="J2274" i="1" s="1"/>
  <c r="L2271" i="1" a="1"/>
  <c r="L2271" i="1" s="1"/>
  <c r="L2274" i="1" a="1"/>
  <c r="L2274" i="1" s="1"/>
  <c r="K2269" i="1" a="1"/>
  <c r="K2269" i="1" s="1"/>
  <c r="K2274" i="1" a="1"/>
  <c r="K2274" i="1" s="1"/>
  <c r="K2261" i="1" a="1"/>
  <c r="K2261" i="1" s="1"/>
  <c r="J2263" i="1" a="1"/>
  <c r="J2263" i="1" s="1"/>
  <c r="K2271" i="1" a="1"/>
  <c r="K2271" i="1" s="1"/>
  <c r="L2265" i="1" a="1"/>
  <c r="L2265" i="1" s="1"/>
  <c r="L2261" i="1" a="1"/>
  <c r="L2261" i="1" s="1"/>
  <c r="J2265" i="1" a="1"/>
  <c r="J2265" i="1" s="1"/>
  <c r="J2269" i="1" a="1"/>
  <c r="J2269" i="1" s="1"/>
  <c r="K2267" i="1" a="1"/>
  <c r="K2267" i="1" s="1"/>
  <c r="L2263" i="1" a="1"/>
  <c r="L2263" i="1" s="1"/>
  <c r="J2271" i="1" a="1"/>
  <c r="J2271" i="1" s="1"/>
  <c r="J2261" i="1" a="1"/>
  <c r="J2261" i="1" s="1"/>
  <c r="L2267" i="1" a="1"/>
  <c r="L2267" i="1" s="1"/>
  <c r="K2263" i="1" a="1"/>
  <c r="K2263" i="1" s="1"/>
  <c r="L2269" i="1" a="1"/>
  <c r="L2269" i="1" s="1"/>
  <c r="J2267" i="1" a="1"/>
  <c r="J2267" i="1" s="1"/>
  <c r="K2265" i="1" a="1"/>
  <c r="K2265" i="1" s="1"/>
  <c r="K2252" i="1" a="1"/>
  <c r="K2252" i="1" s="1"/>
  <c r="K2260" i="1" a="1"/>
  <c r="K2260" i="1" s="1"/>
  <c r="J2260" i="1" a="1"/>
  <c r="J2260" i="1" s="1"/>
  <c r="K2258" i="1" a="1"/>
  <c r="K2258" i="1" s="1"/>
  <c r="J2246" i="1" a="1"/>
  <c r="J2246" i="1" s="1"/>
  <c r="K2256" i="1" a="1"/>
  <c r="K2256" i="1" s="1"/>
  <c r="J2256" i="1" a="1"/>
  <c r="J2256" i="1" s="1"/>
  <c r="J2255" i="1" a="1"/>
  <c r="J2255" i="1" s="1"/>
  <c r="J2258" i="1" a="1"/>
  <c r="J2258" i="1" s="1"/>
  <c r="L2256" i="1" a="1"/>
  <c r="L2256" i="1" s="1"/>
  <c r="L2246" i="1" a="1"/>
  <c r="L2246" i="1" s="1"/>
  <c r="J2252" i="1" a="1"/>
  <c r="J2252" i="1" s="1"/>
  <c r="L2248" i="1" a="1"/>
  <c r="L2248" i="1" s="1"/>
  <c r="L2255" i="1" a="1"/>
  <c r="L2255" i="1" s="1"/>
  <c r="K2250" i="1" a="1"/>
  <c r="K2250" i="1" s="1"/>
  <c r="L2250" i="1" a="1"/>
  <c r="L2250" i="1" s="1"/>
  <c r="K2255" i="1" a="1"/>
  <c r="K2255" i="1" s="1"/>
  <c r="L2252" i="1" a="1"/>
  <c r="L2252" i="1" s="1"/>
  <c r="K2246" i="1" a="1"/>
  <c r="K2246" i="1" s="1"/>
  <c r="J2248" i="1" a="1"/>
  <c r="J2248" i="1" s="1"/>
  <c r="J2250" i="1" a="1"/>
  <c r="J2250" i="1" s="1"/>
  <c r="K2248" i="1" a="1"/>
  <c r="K2248" i="1" s="1"/>
  <c r="L2260" i="1" a="1"/>
  <c r="L2260" i="1" s="1"/>
  <c r="L2258" i="1" a="1"/>
  <c r="L2258" i="1" s="1"/>
  <c r="K1902" i="1" a="1"/>
  <c r="K1902" i="1" s="1"/>
  <c r="L1900" i="1" a="1"/>
  <c r="L1900" i="1" s="1"/>
  <c r="J1900" i="1" a="1"/>
  <c r="J1900" i="1" s="1"/>
  <c r="L1902" i="1" a="1"/>
  <c r="L1902" i="1" s="1"/>
  <c r="J1902" i="1" a="1"/>
  <c r="J1902" i="1" s="1"/>
  <c r="K1900" i="1" a="1"/>
  <c r="K1900" i="1" s="1"/>
  <c r="K1896" i="1" a="1"/>
  <c r="K1896" i="1" s="1"/>
  <c r="L1890" i="1" a="1"/>
  <c r="L1890" i="1" s="1"/>
  <c r="J1892" i="1" a="1"/>
  <c r="J1892" i="1" s="1"/>
  <c r="K1898" i="1" a="1"/>
  <c r="K1898" i="1" s="1"/>
  <c r="J1898" i="1" a="1"/>
  <c r="J1898" i="1" s="1"/>
  <c r="L1894" i="1" a="1"/>
  <c r="L1894" i="1" s="1"/>
  <c r="J1894" i="1" a="1"/>
  <c r="J1894" i="1" s="1"/>
  <c r="K1890" i="1" a="1"/>
  <c r="K1890" i="1" s="1"/>
  <c r="L1893" i="1" a="1"/>
  <c r="L1893" i="1" s="1"/>
  <c r="L1892" i="1" a="1"/>
  <c r="L1892" i="1" s="1"/>
  <c r="K1892" i="1" a="1"/>
  <c r="K1892" i="1" s="1"/>
  <c r="L1898" i="1" a="1"/>
  <c r="L1898" i="1" s="1"/>
  <c r="J1896" i="1" a="1"/>
  <c r="J1896" i="1" s="1"/>
  <c r="J1893" i="1" a="1"/>
  <c r="J1893" i="1" s="1"/>
  <c r="J1890" i="1" a="1"/>
  <c r="J1890" i="1" s="1"/>
  <c r="K1894" i="1" a="1"/>
  <c r="K1894" i="1" s="1"/>
  <c r="L1896" i="1" a="1"/>
  <c r="L1896" i="1" s="1"/>
  <c r="K1893" i="1" a="1"/>
  <c r="K1893" i="1" s="1"/>
  <c r="K2244" i="1" a="1"/>
  <c r="K2244" i="1" s="1"/>
  <c r="J2241" i="1" a="1"/>
  <c r="J2241" i="1" s="1"/>
  <c r="L2239" i="1" a="1"/>
  <c r="L2239" i="1" s="1"/>
  <c r="J2237" i="1" a="1"/>
  <c r="J2237" i="1" s="1"/>
  <c r="L2236" i="1" a="1"/>
  <c r="L2236" i="1" s="1"/>
  <c r="L2241" i="1" a="1"/>
  <c r="L2241" i="1" s="1"/>
  <c r="K2237" i="1" a="1"/>
  <c r="K2237" i="1" s="1"/>
  <c r="J2242" i="1" a="1"/>
  <c r="J2242" i="1" s="1"/>
  <c r="L2244" i="1" a="1"/>
  <c r="L2244" i="1" s="1"/>
  <c r="J2244" i="1" a="1"/>
  <c r="J2244" i="1" s="1"/>
  <c r="L2242" i="1" a="1"/>
  <c r="L2242" i="1" s="1"/>
  <c r="K2242" i="1" a="1"/>
  <c r="K2242" i="1" s="1"/>
  <c r="K2241" i="1" a="1"/>
  <c r="K2241" i="1" s="1"/>
  <c r="K2239" i="1" a="1"/>
  <c r="K2239" i="1" s="1"/>
  <c r="L2237" i="1" a="1"/>
  <c r="L2237" i="1" s="1"/>
  <c r="J2239" i="1" a="1"/>
  <c r="J2239" i="1" s="1"/>
  <c r="K2236" i="1" a="1"/>
  <c r="K2236" i="1" s="1"/>
  <c r="J2236" i="1" a="1"/>
  <c r="J2236" i="1" s="1"/>
  <c r="L1888" i="1" a="1"/>
  <c r="L1888" i="1" s="1"/>
  <c r="K1888" i="1" a="1"/>
  <c r="K1888" i="1" s="1"/>
  <c r="J1888" i="1" a="1"/>
  <c r="J1888" i="1" s="1"/>
  <c r="J1878" i="1" a="1"/>
  <c r="J1878" i="1" s="1"/>
  <c r="L1880" i="1" a="1"/>
  <c r="L1880" i="1" s="1"/>
  <c r="L1887" i="1" a="1"/>
  <c r="L1887" i="1" s="1"/>
  <c r="K1887" i="1" a="1"/>
  <c r="K1887" i="1" s="1"/>
  <c r="J1887" i="1" a="1"/>
  <c r="J1887" i="1" s="1"/>
  <c r="J1882" i="1" a="1"/>
  <c r="J1882" i="1" s="1"/>
  <c r="K1884" i="1" a="1"/>
  <c r="K1884" i="1" s="1"/>
  <c r="K1882" i="1" a="1"/>
  <c r="K1882" i="1" s="1"/>
  <c r="K1876" i="1" a="1"/>
  <c r="K1876" i="1" s="1"/>
  <c r="L1876" i="1" a="1"/>
  <c r="L1876" i="1" s="1"/>
  <c r="K1880" i="1" a="1"/>
  <c r="K1880" i="1" s="1"/>
  <c r="J1884" i="1" a="1"/>
  <c r="J1884" i="1" s="1"/>
  <c r="L1874" i="1" a="1"/>
  <c r="L1874" i="1" s="1"/>
  <c r="J1880" i="1" a="1"/>
  <c r="J1880" i="1" s="1"/>
  <c r="K1878" i="1" a="1"/>
  <c r="K1878" i="1" s="1"/>
  <c r="L1882" i="1" a="1"/>
  <c r="L1882" i="1" s="1"/>
  <c r="K1874" i="1" a="1"/>
  <c r="K1874" i="1" s="1"/>
  <c r="L1884" i="1" a="1"/>
  <c r="L1884" i="1" s="1"/>
  <c r="J1876" i="1" a="1"/>
  <c r="J1876" i="1" s="1"/>
  <c r="L1878" i="1" a="1"/>
  <c r="L1878" i="1" s="1"/>
  <c r="K1870" i="1" a="1"/>
  <c r="K1870" i="1" s="1"/>
  <c r="L1868" i="1" a="1"/>
  <c r="L1868" i="1" s="1"/>
  <c r="L1872" i="1" a="1"/>
  <c r="L1872" i="1" s="1"/>
  <c r="J1871" i="1" a="1"/>
  <c r="J1871" i="1" s="1"/>
  <c r="L1867" i="1" a="1"/>
  <c r="L1867" i="1" s="1"/>
  <c r="J1874" i="1" a="1"/>
  <c r="J1874" i="1" s="1"/>
  <c r="J1870" i="1" a="1"/>
  <c r="J1870" i="1" s="1"/>
  <c r="J1868" i="1" a="1"/>
  <c r="J1868" i="1" s="1"/>
  <c r="J1872" i="1" a="1"/>
  <c r="J1872" i="1" s="1"/>
  <c r="K1872" i="1" a="1"/>
  <c r="K1872" i="1" s="1"/>
  <c r="K1871" i="1" a="1"/>
  <c r="K1871" i="1" s="1"/>
  <c r="K1867" i="1" a="1"/>
  <c r="K1867" i="1" s="1"/>
  <c r="K1868" i="1" a="1"/>
  <c r="K1868" i="1" s="1"/>
  <c r="J1867" i="1" a="1"/>
  <c r="J1867" i="1" s="1"/>
  <c r="L1871" i="1" a="1"/>
  <c r="L1871" i="1" s="1"/>
  <c r="L1870" i="1" a="1"/>
  <c r="L1870" i="1" s="1"/>
  <c r="K1861" i="1" a="1"/>
  <c r="K1861" i="1" s="1"/>
  <c r="L1864" i="1" a="1"/>
  <c r="L1864" i="1" s="1"/>
  <c r="K1859" i="1" a="1"/>
  <c r="K1859" i="1" s="1"/>
  <c r="J1857" i="1" a="1"/>
  <c r="J1857" i="1" s="1"/>
  <c r="L1857" i="1" a="1"/>
  <c r="L1857" i="1" s="1"/>
  <c r="J1861" i="1" a="1"/>
  <c r="J1861" i="1" s="1"/>
  <c r="J1865" i="1" a="1"/>
  <c r="J1865" i="1" s="1"/>
  <c r="J1859" i="1" a="1"/>
  <c r="J1859" i="1" s="1"/>
  <c r="K1857" i="1" a="1"/>
  <c r="K1857" i="1" s="1"/>
  <c r="L1865" i="1" a="1"/>
  <c r="L1865" i="1" s="1"/>
  <c r="K1864" i="1" a="1"/>
  <c r="K1864" i="1" s="1"/>
  <c r="K1865" i="1" a="1"/>
  <c r="K1865" i="1" s="1"/>
  <c r="L1859" i="1" a="1"/>
  <c r="L1859" i="1" s="1"/>
  <c r="J1864" i="1" a="1"/>
  <c r="J1864" i="1" s="1"/>
  <c r="L1861" i="1" a="1"/>
  <c r="L1861" i="1" s="1"/>
  <c r="L1851" i="1" a="1"/>
  <c r="L1851" i="1" s="1"/>
  <c r="J1853" i="1" a="1"/>
  <c r="J1853" i="1" s="1"/>
  <c r="J1851" i="1" a="1"/>
  <c r="J1851" i="1" s="1"/>
  <c r="L1853" i="1" a="1"/>
  <c r="L1853" i="1" s="1"/>
  <c r="K1851" i="1" a="1"/>
  <c r="K1851" i="1" s="1"/>
  <c r="K1848" i="1" a="1"/>
  <c r="K1848" i="1" s="1"/>
  <c r="K1850" i="1" a="1"/>
  <c r="K1850" i="1" s="1"/>
  <c r="L1850" i="1" a="1"/>
  <c r="L1850" i="1" s="1"/>
  <c r="L1848" i="1" a="1"/>
  <c r="L1848" i="1" s="1"/>
  <c r="J1848" i="1" a="1"/>
  <c r="J1848" i="1" s="1"/>
  <c r="K1853" i="1" a="1"/>
  <c r="K1853" i="1" s="1"/>
  <c r="L1855" i="1" a="1"/>
  <c r="L1855" i="1" s="1"/>
  <c r="J1850" i="1" a="1"/>
  <c r="J1850" i="1" s="1"/>
  <c r="K1855" i="1" a="1"/>
  <c r="K1855" i="1" s="1"/>
  <c r="J1855" i="1" a="1"/>
  <c r="J1855" i="1" s="1"/>
  <c r="J1845" i="1" a="1"/>
  <c r="J1845" i="1" s="1"/>
  <c r="L1842" i="1" a="1"/>
  <c r="L1842" i="1" s="1"/>
  <c r="K1845" i="1" a="1"/>
  <c r="K1845" i="1" s="1"/>
  <c r="J1840" i="1" a="1"/>
  <c r="J1840" i="1" s="1"/>
  <c r="L1846" i="1" a="1"/>
  <c r="L1846" i="1" s="1"/>
  <c r="K1842" i="1" a="1"/>
  <c r="K1842" i="1" s="1"/>
  <c r="L1840" i="1" a="1"/>
  <c r="L1840" i="1" s="1"/>
  <c r="K1840" i="1" a="1"/>
  <c r="K1840" i="1" s="1"/>
  <c r="K1846" i="1" a="1"/>
  <c r="K1846" i="1" s="1"/>
  <c r="J1846" i="1" a="1"/>
  <c r="J1846" i="1" s="1"/>
  <c r="L1845" i="1" a="1"/>
  <c r="L1845" i="1" s="1"/>
  <c r="J1842" i="1" a="1"/>
  <c r="J1842" i="1" s="1"/>
  <c r="K1832" i="1" a="1"/>
  <c r="K1832" i="1" s="1"/>
  <c r="J1836" i="1" a="1"/>
  <c r="J1836" i="1" s="1"/>
  <c r="L1838" i="1" a="1"/>
  <c r="L1838" i="1" s="1"/>
  <c r="K1838" i="1" a="1"/>
  <c r="K1838" i="1" s="1"/>
  <c r="J1838" i="1" a="1"/>
  <c r="J1838" i="1" s="1"/>
  <c r="L1831" i="1" a="1"/>
  <c r="L1831" i="1" s="1"/>
  <c r="L1836" i="1" a="1"/>
  <c r="L1836" i="1" s="1"/>
  <c r="K1836" i="1" a="1"/>
  <c r="K1836" i="1" s="1"/>
  <c r="L1834" i="1" a="1"/>
  <c r="L1834" i="1" s="1"/>
  <c r="K1834" i="1" a="1"/>
  <c r="K1834" i="1" s="1"/>
  <c r="J1834" i="1" a="1"/>
  <c r="J1834" i="1" s="1"/>
  <c r="J1832" i="1" a="1"/>
  <c r="J1832" i="1" s="1"/>
  <c r="L1832" i="1" a="1"/>
  <c r="L1832" i="1" s="1"/>
  <c r="J1831" i="1" a="1"/>
  <c r="J1831" i="1" s="1"/>
  <c r="K1831" i="1" a="1"/>
  <c r="K1831" i="1" s="1"/>
  <c r="J1827" i="1" a="1"/>
  <c r="J1827" i="1" s="1"/>
  <c r="J1826" i="1" a="1"/>
  <c r="J1826" i="1" s="1"/>
  <c r="K1829" i="1" a="1"/>
  <c r="K1829" i="1" s="1"/>
  <c r="K1827" i="1" a="1"/>
  <c r="K1827" i="1" s="1"/>
  <c r="K1826" i="1" a="1"/>
  <c r="K1826" i="1" s="1"/>
  <c r="L1829" i="1" a="1"/>
  <c r="L1829" i="1" s="1"/>
  <c r="L1827" i="1" a="1"/>
  <c r="L1827" i="1" s="1"/>
  <c r="J1829" i="1" a="1"/>
  <c r="J1829" i="1" s="1"/>
  <c r="L1826" i="1" a="1"/>
  <c r="L1826" i="1" s="1"/>
  <c r="L856" i="1"/>
  <c r="L855" i="1" s="1"/>
  <c r="K856" i="1"/>
  <c r="K855" i="1" s="1"/>
  <c r="J856" i="1"/>
  <c r="J855" i="1" s="1"/>
  <c r="L853" i="1"/>
  <c r="K853" i="1"/>
  <c r="J853" i="1"/>
  <c r="L851" i="1"/>
  <c r="K851" i="1"/>
  <c r="J851" i="1"/>
  <c r="L849" i="1"/>
  <c r="K849" i="1"/>
  <c r="J849" i="1"/>
  <c r="L847" i="1"/>
  <c r="K847" i="1"/>
  <c r="J847" i="1"/>
  <c r="L845" i="1"/>
  <c r="K845" i="1"/>
  <c r="J845" i="1"/>
  <c r="L843" i="1"/>
  <c r="K843" i="1"/>
  <c r="J843" i="1"/>
  <c r="L833" i="1"/>
  <c r="K833" i="1"/>
  <c r="J833" i="1"/>
  <c r="L831" i="1"/>
  <c r="K831" i="1"/>
  <c r="J831" i="1"/>
  <c r="L829" i="1"/>
  <c r="K829" i="1"/>
  <c r="J829" i="1"/>
  <c r="L828" i="1"/>
  <c r="K828" i="1"/>
  <c r="J828" i="1"/>
  <c r="L827" i="1"/>
  <c r="K827" i="1"/>
  <c r="J827" i="1"/>
  <c r="L825" i="1"/>
  <c r="K825" i="1"/>
  <c r="J825" i="1"/>
  <c r="L824" i="1"/>
  <c r="K824" i="1"/>
  <c r="J824" i="1"/>
  <c r="L822" i="1"/>
  <c r="K822" i="1"/>
  <c r="J822" i="1"/>
  <c r="L821" i="1"/>
  <c r="K821" i="1"/>
  <c r="J821" i="1"/>
  <c r="L820" i="1"/>
  <c r="K820" i="1"/>
  <c r="J820" i="1"/>
  <c r="L818" i="1"/>
  <c r="K818" i="1"/>
  <c r="J818" i="1"/>
  <c r="L815" i="1"/>
  <c r="K815" i="1"/>
  <c r="J815" i="1"/>
  <c r="L813" i="1"/>
  <c r="K813" i="1"/>
  <c r="J813" i="1"/>
  <c r="L811" i="1"/>
  <c r="K811" i="1"/>
  <c r="J811" i="1"/>
  <c r="L807" i="1"/>
  <c r="K807" i="1"/>
  <c r="J807" i="1"/>
  <c r="L791" i="1"/>
  <c r="K791" i="1"/>
  <c r="J791" i="1"/>
  <c r="L789" i="1"/>
  <c r="K789" i="1"/>
  <c r="J789" i="1"/>
  <c r="L788" i="1"/>
  <c r="K788" i="1"/>
  <c r="J788" i="1"/>
  <c r="L782" i="1"/>
  <c r="K782" i="1"/>
  <c r="J782" i="1"/>
  <c r="L779" i="1"/>
  <c r="L786" i="1" s="1"/>
  <c r="L787" i="1" s="1"/>
  <c r="K779" i="1"/>
  <c r="K786" i="1" s="1"/>
  <c r="K787" i="1" s="1"/>
  <c r="J779" i="1"/>
  <c r="J783" i="1" s="1"/>
  <c r="L778" i="1"/>
  <c r="K778" i="1"/>
  <c r="J778" i="1"/>
  <c r="L776" i="1"/>
  <c r="K776" i="1"/>
  <c r="J776" i="1"/>
  <c r="L774" i="1"/>
  <c r="K774" i="1"/>
  <c r="J774" i="1"/>
  <c r="L772" i="1"/>
  <c r="K772" i="1"/>
  <c r="J772" i="1"/>
  <c r="L767" i="1"/>
  <c r="K767" i="1"/>
  <c r="J767" i="1"/>
  <c r="L764" i="1"/>
  <c r="K764" i="1"/>
  <c r="J764" i="1"/>
  <c r="L707" i="1"/>
  <c r="K707" i="1"/>
  <c r="J707" i="1"/>
  <c r="L706" i="1"/>
  <c r="K706" i="1"/>
  <c r="J706" i="1"/>
  <c r="L678" i="1"/>
  <c r="K678" i="1"/>
  <c r="J678" i="1"/>
  <c r="L677" i="1"/>
  <c r="K677" i="1"/>
  <c r="J677" i="1"/>
  <c r="L669" i="1"/>
  <c r="L675" i="1" s="1"/>
  <c r="K669" i="1"/>
  <c r="K675" i="1" s="1"/>
  <c r="J669" i="1"/>
  <c r="J675" i="1" s="1"/>
  <c r="L668" i="1"/>
  <c r="L674" i="1" s="1"/>
  <c r="K668" i="1"/>
  <c r="K674" i="1" s="1"/>
  <c r="J668" i="1"/>
  <c r="J674" i="1" s="1"/>
  <c r="L667" i="1"/>
  <c r="K667" i="1"/>
  <c r="J667" i="1"/>
  <c r="L663" i="1"/>
  <c r="K663" i="1"/>
  <c r="J663" i="1"/>
  <c r="L621" i="1"/>
  <c r="K621" i="1"/>
  <c r="J621" i="1"/>
  <c r="L616" i="1"/>
  <c r="K616" i="1"/>
  <c r="J616" i="1"/>
  <c r="L615" i="1"/>
  <c r="K615" i="1"/>
  <c r="J615" i="1"/>
  <c r="L600" i="1"/>
  <c r="K600" i="1"/>
  <c r="J600" i="1"/>
  <c r="L582" i="1"/>
  <c r="K582" i="1"/>
  <c r="J582" i="1"/>
  <c r="L505" i="1"/>
  <c r="K505" i="1"/>
  <c r="J505" i="1"/>
  <c r="L462" i="1"/>
  <c r="K462" i="1"/>
  <c r="J462" i="1"/>
  <c r="L460" i="1"/>
  <c r="K460" i="1"/>
  <c r="J460" i="1"/>
  <c r="L458" i="1"/>
  <c r="K458" i="1"/>
  <c r="J458" i="1"/>
  <c r="L456" i="1"/>
  <c r="K456" i="1"/>
  <c r="J456" i="1"/>
  <c r="L450" i="1"/>
  <c r="K450" i="1"/>
  <c r="J450" i="1"/>
  <c r="L448" i="1"/>
  <c r="K448" i="1"/>
  <c r="J448" i="1"/>
  <c r="L446" i="1"/>
  <c r="K446" i="1"/>
  <c r="J446" i="1"/>
  <c r="L444" i="1"/>
  <c r="K444" i="1"/>
  <c r="J444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396" i="1"/>
  <c r="K396" i="1"/>
  <c r="J396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8" i="1"/>
  <c r="K388" i="1"/>
  <c r="J388" i="1"/>
  <c r="L381" i="1"/>
  <c r="K381" i="1"/>
  <c r="J381" i="1"/>
  <c r="L360" i="1"/>
  <c r="K360" i="1"/>
  <c r="J360" i="1"/>
  <c r="L359" i="1"/>
  <c r="K359" i="1"/>
  <c r="J359" i="1"/>
  <c r="L313" i="1"/>
  <c r="K313" i="1"/>
  <c r="J313" i="1"/>
  <c r="L312" i="1"/>
  <c r="K312" i="1"/>
  <c r="J312" i="1"/>
  <c r="L311" i="1"/>
  <c r="K311" i="1"/>
  <c r="J311" i="1"/>
  <c r="L299" i="1"/>
  <c r="K299" i="1"/>
  <c r="J299" i="1"/>
  <c r="L297" i="1"/>
  <c r="K297" i="1"/>
  <c r="J297" i="1"/>
  <c r="L296" i="1"/>
  <c r="K296" i="1"/>
  <c r="J296" i="1"/>
  <c r="L295" i="1"/>
  <c r="K295" i="1"/>
  <c r="J295" i="1"/>
  <c r="L293" i="1"/>
  <c r="K293" i="1"/>
  <c r="J293" i="1"/>
  <c r="L395" i="1"/>
  <c r="K395" i="1"/>
  <c r="J395" i="1"/>
  <c r="L290" i="1"/>
  <c r="K290" i="1"/>
  <c r="J290" i="1"/>
  <c r="L289" i="1"/>
  <c r="K289" i="1"/>
  <c r="J289" i="1"/>
  <c r="L287" i="1"/>
  <c r="K287" i="1"/>
  <c r="J287" i="1"/>
  <c r="L286" i="1"/>
  <c r="K286" i="1"/>
  <c r="J286" i="1"/>
  <c r="L285" i="1"/>
  <c r="K285" i="1"/>
  <c r="J285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35" i="1"/>
  <c r="K235" i="1"/>
  <c r="J235" i="1"/>
  <c r="L232" i="1"/>
  <c r="K232" i="1"/>
  <c r="J232" i="1"/>
  <c r="L230" i="1"/>
  <c r="K230" i="1"/>
  <c r="J230" i="1"/>
  <c r="L228" i="1"/>
  <c r="K228" i="1"/>
  <c r="J228" i="1"/>
  <c r="L226" i="1"/>
  <c r="K226" i="1"/>
  <c r="J226" i="1"/>
  <c r="L220" i="1"/>
  <c r="K220" i="1"/>
  <c r="J220" i="1"/>
  <c r="L218" i="1"/>
  <c r="K218" i="1"/>
  <c r="J218" i="1"/>
  <c r="L216" i="1"/>
  <c r="L212" i="1" s="1"/>
  <c r="K216" i="1"/>
  <c r="K212" i="1" s="1"/>
  <c r="J216" i="1"/>
  <c r="J212" i="1" s="1"/>
  <c r="L209" i="1"/>
  <c r="K209" i="1"/>
  <c r="J209" i="1"/>
  <c r="L207" i="1"/>
  <c r="K207" i="1"/>
  <c r="J207" i="1"/>
  <c r="L190" i="1"/>
  <c r="K190" i="1"/>
  <c r="J190" i="1"/>
  <c r="L189" i="1"/>
  <c r="K189" i="1"/>
  <c r="J189" i="1"/>
  <c r="L185" i="1"/>
  <c r="K185" i="1"/>
  <c r="J185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2" i="1"/>
  <c r="K172" i="1"/>
  <c r="J172" i="1"/>
  <c r="L171" i="1"/>
  <c r="K171" i="1"/>
  <c r="J171" i="1"/>
  <c r="L170" i="1"/>
  <c r="K170" i="1"/>
  <c r="J170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0" i="1"/>
  <c r="K160" i="1"/>
  <c r="J160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36" i="1"/>
  <c r="K136" i="1"/>
  <c r="J136" i="1"/>
  <c r="L135" i="1"/>
  <c r="K135" i="1"/>
  <c r="J135" i="1"/>
  <c r="L134" i="1"/>
  <c r="K134" i="1"/>
  <c r="K141" i="1" s="1" a="1"/>
  <c r="K141" i="1" s="1"/>
  <c r="J134" i="1"/>
  <c r="J141" i="1" s="1" a="1"/>
  <c r="J141" i="1" s="1"/>
  <c r="L133" i="1"/>
  <c r="L140" i="1" s="1" a="1"/>
  <c r="L140" i="1" s="1"/>
  <c r="K133" i="1"/>
  <c r="K140" i="1" s="1" a="1"/>
  <c r="K140" i="1" s="1"/>
  <c r="J133" i="1"/>
  <c r="J140" i="1" s="1" a="1"/>
  <c r="J140" i="1" s="1"/>
  <c r="L132" i="1"/>
  <c r="L139" i="1" s="1" a="1"/>
  <c r="L139" i="1" s="1"/>
  <c r="K132" i="1"/>
  <c r="K139" i="1" s="1" a="1"/>
  <c r="K139" i="1" s="1"/>
  <c r="J132" i="1"/>
  <c r="J139" i="1" s="1" a="1"/>
  <c r="J139" i="1" s="1"/>
  <c r="L131" i="1"/>
  <c r="L138" i="1" s="1" a="1"/>
  <c r="L138" i="1" s="1"/>
  <c r="K131" i="1"/>
  <c r="K138" i="1" s="1" a="1"/>
  <c r="K138" i="1" s="1"/>
  <c r="J131" i="1"/>
  <c r="J138" i="1" s="1" a="1"/>
  <c r="J138" i="1" s="1"/>
  <c r="L97" i="1"/>
  <c r="K97" i="1"/>
  <c r="K129" i="1" s="1"/>
  <c r="J97" i="1"/>
  <c r="J129" i="1" s="1"/>
  <c r="L96" i="1"/>
  <c r="K96" i="1"/>
  <c r="K128" i="1" s="1"/>
  <c r="J96" i="1"/>
  <c r="J128" i="1" s="1"/>
  <c r="L95" i="1"/>
  <c r="K95" i="1"/>
  <c r="J95" i="1"/>
  <c r="L94" i="1"/>
  <c r="L126" i="1" s="1"/>
  <c r="K94" i="1"/>
  <c r="J94" i="1"/>
  <c r="L93" i="1"/>
  <c r="L125" i="1" s="1"/>
  <c r="K93" i="1"/>
  <c r="K125" i="1" s="1"/>
  <c r="J93" i="1"/>
  <c r="J125" i="1" s="1"/>
  <c r="L92" i="1"/>
  <c r="K92" i="1"/>
  <c r="J92" i="1"/>
  <c r="J124" i="1" s="1"/>
  <c r="L91" i="1"/>
  <c r="K91" i="1"/>
  <c r="K123" i="1" s="1"/>
  <c r="J91" i="1"/>
  <c r="L90" i="1"/>
  <c r="K90" i="1"/>
  <c r="J90" i="1"/>
  <c r="J122" i="1" s="1"/>
  <c r="L89" i="1"/>
  <c r="L121" i="1" s="1"/>
  <c r="K89" i="1"/>
  <c r="K121" i="1" s="1"/>
  <c r="J89" i="1"/>
  <c r="J121" i="1" s="1"/>
  <c r="L88" i="1"/>
  <c r="L120" i="1" s="1"/>
  <c r="K88" i="1"/>
  <c r="K120" i="1" s="1"/>
  <c r="J88" i="1"/>
  <c r="L87" i="1"/>
  <c r="K87" i="1"/>
  <c r="K119" i="1" s="1"/>
  <c r="J87" i="1"/>
  <c r="L86" i="1"/>
  <c r="L118" i="1" s="1"/>
  <c r="K86" i="1"/>
  <c r="J86" i="1"/>
  <c r="J118" i="1" s="1"/>
  <c r="L85" i="1"/>
  <c r="L117" i="1" s="1"/>
  <c r="K85" i="1"/>
  <c r="K117" i="1" s="1"/>
  <c r="J85" i="1"/>
  <c r="J117" i="1" s="1"/>
  <c r="L84" i="1"/>
  <c r="L116" i="1" s="1"/>
  <c r="K84" i="1"/>
  <c r="K116" i="1" s="1"/>
  <c r="J84" i="1"/>
  <c r="J116" i="1" s="1"/>
  <c r="L83" i="1"/>
  <c r="L115" i="1" s="1"/>
  <c r="K83" i="1"/>
  <c r="K115" i="1" s="1"/>
  <c r="J83" i="1"/>
  <c r="J115" i="1" s="1"/>
  <c r="L77" i="1"/>
  <c r="K77" i="1"/>
  <c r="J77" i="1"/>
  <c r="L76" i="1"/>
  <c r="K76" i="1"/>
  <c r="J76" i="1"/>
  <c r="L73" i="1"/>
  <c r="L301" i="1" s="1"/>
  <c r="L465" i="1" s="1"/>
  <c r="K73" i="1"/>
  <c r="K301" i="1" s="1"/>
  <c r="K465" i="1" s="1"/>
  <c r="J73" i="1"/>
  <c r="L72" i="1"/>
  <c r="K72" i="1"/>
  <c r="J72" i="1"/>
  <c r="L71" i="1"/>
  <c r="K71" i="1"/>
  <c r="J71" i="1"/>
  <c r="L69" i="1"/>
  <c r="K69" i="1"/>
  <c r="J69" i="1"/>
  <c r="L68" i="1"/>
  <c r="K68" i="1"/>
  <c r="J68" i="1"/>
  <c r="L67" i="1"/>
  <c r="K67" i="1"/>
  <c r="J67" i="1"/>
  <c r="L65" i="1"/>
  <c r="K65" i="1"/>
  <c r="J65" i="1"/>
  <c r="L1151" i="1"/>
  <c r="K1151" i="1"/>
  <c r="J1151" i="1"/>
  <c r="L1648" i="1" a="1"/>
  <c r="L1648" i="1" s="1"/>
  <c r="J1644" i="1" a="1"/>
  <c r="J1644" i="1" s="1"/>
  <c r="K1648" i="1" a="1"/>
  <c r="K1648" i="1" s="1"/>
  <c r="K1644" i="1" a="1"/>
  <c r="K1644" i="1" s="1"/>
  <c r="L1644" i="1" a="1"/>
  <c r="L1644" i="1" s="1"/>
  <c r="J1648" i="1" a="1"/>
  <c r="J1648" i="1" s="1"/>
  <c r="L1663" i="1"/>
  <c r="K1663" i="1"/>
  <c r="J1663" i="1"/>
  <c r="L32" i="1"/>
  <c r="L30" i="1" s="1" a="1"/>
  <c r="L30" i="1" s="1"/>
  <c r="K32" i="1"/>
  <c r="K30" i="1" s="1" a="1"/>
  <c r="K30" i="1" s="1"/>
  <c r="J32" i="1"/>
  <c r="J30" i="1" s="1" a="1"/>
  <c r="J30" i="1" s="1"/>
  <c r="J709" i="1" a="1"/>
  <c r="J709" i="1" s="1"/>
  <c r="K709" i="1" a="1"/>
  <c r="K709" i="1" s="1"/>
  <c r="K697" i="1" a="1"/>
  <c r="K697" i="1" s="1"/>
  <c r="L696" i="1" a="1"/>
  <c r="L696" i="1" s="1"/>
  <c r="J688" i="1" a="1"/>
  <c r="J688" i="1" s="1"/>
  <c r="K688" i="1" a="1"/>
  <c r="K688" i="1" s="1"/>
  <c r="L688" i="1" a="1"/>
  <c r="L688" i="1" s="1"/>
  <c r="L697" i="1" a="1"/>
  <c r="L697" i="1" s="1"/>
  <c r="K711" i="1" a="1"/>
  <c r="K711" i="1" s="1"/>
  <c r="J711" i="1" a="1"/>
  <c r="J711" i="1" s="1"/>
  <c r="K696" i="1" a="1"/>
  <c r="K696" i="1" s="1"/>
  <c r="L709" i="1" a="1"/>
  <c r="L709" i="1" s="1"/>
  <c r="J697" i="1" a="1"/>
  <c r="J697" i="1" s="1"/>
  <c r="J696" i="1" a="1"/>
  <c r="J696" i="1" s="1"/>
  <c r="K685" i="1" a="1"/>
  <c r="K685" i="1" s="1"/>
  <c r="L682" i="1" a="1"/>
  <c r="L682" i="1" s="1"/>
  <c r="L685" i="1" a="1"/>
  <c r="L685" i="1" s="1"/>
  <c r="J683" i="1" a="1"/>
  <c r="J683" i="1" s="1"/>
  <c r="J681" i="1" a="1"/>
  <c r="J681" i="1" s="1"/>
  <c r="L683" i="1" a="1"/>
  <c r="L683" i="1" s="1"/>
  <c r="L687" i="1" a="1"/>
  <c r="L687" i="1" s="1"/>
  <c r="K687" i="1" a="1"/>
  <c r="K687" i="1" s="1"/>
  <c r="J687" i="1" a="1"/>
  <c r="J687" i="1" s="1"/>
  <c r="L681" i="1" a="1"/>
  <c r="L681" i="1" s="1"/>
  <c r="K683" i="1" a="1"/>
  <c r="K683" i="1" s="1"/>
  <c r="J682" i="1" a="1"/>
  <c r="J682" i="1" s="1"/>
  <c r="J685" i="1" a="1"/>
  <c r="J685" i="1" s="1"/>
  <c r="K681" i="1" a="1"/>
  <c r="K681" i="1" s="1"/>
  <c r="K682" i="1" a="1"/>
  <c r="K682" i="1" s="1"/>
  <c r="J653" i="1" a="1"/>
  <c r="J653" i="1" s="1"/>
  <c r="J666" i="1" a="1"/>
  <c r="J666" i="1" s="1"/>
  <c r="J664" i="1" a="1"/>
  <c r="J664" i="1" s="1"/>
  <c r="L664" i="1" a="1"/>
  <c r="L664" i="1" s="1"/>
  <c r="K666" i="1" a="1"/>
  <c r="K666" i="1" s="1"/>
  <c r="J665" i="1" a="1"/>
  <c r="J665" i="1" s="1"/>
  <c r="K664" i="1" a="1"/>
  <c r="K664" i="1" s="1"/>
  <c r="L653" i="1" a="1"/>
  <c r="L653" i="1" s="1"/>
  <c r="K653" i="1" a="1"/>
  <c r="K653" i="1" s="1"/>
  <c r="L665" i="1" a="1"/>
  <c r="L665" i="1" s="1"/>
  <c r="K665" i="1" a="1"/>
  <c r="K665" i="1" s="1"/>
  <c r="L666" i="1" a="1"/>
  <c r="L666" i="1" s="1"/>
  <c r="J650" i="1" a="1"/>
  <c r="J650" i="1" s="1"/>
  <c r="J648" i="1" a="1"/>
  <c r="J648" i="1" s="1"/>
  <c r="J643" i="1" a="1"/>
  <c r="J643" i="1" s="1"/>
  <c r="J645" i="1" a="1"/>
  <c r="J645" i="1" s="1"/>
  <c r="L643" i="1" a="1"/>
  <c r="L643" i="1" s="1"/>
  <c r="J647" i="1" a="1"/>
  <c r="J647" i="1" s="1"/>
  <c r="L650" i="1" a="1"/>
  <c r="L650" i="1" s="1"/>
  <c r="L647" i="1" a="1"/>
  <c r="L647" i="1" s="1"/>
  <c r="K643" i="1" a="1"/>
  <c r="K643" i="1" s="1"/>
  <c r="L645" i="1" a="1"/>
  <c r="L645" i="1" s="1"/>
  <c r="L652" i="1" a="1"/>
  <c r="L652" i="1" s="1"/>
  <c r="L648" i="1" a="1"/>
  <c r="L648" i="1" s="1"/>
  <c r="K649" i="1" a="1"/>
  <c r="K649" i="1" s="1"/>
  <c r="K645" i="1" a="1"/>
  <c r="K645" i="1" s="1"/>
  <c r="K648" i="1" a="1"/>
  <c r="K648" i="1" s="1"/>
  <c r="J652" i="1" a="1"/>
  <c r="J652" i="1" s="1"/>
  <c r="K650" i="1" a="1"/>
  <c r="K650" i="1" s="1"/>
  <c r="J649" i="1" a="1"/>
  <c r="J649" i="1" s="1"/>
  <c r="L649" i="1" a="1"/>
  <c r="L649" i="1" s="1"/>
  <c r="K647" i="1" a="1"/>
  <c r="K647" i="1" s="1"/>
  <c r="K652" i="1" a="1"/>
  <c r="K652" i="1" s="1"/>
  <c r="J640" i="1" a="1"/>
  <c r="J640" i="1" s="1"/>
  <c r="J639" i="1" a="1"/>
  <c r="J639" i="1" s="1"/>
  <c r="K635" i="1" a="1"/>
  <c r="K635" i="1" s="1"/>
  <c r="L638" i="1" a="1"/>
  <c r="L638" i="1" s="1"/>
  <c r="K638" i="1" a="1"/>
  <c r="K638" i="1" s="1"/>
  <c r="J638" i="1" a="1"/>
  <c r="J638" i="1" s="1"/>
  <c r="L637" i="1" a="1"/>
  <c r="L637" i="1" s="1"/>
  <c r="J635" i="1" a="1"/>
  <c r="J635" i="1" s="1"/>
  <c r="K637" i="1" a="1"/>
  <c r="K637" i="1" s="1"/>
  <c r="K640" i="1" a="1"/>
  <c r="K640" i="1" s="1"/>
  <c r="L639" i="1" a="1"/>
  <c r="L639" i="1" s="1"/>
  <c r="L633" i="1" a="1"/>
  <c r="L633" i="1" s="1"/>
  <c r="L640" i="1" a="1"/>
  <c r="L640" i="1" s="1"/>
  <c r="K639" i="1" a="1"/>
  <c r="K639" i="1" s="1"/>
  <c r="L642" i="1" a="1"/>
  <c r="L642" i="1" s="1"/>
  <c r="K642" i="1" a="1"/>
  <c r="K642" i="1" s="1"/>
  <c r="J642" i="1" a="1"/>
  <c r="J642" i="1" s="1"/>
  <c r="J637" i="1" a="1"/>
  <c r="J637" i="1" s="1"/>
  <c r="L635" i="1" a="1"/>
  <c r="L635" i="1" s="1"/>
  <c r="K627" i="1" a="1"/>
  <c r="K627" i="1" s="1"/>
  <c r="K633" i="1" a="1"/>
  <c r="K633" i="1" s="1"/>
  <c r="J625" i="1" a="1"/>
  <c r="J625" i="1" s="1"/>
  <c r="L627" i="1" a="1"/>
  <c r="L627" i="1" s="1"/>
  <c r="J633" i="1" a="1"/>
  <c r="J633" i="1" s="1"/>
  <c r="L623" i="1" a="1"/>
  <c r="L623" i="1" s="1"/>
  <c r="J629" i="1" a="1"/>
  <c r="J629" i="1" s="1"/>
  <c r="L625" i="1" a="1"/>
  <c r="L625" i="1" s="1"/>
  <c r="J627" i="1" a="1"/>
  <c r="J627" i="1" s="1"/>
  <c r="J632" i="1" a="1"/>
  <c r="J632" i="1" s="1"/>
  <c r="K628" i="1" a="1"/>
  <c r="K628" i="1" s="1"/>
  <c r="L632" i="1" a="1"/>
  <c r="L632" i="1" s="1"/>
  <c r="K632" i="1" a="1"/>
  <c r="K632" i="1" s="1"/>
  <c r="L629" i="1" a="1"/>
  <c r="L629" i="1" s="1"/>
  <c r="K629" i="1" a="1"/>
  <c r="K629" i="1" s="1"/>
  <c r="L630" i="1" a="1"/>
  <c r="L630" i="1" s="1"/>
  <c r="L628" i="1" a="1"/>
  <c r="L628" i="1" s="1"/>
  <c r="K630" i="1" a="1"/>
  <c r="K630" i="1" s="1"/>
  <c r="J630" i="1" a="1"/>
  <c r="J630" i="1" s="1"/>
  <c r="K625" i="1" a="1"/>
  <c r="K625" i="1" s="1"/>
  <c r="J623" i="1" a="1"/>
  <c r="J623" i="1" s="1"/>
  <c r="K623" i="1" a="1"/>
  <c r="K623" i="1" s="1"/>
  <c r="J628" i="1" a="1"/>
  <c r="J628" i="1" s="1"/>
  <c r="L610" i="1" a="1"/>
  <c r="L610" i="1" s="1"/>
  <c r="J617" i="1" a="1"/>
  <c r="J617" i="1" s="1"/>
  <c r="K610" i="1" a="1"/>
  <c r="K610" i="1" s="1"/>
  <c r="J609" i="1" a="1"/>
  <c r="J609" i="1" s="1"/>
  <c r="K620" i="1" a="1"/>
  <c r="K620" i="1" s="1"/>
  <c r="L618" i="1" a="1"/>
  <c r="L618" i="1" s="1"/>
  <c r="L617" i="1" a="1"/>
  <c r="L617" i="1" s="1"/>
  <c r="K618" i="1" a="1"/>
  <c r="K618" i="1" s="1"/>
  <c r="L620" i="1" a="1"/>
  <c r="L620" i="1" s="1"/>
  <c r="J620" i="1" a="1"/>
  <c r="J620" i="1" s="1"/>
  <c r="J618" i="1" a="1"/>
  <c r="J618" i="1" s="1"/>
  <c r="L609" i="1" a="1"/>
  <c r="L609" i="1" s="1"/>
  <c r="J619" i="1" a="1"/>
  <c r="J619" i="1" s="1"/>
  <c r="K617" i="1" a="1"/>
  <c r="K617" i="1" s="1"/>
  <c r="L619" i="1" a="1"/>
  <c r="L619" i="1" s="1"/>
  <c r="J610" i="1" a="1"/>
  <c r="J610" i="1" s="1"/>
  <c r="K619" i="1" a="1"/>
  <c r="K619" i="1" s="1"/>
  <c r="K609" i="1" a="1"/>
  <c r="K609" i="1" s="1"/>
  <c r="L622" i="1" a="1"/>
  <c r="L622" i="1" s="1"/>
  <c r="K622" i="1" a="1"/>
  <c r="K622" i="1" s="1"/>
  <c r="J622" i="1" a="1"/>
  <c r="J622" i="1" s="1"/>
  <c r="K596" i="1" a="1"/>
  <c r="K596" i="1" s="1"/>
  <c r="K602" i="1" a="1"/>
  <c r="K602" i="1" s="1"/>
  <c r="K603" i="1" a="1"/>
  <c r="K603" i="1" s="1"/>
  <c r="K595" i="1" a="1"/>
  <c r="K595" i="1" s="1"/>
  <c r="L602" i="1" a="1"/>
  <c r="L602" i="1" s="1"/>
  <c r="J593" i="1" a="1"/>
  <c r="J593" i="1" s="1"/>
  <c r="K606" i="1" a="1"/>
  <c r="K606" i="1" s="1"/>
  <c r="K593" i="1" a="1"/>
  <c r="K593" i="1" s="1"/>
  <c r="L596" i="1" a="1"/>
  <c r="L596" i="1" s="1"/>
  <c r="L595" i="1" a="1"/>
  <c r="L595" i="1" s="1"/>
  <c r="L606" i="1" a="1"/>
  <c r="L606" i="1" s="1"/>
  <c r="J595" i="1" a="1"/>
  <c r="J595" i="1" s="1"/>
  <c r="L607" i="1" a="1"/>
  <c r="L607" i="1" s="1"/>
  <c r="K607" i="1" a="1"/>
  <c r="K607" i="1" s="1"/>
  <c r="J607" i="1" a="1"/>
  <c r="J607" i="1" s="1"/>
  <c r="J606" i="1" a="1"/>
  <c r="J606" i="1" s="1"/>
  <c r="L603" i="1" a="1"/>
  <c r="L603" i="1" s="1"/>
  <c r="J596" i="1" a="1"/>
  <c r="J596" i="1" s="1"/>
  <c r="L593" i="1" a="1"/>
  <c r="L593" i="1" s="1"/>
  <c r="J603" i="1" a="1"/>
  <c r="J603" i="1" s="1"/>
  <c r="J602" i="1" a="1"/>
  <c r="J602" i="1" s="1"/>
  <c r="K589" i="1" a="1"/>
  <c r="K589" i="1" s="1"/>
  <c r="J589" i="1" a="1"/>
  <c r="J589" i="1" s="1"/>
  <c r="L588" i="1" a="1"/>
  <c r="L588" i="1" s="1"/>
  <c r="K585" i="1" a="1"/>
  <c r="K585" i="1" s="1"/>
  <c r="L585" i="1" a="1"/>
  <c r="L585" i="1" s="1"/>
  <c r="L589" i="1" a="1"/>
  <c r="L589" i="1" s="1"/>
  <c r="J585" i="1" a="1"/>
  <c r="J585" i="1" s="1"/>
  <c r="K592" i="1" a="1"/>
  <c r="K592" i="1" s="1"/>
  <c r="K588" i="1" a="1"/>
  <c r="K588" i="1" s="1"/>
  <c r="J588" i="1" a="1"/>
  <c r="J588" i="1" s="1"/>
  <c r="J584" i="1" a="1"/>
  <c r="J584" i="1" s="1"/>
  <c r="L592" i="1" a="1"/>
  <c r="L592" i="1" s="1"/>
  <c r="J592" i="1" a="1"/>
  <c r="J592" i="1" s="1"/>
  <c r="K584" i="1" a="1"/>
  <c r="K584" i="1" s="1"/>
  <c r="L584" i="1" a="1"/>
  <c r="L584" i="1" s="1"/>
  <c r="K31" i="1" a="1"/>
  <c r="K31" i="1" s="1"/>
  <c r="J31" i="1" a="1"/>
  <c r="J31" i="1" s="1"/>
  <c r="L31" i="1" a="1"/>
  <c r="L31" i="1" s="1"/>
  <c r="J743" i="1" a="1"/>
  <c r="J743" i="1" s="1"/>
  <c r="L743" i="1" a="1"/>
  <c r="L743" i="1" s="1"/>
  <c r="K743" i="1" a="1"/>
  <c r="K743" i="1" s="1"/>
  <c r="L724" i="1" a="1"/>
  <c r="L724" i="1" s="1"/>
  <c r="J720" i="1" a="1"/>
  <c r="J720" i="1" s="1"/>
  <c r="J724" i="1" a="1"/>
  <c r="J724" i="1" s="1"/>
  <c r="K720" i="1" a="1"/>
  <c r="K720" i="1" s="1"/>
  <c r="L720" i="1" a="1"/>
  <c r="L720" i="1" s="1"/>
  <c r="K724" i="1" a="1"/>
  <c r="K724" i="1" s="1"/>
  <c r="L718" i="1" a="1"/>
  <c r="L718" i="1" s="1"/>
  <c r="J718" i="1" a="1"/>
  <c r="J718" i="1" s="1"/>
  <c r="K719" i="1" a="1"/>
  <c r="K719" i="1" s="1"/>
  <c r="J716" i="1" a="1"/>
  <c r="J716" i="1" s="1"/>
  <c r="L711" i="1" a="1"/>
  <c r="L711" i="1" s="1"/>
  <c r="K718" i="1" a="1"/>
  <c r="K718" i="1" s="1"/>
  <c r="L719" i="1" a="1"/>
  <c r="L719" i="1" s="1"/>
  <c r="L716" i="1" a="1"/>
  <c r="L716" i="1" s="1"/>
  <c r="K716" i="1" a="1"/>
  <c r="K716" i="1" s="1"/>
  <c r="J719" i="1" a="1"/>
  <c r="J719" i="1" s="1"/>
  <c r="L740" i="1" a="1"/>
  <c r="L740" i="1" s="1"/>
  <c r="J740" i="1" a="1"/>
  <c r="J740" i="1" s="1"/>
  <c r="K740" i="1" a="1"/>
  <c r="K740" i="1" s="1"/>
  <c r="L727" i="1" a="1"/>
  <c r="L727" i="1" s="1"/>
  <c r="J727" i="1" a="1"/>
  <c r="J727" i="1" s="1"/>
  <c r="K727" i="1" a="1"/>
  <c r="K727" i="1" s="1"/>
  <c r="K2340" i="1" a="1"/>
  <c r="K2340" i="1" s="1"/>
  <c r="L2339" i="1" a="1"/>
  <c r="L2339" i="1" s="1"/>
  <c r="J2338" i="1" a="1"/>
  <c r="J2338" i="1" s="1"/>
  <c r="L2340" i="1" a="1"/>
  <c r="L2340" i="1" s="1"/>
  <c r="K2337" i="1" a="1"/>
  <c r="K2337" i="1" s="1"/>
  <c r="J2340" i="1" a="1"/>
  <c r="J2340" i="1" s="1"/>
  <c r="K2339" i="1" a="1"/>
  <c r="K2339" i="1" s="1"/>
  <c r="J2337" i="1" a="1"/>
  <c r="J2337" i="1" s="1"/>
  <c r="L2337" i="1" a="1"/>
  <c r="L2337" i="1" s="1"/>
  <c r="K2338" i="1" a="1"/>
  <c r="K2338" i="1" s="1"/>
  <c r="J2339" i="1" a="1"/>
  <c r="J2339" i="1"/>
  <c r="L2338" i="1" a="1"/>
  <c r="L2338" i="1" s="1"/>
  <c r="L2329" i="1" a="1"/>
  <c r="L2329" i="1" s="1"/>
  <c r="J2331" i="1" a="1"/>
  <c r="J2331" i="1" s="1"/>
  <c r="L2336" i="1" a="1"/>
  <c r="L2336" i="1" s="1"/>
  <c r="J2336" i="1" a="1"/>
  <c r="J2336" i="1" s="1"/>
  <c r="K2336" i="1" a="1"/>
  <c r="K2336" i="1" s="1"/>
  <c r="K2335" i="1" a="1"/>
  <c r="K2335" i="1" s="1"/>
  <c r="J2328" i="1" a="1"/>
  <c r="J2328" i="1" s="1"/>
  <c r="K2328" i="1" a="1"/>
  <c r="K2328" i="1" s="1"/>
  <c r="J2332" i="1" a="1"/>
  <c r="J2332" i="1" s="1"/>
  <c r="L2330" i="1" a="1"/>
  <c r="L2330" i="1" s="1"/>
  <c r="J2330" i="1" a="1"/>
  <c r="J2330" i="1" s="1"/>
  <c r="L2334" i="1" a="1"/>
  <c r="L2334" i="1" s="1"/>
  <c r="L2335" i="1" a="1"/>
  <c r="L2335" i="1" s="1"/>
  <c r="K2332" i="1" a="1"/>
  <c r="K2332" i="1" s="1"/>
  <c r="J2334" i="1" a="1"/>
  <c r="J2334" i="1" s="1"/>
  <c r="K2329" i="1" a="1"/>
  <c r="K2329" i="1" s="1"/>
  <c r="J2329" i="1" a="1"/>
  <c r="J2329" i="1" s="1"/>
  <c r="J2335" i="1" a="1"/>
  <c r="J2335" i="1" s="1"/>
  <c r="K2334" i="1" a="1"/>
  <c r="K2334" i="1" s="1"/>
  <c r="J2333" i="1" a="1"/>
  <c r="J2333" i="1" s="1"/>
  <c r="L2332" i="1" a="1"/>
  <c r="L2332" i="1" s="1"/>
  <c r="K2331" i="1" a="1"/>
  <c r="K2331" i="1" s="1"/>
  <c r="L2328" i="1" a="1"/>
  <c r="L2328" i="1" s="1"/>
  <c r="L2333" i="1" a="1"/>
  <c r="L2333" i="1" s="1"/>
  <c r="K2333" i="1" a="1"/>
  <c r="K2333" i="1" s="1"/>
  <c r="L2331" i="1" a="1"/>
  <c r="L2331" i="1" s="1"/>
  <c r="K2330" i="1" a="1"/>
  <c r="K2330" i="1" s="1"/>
  <c r="L2327" i="1" a="1"/>
  <c r="L2327" i="1" s="1"/>
  <c r="L2320" i="1" a="1"/>
  <c r="L2320" i="1" s="1"/>
  <c r="L2319" i="1" s="1" a="1"/>
  <c r="L2319" i="1" s="1"/>
  <c r="L2316" i="1" a="1"/>
  <c r="L2316" i="1" s="1"/>
  <c r="J2326" i="1" a="1"/>
  <c r="J2326" i="1" s="1"/>
  <c r="K2325" i="1" a="1"/>
  <c r="K2325" i="1" s="1"/>
  <c r="L2325" i="1" a="1"/>
  <c r="L2325" i="1" s="1"/>
  <c r="L2323" i="1" a="1"/>
  <c r="L2323" i="1" s="1"/>
  <c r="L2322" i="1" s="1" a="1"/>
  <c r="L2322" i="1" s="1"/>
  <c r="J2320" i="1" a="1"/>
  <c r="J2320" i="1" s="1"/>
  <c r="J2319" i="1" s="1" a="1"/>
  <c r="J2319" i="1" s="1"/>
  <c r="J2325" i="1" a="1"/>
  <c r="J2325" i="1" s="1"/>
  <c r="K2316" i="1" a="1"/>
  <c r="K2316" i="1" s="1"/>
  <c r="L2317" i="1" a="1"/>
  <c r="L2317" i="1" s="1"/>
  <c r="K2317" i="1" a="1"/>
  <c r="K2317" i="1" s="1"/>
  <c r="K2327" i="1" a="1"/>
  <c r="K2327" i="1" s="1"/>
  <c r="J2327" i="1" a="1"/>
  <c r="J2327" i="1" s="1"/>
  <c r="K2320" i="1" a="1"/>
  <c r="K2320" i="1" s="1"/>
  <c r="K2319" i="1" s="1" a="1"/>
  <c r="K2319" i="1" s="1"/>
  <c r="L2326" i="1" a="1"/>
  <c r="L2326" i="1" s="1"/>
  <c r="J2317" i="1" a="1"/>
  <c r="J2317" i="1" s="1"/>
  <c r="K2326" i="1" a="1"/>
  <c r="K2326" i="1" s="1"/>
  <c r="J2323" i="1" a="1"/>
  <c r="J2323" i="1" s="1"/>
  <c r="J2322" i="1" s="1" a="1"/>
  <c r="J2322" i="1" s="1"/>
  <c r="K2323" i="1" a="1"/>
  <c r="K2323" i="1" s="1"/>
  <c r="K2322" i="1" s="1" a="1"/>
  <c r="K2322" i="1" s="1"/>
  <c r="J2316" i="1" a="1"/>
  <c r="J2316" i="1" s="1"/>
  <c r="L2314" i="1" a="1"/>
  <c r="L2314" i="1" s="1"/>
  <c r="K2314" i="1" a="1"/>
  <c r="K2314" i="1" s="1"/>
  <c r="J2314" i="1" a="1"/>
  <c r="J2314" i="1" s="1"/>
  <c r="K2048" i="1" a="1"/>
  <c r="K2048" i="1" s="1"/>
  <c r="J2049" i="1" a="1"/>
  <c r="J2049" i="1" s="1"/>
  <c r="J2048" i="1" a="1"/>
  <c r="J2048" i="1" s="1"/>
  <c r="K2049" i="1" a="1"/>
  <c r="K2049" i="1" s="1"/>
  <c r="L2049" i="1" a="1"/>
  <c r="L2049" i="1" s="1"/>
  <c r="L2048" i="1" a="1"/>
  <c r="L2048" i="1" s="1"/>
  <c r="L2046" i="1" a="1"/>
  <c r="L2046" i="1" s="1"/>
  <c r="K2045" i="1" a="1"/>
  <c r="K2045" i="1" s="1"/>
  <c r="L2047" i="1" a="1"/>
  <c r="L2047" i="1" s="1"/>
  <c r="K2047" i="1" a="1"/>
  <c r="K2047" i="1" s="1"/>
  <c r="L2043" i="1" a="1"/>
  <c r="L2043" i="1" s="1"/>
  <c r="L2044" i="1" a="1"/>
  <c r="L2044" i="1" s="1"/>
  <c r="K2046" i="1" a="1"/>
  <c r="K2046" i="1" s="1"/>
  <c r="J2044" i="1" a="1"/>
  <c r="J2044" i="1" s="1"/>
  <c r="J2042" i="1" a="1"/>
  <c r="J2042" i="1" s="1"/>
  <c r="J2047" i="1" a="1"/>
  <c r="J2047" i="1" s="1"/>
  <c r="K2042" i="1" a="1"/>
  <c r="K2042" i="1" s="1"/>
  <c r="K2044" i="1" a="1"/>
  <c r="K2044" i="1" s="1"/>
  <c r="J2046" i="1" a="1"/>
  <c r="J2046" i="1" s="1"/>
  <c r="L2039" i="1" a="1"/>
  <c r="L2039" i="1" s="1"/>
  <c r="L2040" i="1" a="1"/>
  <c r="L2040" i="1" s="1"/>
  <c r="J2045" i="1" a="1"/>
  <c r="J2045" i="1" s="1"/>
  <c r="L2045" i="1" a="1"/>
  <c r="L2045" i="1" s="1"/>
  <c r="J2039" i="1" a="1"/>
  <c r="J2039" i="1" s="1"/>
  <c r="J2041" i="1" a="1"/>
  <c r="J2041" i="1" s="1"/>
  <c r="K2043" i="1" a="1"/>
  <c r="K2043" i="1" s="1"/>
  <c r="J2043" i="1" a="1"/>
  <c r="J2043" i="1" s="1"/>
  <c r="L2042" i="1" a="1"/>
  <c r="L2042" i="1" s="1"/>
  <c r="K2041" i="1" a="1"/>
  <c r="K2041" i="1" s="1"/>
  <c r="J2040" i="1" a="1"/>
  <c r="J2040" i="1" s="1"/>
  <c r="K2039" i="1" a="1"/>
  <c r="K2039" i="1" s="1"/>
  <c r="L2041" i="1" a="1"/>
  <c r="L2041" i="1" s="1"/>
  <c r="K2040" i="1" a="1"/>
  <c r="K2040" i="1" s="1"/>
  <c r="J2036" i="1" a="1"/>
  <c r="J2036" i="1" s="1"/>
  <c r="K2037" i="1" a="1"/>
  <c r="K2037" i="1" s="1"/>
  <c r="J2034" i="1" a="1"/>
  <c r="J2034" i="1" s="1"/>
  <c r="L2038" i="1" a="1"/>
  <c r="L2038" i="1" s="1"/>
  <c r="K2038" i="1" a="1"/>
  <c r="K2038" i="1" s="1"/>
  <c r="J2038" i="1" a="1"/>
  <c r="J2038" i="1" s="1"/>
  <c r="L2036" i="1" a="1"/>
  <c r="L2036" i="1" s="1"/>
  <c r="J2029" i="1" a="1"/>
  <c r="J2029" i="1" s="1"/>
  <c r="J2028" i="1" s="1" a="1"/>
  <c r="J2028" i="1" s="1"/>
  <c r="L2034" i="1" a="1"/>
  <c r="L2034" i="1" s="1"/>
  <c r="L2037" i="1" a="1"/>
  <c r="L2037" i="1" s="1"/>
  <c r="K2029" i="1" a="1"/>
  <c r="K2029" i="1" s="1"/>
  <c r="K2028" i="1" s="1" a="1"/>
  <c r="K2028" i="1" s="1"/>
  <c r="J2037" i="1" a="1"/>
  <c r="J2037" i="1" s="1"/>
  <c r="K2034" i="1" a="1"/>
  <c r="K2034" i="1" s="1"/>
  <c r="L2035" i="1" a="1"/>
  <c r="L2035" i="1" s="1"/>
  <c r="K2035" i="1" a="1"/>
  <c r="K2035" i="1" s="1"/>
  <c r="K2032" i="1" a="1"/>
  <c r="K2032" i="1" s="1"/>
  <c r="K2031" i="1" s="1" a="1"/>
  <c r="K2031" i="1" s="1"/>
  <c r="L2029" i="1" a="1"/>
  <c r="L2029" i="1" s="1"/>
  <c r="L2028" i="1" s="1" a="1"/>
  <c r="L2028" i="1" s="1"/>
  <c r="J2035" i="1" a="1"/>
  <c r="J2035" i="1" s="1"/>
  <c r="J2032" i="1" a="1"/>
  <c r="J2032" i="1" s="1"/>
  <c r="J2031" i="1" s="1" a="1"/>
  <c r="J2031" i="1" s="1"/>
  <c r="L2032" i="1" a="1"/>
  <c r="L2032" i="1" s="1"/>
  <c r="L2031" i="1" s="1" a="1"/>
  <c r="L2031" i="1" s="1"/>
  <c r="K2036" i="1" a="1"/>
  <c r="K2036" i="1" s="1"/>
  <c r="L2026" i="1" a="1"/>
  <c r="L2026" i="1" s="1"/>
  <c r="L2023" i="1" a="1"/>
  <c r="L2023" i="1" s="1"/>
  <c r="L2025" i="1" a="1"/>
  <c r="L2025" i="1" s="1"/>
  <c r="K2025" i="1" a="1"/>
  <c r="K2025" i="1" s="1"/>
  <c r="J2025" i="1" a="1"/>
  <c r="J2025" i="1" s="1"/>
  <c r="K2023" i="1" a="1"/>
  <c r="K2023" i="1" s="1"/>
  <c r="J2023" i="1" a="1"/>
  <c r="J2023" i="1" s="1"/>
  <c r="K2026" i="1" a="1"/>
  <c r="K2026" i="1" s="1"/>
  <c r="J2026" i="1" a="1"/>
  <c r="J2026" i="1" s="1"/>
  <c r="L1708" i="1" a="1"/>
  <c r="L1708" i="1" s="1"/>
  <c r="K1709" i="1" a="1"/>
  <c r="K1709" i="1" s="1"/>
  <c r="K1708" i="1" a="1"/>
  <c r="K1708" i="1" s="1"/>
  <c r="L1709" i="1" a="1"/>
  <c r="L1709" i="1" s="1"/>
  <c r="J1709" i="1" a="1"/>
  <c r="J1709" i="1" s="1"/>
  <c r="J1708" i="1" a="1"/>
  <c r="J1708" i="1" s="1"/>
  <c r="L19" i="1"/>
  <c r="L18" i="1" s="1"/>
  <c r="K19" i="1"/>
  <c r="K18" i="1" s="1"/>
  <c r="J19" i="1"/>
  <c r="J18" i="1" s="1"/>
  <c r="J13" i="1" a="1"/>
  <c r="J13" i="1" s="1"/>
  <c r="K15" i="1" a="1"/>
  <c r="K15" i="1" s="1"/>
  <c r="L13" i="1" a="1"/>
  <c r="L13" i="1" s="1"/>
  <c r="J14" i="1" a="1"/>
  <c r="J14" i="1" s="1"/>
  <c r="J15" i="1" a="1"/>
  <c r="J15" i="1" s="1"/>
  <c r="K13" i="1" a="1"/>
  <c r="K13" i="1" s="1"/>
  <c r="L15" i="1" a="1"/>
  <c r="L15" i="1" s="1"/>
  <c r="K14" i="1" a="1"/>
  <c r="K14" i="1" s="1"/>
  <c r="L14" i="1" a="1"/>
  <c r="L14" i="1" s="1"/>
  <c r="J284" i="1" a="1"/>
  <c r="J284" i="1" s="1"/>
  <c r="J283" i="1" s="1"/>
  <c r="L284" i="1" a="1"/>
  <c r="L284" i="1" s="1"/>
  <c r="L283" i="1" s="1"/>
  <c r="K284" i="1" a="1"/>
  <c r="K284" i="1" s="1"/>
  <c r="K275" i="1" a="1"/>
  <c r="K275" i="1" s="1"/>
  <c r="K242" i="1" a="1"/>
  <c r="K242" i="1" s="1"/>
  <c r="J275" i="1" a="1"/>
  <c r="J275" i="1" s="1"/>
  <c r="J274" i="1" s="1"/>
  <c r="J242" i="1" a="1"/>
  <c r="J242" i="1" s="1"/>
  <c r="J241" i="1" s="1"/>
  <c r="L275" i="1" a="1"/>
  <c r="L275" i="1" s="1"/>
  <c r="L274" i="1" s="1"/>
  <c r="L242" i="1" a="1"/>
  <c r="L242" i="1" s="1"/>
  <c r="K199" i="1" a="1"/>
  <c r="K199" i="1" s="1"/>
  <c r="L199" i="1" a="1"/>
  <c r="L199" i="1" s="1"/>
  <c r="L198" i="1" s="1"/>
  <c r="J199" i="1" a="1"/>
  <c r="J199" i="1" s="1"/>
  <c r="L141" i="1" a="1"/>
  <c r="L141" i="1" s="1"/>
  <c r="J59" i="1" a="1"/>
  <c r="J59" i="1" s="1"/>
  <c r="K55" i="1" a="1"/>
  <c r="K55" i="1" s="1"/>
  <c r="J55" i="1" a="1"/>
  <c r="J55" i="1" s="1"/>
  <c r="K60" i="1" a="1"/>
  <c r="K60" i="1" s="1"/>
  <c r="L62" i="1" a="1"/>
  <c r="L62" i="1" s="1"/>
  <c r="J62" i="1" a="1"/>
  <c r="J62" i="1" s="1"/>
  <c r="K62" i="1" a="1"/>
  <c r="K62" i="1" s="1"/>
  <c r="J60" i="1" a="1"/>
  <c r="J60" i="1" s="1"/>
  <c r="L54" i="1" a="1"/>
  <c r="L54" i="1" s="1"/>
  <c r="J54" i="1" a="1"/>
  <c r="J54" i="1" s="1"/>
  <c r="L53" i="1" a="1"/>
  <c r="L53" i="1" s="1"/>
  <c r="K54" i="1" a="1"/>
  <c r="K54" i="1" s="1"/>
  <c r="K53" i="1" a="1"/>
  <c r="K53" i="1" s="1"/>
  <c r="L61" i="1" a="1"/>
  <c r="L61" i="1" s="1"/>
  <c r="K61" i="1" a="1"/>
  <c r="K61" i="1" s="1"/>
  <c r="J61" i="1" a="1"/>
  <c r="J61" i="1" s="1"/>
  <c r="L60" i="1" a="1"/>
  <c r="L60" i="1" s="1"/>
  <c r="L55" i="1" a="1"/>
  <c r="L55" i="1" s="1"/>
  <c r="L59" i="1" a="1"/>
  <c r="L59" i="1" s="1"/>
  <c r="K59" i="1" a="1"/>
  <c r="K59" i="1" s="1"/>
  <c r="L52" i="1" a="1"/>
  <c r="L52" i="1" s="1"/>
  <c r="J53" i="1" a="1"/>
  <c r="J53" i="1" s="1"/>
  <c r="K52" i="1" a="1"/>
  <c r="K52" i="1" s="1"/>
  <c r="J52" i="1" a="1"/>
  <c r="J52" i="1" s="1"/>
  <c r="J24" i="1" a="1"/>
  <c r="J24" i="1" s="1"/>
  <c r="K21" i="1" a="1"/>
  <c r="K21" i="1" s="1"/>
  <c r="L26" i="1" a="1"/>
  <c r="L26" i="1" s="1"/>
  <c r="K25" i="1" a="1"/>
  <c r="K25" i="1" s="1"/>
  <c r="J26" i="1" a="1"/>
  <c r="J26" i="1" s="1"/>
  <c r="L21" i="1" a="1"/>
  <c r="L21" i="1" s="1"/>
  <c r="K26" i="1" a="1"/>
  <c r="K26" i="1" s="1"/>
  <c r="L24" i="1" a="1"/>
  <c r="L24" i="1" s="1"/>
  <c r="K24" i="1" a="1"/>
  <c r="K24" i="1" s="1"/>
  <c r="L25" i="1" a="1"/>
  <c r="L25" i="1" s="1"/>
  <c r="J25" i="1" a="1"/>
  <c r="J25" i="1" s="1"/>
  <c r="L11" i="1" a="1"/>
  <c r="L11" i="1" s="1"/>
  <c r="J21" i="1" a="1"/>
  <c r="J21" i="1" s="1"/>
  <c r="K16" i="1" a="1"/>
  <c r="K16" i="1" s="1"/>
  <c r="J17" i="1" a="1"/>
  <c r="J17" i="1" s="1"/>
  <c r="K11" i="1" a="1"/>
  <c r="K11" i="1" s="1"/>
  <c r="J11" i="1" a="1"/>
  <c r="J11" i="1" s="1"/>
  <c r="L10" i="1" a="1"/>
  <c r="L10" i="1" s="1"/>
  <c r="K17" i="1" a="1"/>
  <c r="K17" i="1" s="1"/>
  <c r="L17" i="1" a="1"/>
  <c r="L17" i="1" s="1"/>
  <c r="J16" i="1" a="1"/>
  <c r="J16" i="1" s="1"/>
  <c r="L16" i="1" a="1"/>
  <c r="L16" i="1" s="1"/>
  <c r="J7" i="1" a="1"/>
  <c r="J7" i="1" s="1"/>
  <c r="L6" i="1" a="1"/>
  <c r="L6" i="1" s="1"/>
  <c r="L4" i="1" a="1"/>
  <c r="L4" i="1" s="1"/>
  <c r="L9" i="1" a="1"/>
  <c r="L9" i="1" s="1"/>
  <c r="K7" i="1" a="1"/>
  <c r="K7" i="1" s="1"/>
  <c r="J9" i="1" a="1"/>
  <c r="J9" i="1" s="1"/>
  <c r="J6" i="1" a="1"/>
  <c r="J6" i="1" s="1"/>
  <c r="K27" i="1" a="1"/>
  <c r="K27" i="1" s="1"/>
  <c r="L7" i="1" a="1"/>
  <c r="L7" i="1" s="1"/>
  <c r="K6" i="1" a="1"/>
  <c r="K6" i="1" s="1"/>
  <c r="L5" i="1" a="1"/>
  <c r="L5" i="1" s="1"/>
  <c r="K5" i="1" a="1"/>
  <c r="K5" i="1" s="1"/>
  <c r="L27" i="1" a="1"/>
  <c r="L27" i="1" s="1"/>
  <c r="K9" i="1" a="1"/>
  <c r="K9" i="1" s="1"/>
  <c r="K4" i="1" a="1"/>
  <c r="K4" i="1" s="1"/>
  <c r="K10" i="1" a="1"/>
  <c r="K10" i="1" s="1"/>
  <c r="J10" i="1" a="1"/>
  <c r="J10" i="1" s="1"/>
  <c r="J5" i="1" a="1"/>
  <c r="J5" i="1" s="1"/>
  <c r="J4" i="1" a="1"/>
  <c r="J4" i="1" s="1"/>
  <c r="K56" i="1" a="1"/>
  <c r="K56" i="1" s="1"/>
  <c r="J56" i="1" a="1"/>
  <c r="J56" i="1" s="1"/>
  <c r="L56" i="1" a="1"/>
  <c r="L56" i="1" s="1"/>
  <c r="L43" i="1" a="1"/>
  <c r="L43" i="1" s="1"/>
  <c r="L50" i="1" a="1"/>
  <c r="L50" i="1" s="1"/>
  <c r="L45" i="1" a="1"/>
  <c r="L45" i="1" s="1"/>
  <c r="K50" i="1" a="1"/>
  <c r="K50" i="1" s="1"/>
  <c r="K43" i="1" a="1"/>
  <c r="K43" i="1" s="1"/>
  <c r="K44" i="1" a="1"/>
  <c r="K44" i="1" s="1"/>
  <c r="J44" i="1" a="1"/>
  <c r="J44" i="1" s="1"/>
  <c r="J50" i="1" a="1"/>
  <c r="J50" i="1" s="1"/>
  <c r="K45" i="1" a="1"/>
  <c r="K45" i="1" s="1"/>
  <c r="J45" i="1" a="1"/>
  <c r="J45" i="1" s="1"/>
  <c r="L44" i="1" a="1"/>
  <c r="L44" i="1" s="1"/>
  <c r="J43" i="1" a="1"/>
  <c r="J43" i="1" s="1"/>
  <c r="J28" i="1" a="1"/>
  <c r="J28" i="1" s="1"/>
  <c r="K28" i="1" a="1"/>
  <c r="K28" i="1" s="1"/>
  <c r="J27" i="1" a="1"/>
  <c r="J27" i="1" s="1"/>
  <c r="L28" i="1" a="1"/>
  <c r="L28" i="1" s="1"/>
  <c r="L319" i="1" l="1"/>
  <c r="L474" i="1" s="1"/>
  <c r="L315" i="1"/>
  <c r="L420" i="1" s="1"/>
  <c r="L399" i="1"/>
  <c r="L519" i="1" s="1"/>
  <c r="J322" i="1"/>
  <c r="J477" i="1" s="1"/>
  <c r="K323" i="1"/>
  <c r="K478" i="1" s="1"/>
  <c r="L380" i="1"/>
  <c r="L437" i="1" s="1"/>
  <c r="J398" i="1"/>
  <c r="J439" i="1" s="1"/>
  <c r="K399" i="1"/>
  <c r="K519" i="1" s="1"/>
  <c r="L382" i="1"/>
  <c r="L513" i="1" s="1"/>
  <c r="L384" i="1"/>
  <c r="L515" i="1" s="1"/>
  <c r="K300" i="1"/>
  <c r="K413" i="1" s="1"/>
  <c r="L320" i="1"/>
  <c r="L475" i="1" s="1"/>
  <c r="J384" i="1"/>
  <c r="J515" i="1" s="1"/>
  <c r="K319" i="1"/>
  <c r="K474" i="1" s="1"/>
  <c r="L361" i="1"/>
  <c r="L428" i="1" s="1"/>
  <c r="L324" i="1"/>
  <c r="L479" i="1" s="1"/>
  <c r="K315" i="1"/>
  <c r="K420" i="1" s="1"/>
  <c r="L386" i="1"/>
  <c r="L517" i="1" s="1"/>
  <c r="K325" i="1"/>
  <c r="K480" i="1" s="1"/>
  <c r="J319" i="1"/>
  <c r="J474" i="1" s="1"/>
  <c r="L325" i="1"/>
  <c r="L480" i="1" s="1"/>
  <c r="K321" i="1"/>
  <c r="K476" i="1" s="1"/>
  <c r="L398" i="1"/>
  <c r="L439" i="1" s="1"/>
  <c r="K320" i="1"/>
  <c r="K475" i="1" s="1"/>
  <c r="L322" i="1"/>
  <c r="L477" i="1" s="1"/>
  <c r="L314" i="1"/>
  <c r="L419" i="1" s="1"/>
  <c r="J400" i="1"/>
  <c r="J520" i="1" s="1"/>
  <c r="K324" i="1"/>
  <c r="K479" i="1" s="1"/>
  <c r="K783" i="1"/>
  <c r="K386" i="1"/>
  <c r="K517" i="1" s="1"/>
  <c r="K124" i="1"/>
  <c r="L783" i="1"/>
  <c r="K400" i="1"/>
  <c r="K520" i="1" s="1"/>
  <c r="J786" i="1"/>
  <c r="J787" i="1" s="1"/>
  <c r="J123" i="1"/>
  <c r="J318" i="1"/>
  <c r="J473" i="1" s="1"/>
  <c r="J385" i="1"/>
  <c r="J516" i="1" s="1"/>
  <c r="L124" i="1"/>
  <c r="L323" i="1"/>
  <c r="L478" i="1" s="1"/>
  <c r="J380" i="1"/>
  <c r="J437" i="1" s="1"/>
  <c r="K380" i="1"/>
  <c r="K437" i="1" s="1"/>
  <c r="L318" i="1"/>
  <c r="L473" i="1" s="1"/>
  <c r="L122" i="1"/>
  <c r="J126" i="1"/>
  <c r="J300" i="1"/>
  <c r="J413" i="1" s="1"/>
  <c r="J399" i="1"/>
  <c r="J519" i="1" s="1"/>
  <c r="L300" i="1"/>
  <c r="L413" i="1" s="1"/>
  <c r="L400" i="1"/>
  <c r="L520" i="1" s="1"/>
  <c r="J324" i="1"/>
  <c r="J479" i="1" s="1"/>
  <c r="K384" i="1"/>
  <c r="K515" i="1" s="1"/>
  <c r="J902" i="1"/>
  <c r="L902" i="1"/>
  <c r="J301" i="1"/>
  <c r="J465" i="1" s="1"/>
  <c r="K385" i="1"/>
  <c r="K516" i="1" s="1"/>
  <c r="L385" i="1"/>
  <c r="L516" i="1" s="1"/>
  <c r="K398" i="1"/>
  <c r="K439" i="1" s="1"/>
  <c r="K198" i="1"/>
  <c r="K361" i="1" s="1"/>
  <c r="K428" i="1" s="1"/>
  <c r="K362" i="1"/>
  <c r="K429" i="1" s="1"/>
  <c r="L241" i="1"/>
  <c r="L316" i="1" s="1"/>
  <c r="L471" i="1" s="1"/>
  <c r="L317" i="1"/>
  <c r="L472" i="1" s="1"/>
  <c r="K383" i="1"/>
  <c r="K514" i="1" s="1"/>
  <c r="K283" i="1"/>
  <c r="K382" i="1" s="1"/>
  <c r="K513" i="1" s="1"/>
  <c r="J362" i="1"/>
  <c r="J429" i="1" s="1"/>
  <c r="J198" i="1"/>
  <c r="J361" i="1" s="1"/>
  <c r="J428" i="1" s="1"/>
  <c r="K317" i="1"/>
  <c r="K472" i="1" s="1"/>
  <c r="K241" i="1"/>
  <c r="K316" i="1" s="1"/>
  <c r="K471" i="1" s="1"/>
  <c r="J726" i="1" a="1"/>
  <c r="J726" i="1" s="1"/>
  <c r="J728" i="1" s="1" a="1"/>
  <c r="J728" i="1" s="1"/>
  <c r="J742" i="1" a="1"/>
  <c r="J742" i="1" s="1"/>
  <c r="J744" i="1" s="1" a="1"/>
  <c r="J744" i="1" s="1"/>
  <c r="L364" i="1"/>
  <c r="K274" i="1"/>
  <c r="K363" i="1" s="1"/>
  <c r="K504" i="1" s="1"/>
  <c r="K364" i="1"/>
  <c r="K742" i="1" a="1"/>
  <c r="K742" i="1" s="1"/>
  <c r="K744" i="1" s="1" a="1"/>
  <c r="K744" i="1" s="1"/>
  <c r="K726" i="1" a="1"/>
  <c r="K726" i="1" s="1"/>
  <c r="K728" i="1" s="1" a="1"/>
  <c r="K728" i="1" s="1"/>
  <c r="L726" i="1" a="1"/>
  <c r="L726" i="1" s="1"/>
  <c r="L728" i="1" s="1" a="1"/>
  <c r="L728" i="1" s="1"/>
  <c r="L742" i="1" a="1"/>
  <c r="L742" i="1" s="1"/>
  <c r="L744" i="1" s="1" a="1"/>
  <c r="L744" i="1" s="1"/>
  <c r="K318" i="1"/>
  <c r="K473" i="1" s="1"/>
  <c r="K122" i="1"/>
  <c r="L383" i="1"/>
  <c r="L514" i="1" s="1"/>
  <c r="J363" i="1"/>
  <c r="J504" i="1" s="1"/>
  <c r="J120" i="1"/>
  <c r="J316" i="1"/>
  <c r="J471" i="1" s="1"/>
  <c r="L363" i="1"/>
  <c r="L504" i="1" s="1"/>
  <c r="J325" i="1"/>
  <c r="J480" i="1" s="1"/>
  <c r="L123" i="1"/>
  <c r="K126" i="1"/>
  <c r="K322" i="1"/>
  <c r="K477" i="1" s="1"/>
  <c r="J364" i="1"/>
  <c r="L129" i="1"/>
  <c r="J382" i="1"/>
  <c r="J513" i="1" s="1"/>
  <c r="K314" i="1"/>
  <c r="K419" i="1" s="1"/>
  <c r="K118" i="1"/>
  <c r="J317" i="1"/>
  <c r="J472" i="1" s="1"/>
  <c r="J321" i="1"/>
  <c r="J476" i="1" s="1"/>
  <c r="J315" i="1"/>
  <c r="J420" i="1" s="1"/>
  <c r="J119" i="1"/>
  <c r="L362" i="1"/>
  <c r="L429" i="1" s="1"/>
  <c r="J383" i="1"/>
  <c r="J514" i="1" s="1"/>
  <c r="L119" i="1"/>
  <c r="J323" i="1"/>
  <c r="J478" i="1" s="1"/>
  <c r="J386" i="1"/>
  <c r="J517" i="1" s="1"/>
  <c r="L321" i="1"/>
  <c r="L476" i="1" s="1"/>
  <c r="L128" i="1"/>
  <c r="J314" i="1"/>
  <c r="J419" i="1" s="1"/>
  <c r="J320" i="1"/>
  <c r="J475" i="1" s="1"/>
  <c r="K925" i="1"/>
  <c r="K924" i="1" s="1"/>
  <c r="K902" i="1"/>
  <c r="K903" i="1"/>
  <c r="K899" i="1"/>
  <c r="L925" i="1"/>
  <c r="L924" i="1" s="1"/>
  <c r="L903" i="1"/>
  <c r="L899" i="1"/>
  <c r="J899" i="1"/>
  <c r="J903" i="1"/>
  <c r="L2101" i="1"/>
  <c r="L2051" i="1"/>
  <c r="L1886" i="1"/>
  <c r="L1866" i="1"/>
  <c r="L1811" i="1"/>
  <c r="L1760" i="1"/>
  <c r="L1599" i="1"/>
  <c r="L1400" i="1"/>
  <c r="L945" i="1"/>
  <c r="L891" i="1"/>
  <c r="L889" i="1"/>
  <c r="L852" i="1"/>
  <c r="L850" i="1"/>
  <c r="L848" i="1"/>
  <c r="L823" i="1"/>
  <c r="L814" i="1"/>
  <c r="L812" i="1"/>
  <c r="L796" i="1"/>
  <c r="L775" i="1"/>
  <c r="L773" i="1"/>
  <c r="L577" i="1"/>
  <c r="L529" i="1"/>
  <c r="L506" i="1"/>
  <c r="L578" i="1"/>
  <c r="L453" i="1"/>
  <c r="L452" i="1"/>
  <c r="L445" i="1"/>
  <c r="L443" i="1"/>
  <c r="L292" i="1"/>
  <c r="L276" i="1"/>
  <c r="L227" i="1"/>
  <c r="L225" i="1"/>
  <c r="L223" i="1"/>
  <c r="L222" i="1"/>
  <c r="L219" i="1"/>
  <c r="L217" i="1"/>
  <c r="L197" i="1"/>
  <c r="L159" i="1"/>
  <c r="L150" i="1"/>
  <c r="L99" i="1"/>
  <c r="L78" i="1"/>
  <c r="L75" i="1"/>
  <c r="L74" i="1" s="1"/>
  <c r="L66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L470" i="1" l="1"/>
  <c r="L310" i="1"/>
  <c r="L1296" i="1"/>
  <c r="L1645" i="1"/>
  <c r="L2287" i="1"/>
  <c r="L955" i="1"/>
  <c r="L974" i="1"/>
  <c r="L1280" i="1"/>
  <c r="L1639" i="1"/>
  <c r="L864" i="1"/>
  <c r="L1110" i="1"/>
  <c r="L1298" i="1"/>
  <c r="L1631" i="1"/>
  <c r="L1299" i="1"/>
  <c r="L1268" i="1"/>
  <c r="L1406" i="1"/>
  <c r="L2259" i="1"/>
  <c r="L715" i="1"/>
  <c r="L1875" i="1"/>
  <c r="L717" i="1"/>
  <c r="L731" i="1"/>
  <c r="L1877" i="1"/>
  <c r="L732" i="1"/>
  <c r="L1678" i="1"/>
  <c r="L1739" i="1"/>
  <c r="L1881" i="1"/>
  <c r="L1883" i="1"/>
  <c r="L1978" i="1"/>
  <c r="L51" i="1"/>
  <c r="L805" i="1"/>
  <c r="L878" i="1"/>
  <c r="L1594" i="1"/>
  <c r="L1754" i="1"/>
  <c r="L1394" i="1"/>
  <c r="L1508" i="1"/>
  <c r="L1755" i="1"/>
  <c r="L1860" i="1"/>
  <c r="L35" i="1"/>
  <c r="L39" i="1" s="1"/>
  <c r="L1741" i="1"/>
  <c r="L1863" i="1"/>
  <c r="L2276" i="1"/>
  <c r="L1757" i="1"/>
  <c r="L1679" i="1"/>
  <c r="L913" i="1"/>
  <c r="L2243" i="1"/>
  <c r="L1745" i="1"/>
  <c r="L1717" i="1"/>
  <c r="L58" i="1"/>
  <c r="L544" i="1"/>
  <c r="L800" i="1"/>
  <c r="L608" i="1"/>
  <c r="L631" i="1"/>
  <c r="L661" i="1"/>
  <c r="L686" i="1"/>
  <c r="L860" i="1"/>
  <c r="L1103" i="1"/>
  <c r="L1276" i="1"/>
  <c r="L1290" i="1"/>
  <c r="L1305" i="1"/>
  <c r="L1687" i="1"/>
  <c r="L1835" i="1"/>
  <c r="L2291" i="1"/>
  <c r="L1746" i="1"/>
  <c r="L1718" i="1"/>
  <c r="L1046" i="1"/>
  <c r="L1057" i="1"/>
  <c r="L1105" i="1"/>
  <c r="L1302" i="1"/>
  <c r="L1396" i="1"/>
  <c r="L1692" i="1"/>
  <c r="L1837" i="1"/>
  <c r="L2084" i="1"/>
  <c r="L2262" i="1"/>
  <c r="L2293" i="1"/>
  <c r="L1719" i="1"/>
  <c r="L201" i="1"/>
  <c r="L583" i="1"/>
  <c r="L790" i="1"/>
  <c r="L881" i="1"/>
  <c r="L947" i="1"/>
  <c r="L994" i="1"/>
  <c r="L1004" i="1" s="1"/>
  <c r="L1292" i="1"/>
  <c r="L1277" i="1"/>
  <c r="L1388" i="1"/>
  <c r="L1466" i="1"/>
  <c r="L1567" i="1"/>
  <c r="L1634" i="1"/>
  <c r="L1839" i="1"/>
  <c r="L2264" i="1"/>
  <c r="L2296" i="1"/>
  <c r="L206" i="1"/>
  <c r="L387" i="1"/>
  <c r="L739" i="1"/>
  <c r="L826" i="1"/>
  <c r="L949" i="1"/>
  <c r="L1389" i="1"/>
  <c r="L1475" i="1"/>
  <c r="L1841" i="1"/>
  <c r="L2235" i="1"/>
  <c r="L2266" i="1"/>
  <c r="L1749" i="1"/>
  <c r="L1722" i="1"/>
  <c r="L208" i="1"/>
  <c r="L1044" i="1"/>
  <c r="L389" i="1"/>
  <c r="L447" i="1"/>
  <c r="L636" i="1"/>
  <c r="L700" i="1"/>
  <c r="L708" i="1"/>
  <c r="L915" i="1"/>
  <c r="L1425" i="1"/>
  <c r="L1484" i="1"/>
  <c r="L1869" i="1"/>
  <c r="L2268" i="1"/>
  <c r="L2299" i="1"/>
  <c r="L1750" i="1"/>
  <c r="L36" i="1"/>
  <c r="L40" i="1" s="1"/>
  <c r="L64" i="1"/>
  <c r="L168" i="1"/>
  <c r="L911" i="1"/>
  <c r="L943" i="1" s="1"/>
  <c r="L449" i="1"/>
  <c r="L876" i="1"/>
  <c r="L951" i="1"/>
  <c r="L1295" i="1"/>
  <c r="L1391" i="1"/>
  <c r="L1503" i="1"/>
  <c r="L1815" i="1"/>
  <c r="L1889" i="1"/>
  <c r="L2238" i="1"/>
  <c r="L2270" i="1"/>
  <c r="L2301" i="1"/>
  <c r="L169" i="1"/>
  <c r="L451" i="1"/>
  <c r="L587" i="1"/>
  <c r="L803" i="1"/>
  <c r="L830" i="1"/>
  <c r="L956" i="1"/>
  <c r="L1266" i="1"/>
  <c r="L1308" i="1"/>
  <c r="L1680" i="1"/>
  <c r="L1847" i="1"/>
  <c r="L1891" i="1"/>
  <c r="L2240" i="1"/>
  <c r="L2273" i="1"/>
  <c r="L1753" i="1"/>
  <c r="L1732" i="1"/>
  <c r="L658" i="1"/>
  <c r="L832" i="1"/>
  <c r="L1065" i="1"/>
  <c r="L1267" i="1"/>
  <c r="L1309" i="1"/>
  <c r="L1480" i="1"/>
  <c r="L1472" i="1"/>
  <c r="L1606" i="1"/>
  <c r="L1849" i="1"/>
  <c r="L2061" i="1"/>
  <c r="L1733" i="1"/>
  <c r="L523" i="1"/>
  <c r="L294" i="1"/>
  <c r="L455" i="1"/>
  <c r="L712" i="1"/>
  <c r="L1016" i="1"/>
  <c r="L1281" i="1"/>
  <c r="L1310" i="1"/>
  <c r="L1387" i="1"/>
  <c r="L1379" i="1"/>
  <c r="L1543" i="1"/>
  <c r="L2092" i="1"/>
  <c r="L2305" i="1"/>
  <c r="L567" i="1"/>
  <c r="L457" i="1"/>
  <c r="L591" i="1"/>
  <c r="L844" i="1"/>
  <c r="L1072" i="1"/>
  <c r="L1098" i="1" s="1"/>
  <c r="L1270" i="1"/>
  <c r="L1311" i="1"/>
  <c r="L1491" i="1"/>
  <c r="L1544" i="1"/>
  <c r="L1588" i="1"/>
  <c r="L1710" i="1"/>
  <c r="L1852" i="1"/>
  <c r="L1873" i="1"/>
  <c r="L2094" i="1"/>
  <c r="L2307" i="1"/>
  <c r="L269" i="1"/>
  <c r="L568" i="1"/>
  <c r="L221" i="1"/>
  <c r="L459" i="1"/>
  <c r="L641" i="1"/>
  <c r="L672" i="1"/>
  <c r="L808" i="1"/>
  <c r="L888" i="1"/>
  <c r="L1026" i="1"/>
  <c r="L1381" i="1"/>
  <c r="L1474" i="1"/>
  <c r="L1545" i="1"/>
  <c r="L1589" i="1"/>
  <c r="L1682" i="1"/>
  <c r="L1702" i="1"/>
  <c r="L1854" i="1"/>
  <c r="L1895" i="1"/>
  <c r="L2309" i="1"/>
  <c r="L526" i="1"/>
  <c r="L525" i="1"/>
  <c r="L461" i="1"/>
  <c r="L594" i="1"/>
  <c r="L846" i="1"/>
  <c r="L892" i="1"/>
  <c r="L927" i="1"/>
  <c r="L1028" i="1"/>
  <c r="L1313" i="1"/>
  <c r="L1469" i="1"/>
  <c r="L1493" i="1"/>
  <c r="L1539" i="1"/>
  <c r="L1856" i="1"/>
  <c r="L2245" i="1"/>
  <c r="L2311" i="1"/>
  <c r="L1756" i="1"/>
  <c r="L173" i="1"/>
  <c r="L303" i="1"/>
  <c r="L511" i="1"/>
  <c r="L705" i="1"/>
  <c r="L957" i="1"/>
  <c r="L1120" i="1"/>
  <c r="L1285" i="1"/>
  <c r="L1476" i="1"/>
  <c r="L1542" i="1"/>
  <c r="L1801" i="1"/>
  <c r="L1858" i="1"/>
  <c r="L1897" i="1"/>
  <c r="L2247" i="1"/>
  <c r="L2279" i="1"/>
  <c r="L771" i="1"/>
  <c r="L931" i="1"/>
  <c r="L1031" i="1"/>
  <c r="L1077" i="1"/>
  <c r="L1496" i="1"/>
  <c r="L1547" i="1"/>
  <c r="L1591" i="1"/>
  <c r="L1707" i="1"/>
  <c r="L1825" i="1"/>
  <c r="L1899" i="1"/>
  <c r="L2249" i="1"/>
  <c r="L1758" i="1"/>
  <c r="L522" i="1"/>
  <c r="L680" i="1"/>
  <c r="L770" i="1"/>
  <c r="L1272" i="1"/>
  <c r="L1383" i="1"/>
  <c r="L1462" i="1"/>
  <c r="L1477" i="1"/>
  <c r="L1533" i="1"/>
  <c r="L1649" i="1"/>
  <c r="L1685" i="1"/>
  <c r="L1803" i="1"/>
  <c r="L1828" i="1"/>
  <c r="L1879" i="1"/>
  <c r="L1901" i="1"/>
  <c r="L2251" i="1"/>
  <c r="L579" i="1"/>
  <c r="L524" i="1"/>
  <c r="L613" i="1"/>
  <c r="L777" i="1"/>
  <c r="L880" i="1"/>
  <c r="L933" i="1"/>
  <c r="L1038" i="1"/>
  <c r="L1273" i="1"/>
  <c r="L1377" i="1"/>
  <c r="L1585" i="1"/>
  <c r="L1686" i="1"/>
  <c r="L2053" i="1"/>
  <c r="L2283" i="1"/>
  <c r="L187" i="1"/>
  <c r="L186" i="1" s="1"/>
  <c r="L100" i="1"/>
  <c r="L229" i="1"/>
  <c r="L401" i="1"/>
  <c r="L626" i="1"/>
  <c r="L624" i="1" s="1"/>
  <c r="L1040" i="1"/>
  <c r="L1037" i="1" s="1"/>
  <c r="L1274" i="1"/>
  <c r="L1203" i="1"/>
  <c r="L1301" i="1"/>
  <c r="L1316" i="1"/>
  <c r="L1397" i="1"/>
  <c r="L1464" i="1"/>
  <c r="L1550" i="1"/>
  <c r="L2077" i="1"/>
  <c r="L2102" i="1"/>
  <c r="L2285" i="1"/>
  <c r="L231" i="1"/>
  <c r="L569" i="1"/>
  <c r="L605" i="1"/>
  <c r="L961" i="1"/>
  <c r="L1465" i="1"/>
  <c r="L1479" i="1"/>
  <c r="L1535" i="1"/>
  <c r="L1681" i="1"/>
  <c r="L2257" i="1"/>
  <c r="L1743" i="1"/>
  <c r="L1716" i="1"/>
  <c r="L102" i="1"/>
  <c r="L572" i="1"/>
  <c r="L730" i="1"/>
  <c r="L854" i="1"/>
  <c r="L912" i="1"/>
  <c r="L937" i="1"/>
  <c r="L992" i="1"/>
  <c r="L1275" i="1"/>
  <c r="L1288" i="1"/>
  <c r="L1303" i="1"/>
  <c r="L1380" i="1"/>
  <c r="L1385" i="1"/>
  <c r="L1637" i="1"/>
  <c r="L1762" i="1"/>
  <c r="L1833" i="1"/>
  <c r="L2057" i="1"/>
  <c r="L1744" i="1"/>
  <c r="L195" i="1"/>
  <c r="L234" i="1"/>
  <c r="L442" i="1"/>
  <c r="L575" i="1" s="1"/>
  <c r="L573" i="1"/>
  <c r="L1537" i="1"/>
  <c r="L1597" i="1"/>
  <c r="L1810" i="1"/>
  <c r="L2106" i="1"/>
  <c r="L2289" i="1"/>
  <c r="L1740" i="1"/>
  <c r="L57" i="1"/>
  <c r="L1721" i="1"/>
  <c r="L29" i="1"/>
  <c r="L34" i="1"/>
  <c r="L211" i="1"/>
  <c r="L214" i="1"/>
  <c r="L1752" i="1"/>
  <c r="L12" i="1"/>
  <c r="L145" i="1"/>
  <c r="L366" i="1"/>
  <c r="L713" i="1"/>
  <c r="L710" i="1"/>
  <c r="L659" i="1"/>
  <c r="L1734" i="1"/>
  <c r="L47" i="1"/>
  <c r="L656" i="1"/>
  <c r="L646" i="1"/>
  <c r="L877" i="1"/>
  <c r="L657" i="1"/>
  <c r="L676" i="1"/>
  <c r="L1122" i="1"/>
  <c r="L304" i="1"/>
  <c r="L298" i="1"/>
  <c r="L549" i="1"/>
  <c r="L305" i="1"/>
  <c r="L183" i="1"/>
  <c r="L704" i="1"/>
  <c r="L695" i="1"/>
  <c r="L327" i="1"/>
  <c r="L149" i="1"/>
  <c r="L1712" i="1"/>
  <c r="L42" i="1"/>
  <c r="L161" i="1"/>
  <c r="L215" i="1"/>
  <c r="L967" i="1"/>
  <c r="L188" i="1"/>
  <c r="L795" i="1"/>
  <c r="L570" i="1"/>
  <c r="L1715" i="1"/>
  <c r="L23" i="1"/>
  <c r="L651" i="1"/>
  <c r="L660" i="1"/>
  <c r="L987" i="1"/>
  <c r="L1289" i="1"/>
  <c r="L990" i="1"/>
  <c r="L82" i="1"/>
  <c r="L970" i="1"/>
  <c r="L917" i="1"/>
  <c r="L1291" i="1"/>
  <c r="L101" i="1"/>
  <c r="L1045" i="1"/>
  <c r="L576" i="1"/>
  <c r="L281" i="1"/>
  <c r="L798" i="1"/>
  <c r="L601" i="1"/>
  <c r="L612" i="1"/>
  <c r="L1306" i="1"/>
  <c r="L971" i="1"/>
  <c r="L921" i="1"/>
  <c r="L1137" i="1"/>
  <c r="L1293" i="1"/>
  <c r="L531" i="1"/>
  <c r="L580" i="1"/>
  <c r="L958" i="1"/>
  <c r="L997" i="1"/>
  <c r="L1086" i="1"/>
  <c r="L1125" i="1"/>
  <c r="L1152" i="1"/>
  <c r="L1294" i="1"/>
  <c r="L701" i="1"/>
  <c r="L684" i="1"/>
  <c r="L960" i="1"/>
  <c r="L1113" i="1"/>
  <c r="L1088" i="1"/>
  <c r="L1279" i="1"/>
  <c r="L1351" i="1"/>
  <c r="L1376" i="1"/>
  <c r="L908" i="1"/>
  <c r="L271" i="1"/>
  <c r="L260" i="1" s="1"/>
  <c r="L581" i="1"/>
  <c r="L106" i="1"/>
  <c r="L151" i="1"/>
  <c r="L909" i="1"/>
  <c r="L894" i="1"/>
  <c r="L1127" i="1"/>
  <c r="L1327" i="1"/>
  <c r="L598" i="1"/>
  <c r="L699" i="1"/>
  <c r="L859" i="1"/>
  <c r="L819" i="1"/>
  <c r="L1748" i="1"/>
  <c r="L8" i="1"/>
  <c r="L551" i="1"/>
  <c r="L202" i="1"/>
  <c r="L113" i="1"/>
  <c r="L910" i="1"/>
  <c r="L545" i="1"/>
  <c r="L1023" i="1"/>
  <c r="L1157" i="1"/>
  <c r="L1282" i="1"/>
  <c r="L3" i="1"/>
  <c r="L70" i="1"/>
  <c r="L130" i="1"/>
  <c r="L801" i="1"/>
  <c r="L288" i="1"/>
  <c r="L655" i="1"/>
  <c r="L797" i="1"/>
  <c r="L1269" i="1"/>
  <c r="L1283" i="1"/>
  <c r="L1312" i="1"/>
  <c r="L127" i="1"/>
  <c r="L571" i="1"/>
  <c r="L765" i="1"/>
  <c r="L858" i="1" s="1"/>
  <c r="L799" i="1"/>
  <c r="L671" i="1"/>
  <c r="L702" i="1"/>
  <c r="L556" i="1"/>
  <c r="L793" i="1"/>
  <c r="L239" i="1"/>
  <c r="L703" i="1"/>
  <c r="L694" i="1"/>
  <c r="L691" i="1" s="1"/>
  <c r="L723" i="1"/>
  <c r="L977" i="1"/>
  <c r="L1123" i="1"/>
  <c r="L1271" i="1"/>
  <c r="L1180" i="1"/>
  <c r="L1286" i="1"/>
  <c r="L1322" i="1"/>
  <c r="L1411" i="1"/>
  <c r="L1471" i="1"/>
  <c r="L1518" i="1"/>
  <c r="L1636" i="1"/>
  <c r="L1683" i="1"/>
  <c r="L1830" i="1"/>
  <c r="L2254" i="1"/>
  <c r="L781" i="1"/>
  <c r="L959" i="1"/>
  <c r="L1075" i="1"/>
  <c r="L1378" i="1"/>
  <c r="L1390" i="1"/>
  <c r="L1534" i="1"/>
  <c r="L1684" i="1"/>
  <c r="L2189" i="1"/>
  <c r="L1473" i="1"/>
  <c r="L1586" i="1"/>
  <c r="L1284" i="1"/>
  <c r="L1307" i="1"/>
  <c r="L1478" i="1"/>
  <c r="L1536" i="1"/>
  <c r="L1587" i="1"/>
  <c r="L1638" i="1"/>
  <c r="L1786" i="1"/>
  <c r="L1903" i="1"/>
  <c r="L1135" i="1"/>
  <c r="L530" i="1"/>
  <c r="L863" i="1"/>
  <c r="L1079" i="1"/>
  <c r="L1341" i="1"/>
  <c r="L1392" i="1"/>
  <c r="L1538" i="1"/>
  <c r="L1766" i="1"/>
  <c r="L1297" i="1"/>
  <c r="L1435" i="1"/>
  <c r="L1060" i="1"/>
  <c r="L1393" i="1"/>
  <c r="L1461" i="1"/>
  <c r="L1552" i="1"/>
  <c r="L1590" i="1"/>
  <c r="L2165" i="1"/>
  <c r="L1382" i="1"/>
  <c r="L1540" i="1"/>
  <c r="L1770" i="1"/>
  <c r="L1062" i="1"/>
  <c r="L1287" i="1"/>
  <c r="L1463" i="1"/>
  <c r="L1489" i="1"/>
  <c r="L1486" i="1"/>
  <c r="L1592" i="1"/>
  <c r="L1614" i="1"/>
  <c r="L1793" i="1"/>
  <c r="L1844" i="1"/>
  <c r="L1954" i="1"/>
  <c r="L866" i="1"/>
  <c r="L968" i="1"/>
  <c r="L969" i="1"/>
  <c r="L1109" i="1"/>
  <c r="L1541" i="1"/>
  <c r="L1641" i="1"/>
  <c r="L614" i="1"/>
  <c r="L1213" i="1"/>
  <c r="L1395" i="1"/>
  <c r="L1559" i="1"/>
  <c r="L2114" i="1"/>
  <c r="L1111" i="1"/>
  <c r="L1300" i="1"/>
  <c r="L1384" i="1"/>
  <c r="L184" i="1"/>
  <c r="L599" i="1"/>
  <c r="L879" i="1"/>
  <c r="L1112" i="1"/>
  <c r="L1278" i="1"/>
  <c r="L1467" i="1"/>
  <c r="L1481" i="1"/>
  <c r="L1620" i="1"/>
  <c r="L1265" i="1"/>
  <c r="L1398" i="1"/>
  <c r="L1482" i="1"/>
  <c r="L1498" i="1"/>
  <c r="L1632" i="1"/>
  <c r="L1386" i="1"/>
  <c r="L1468" i="1"/>
  <c r="L1460" i="1"/>
  <c r="L1633" i="1"/>
  <c r="L1304" i="1"/>
  <c r="L1573" i="1"/>
  <c r="L2024" i="1"/>
  <c r="L2050" i="1"/>
  <c r="L2315" i="1"/>
  <c r="L1073" i="1"/>
  <c r="L1470" i="1"/>
  <c r="L1584" i="1"/>
  <c r="L1635" i="1"/>
  <c r="L1688" i="1"/>
  <c r="L1005" i="1" l="1"/>
  <c r="L1002" i="1" s="1"/>
  <c r="L1014" i="1"/>
  <c r="L1011" i="1" s="1"/>
  <c r="L1555" i="1"/>
  <c r="L1160" i="1"/>
  <c r="L1602" i="1"/>
  <c r="L1652" i="1"/>
  <c r="L1511" i="1"/>
  <c r="L1556" i="1"/>
  <c r="L1161" i="1"/>
  <c r="L1653" i="1"/>
  <c r="L1512" i="1"/>
  <c r="L1603" i="1"/>
  <c r="L1601" i="1" s="1"/>
  <c r="L1314" i="1"/>
  <c r="L258" i="1"/>
  <c r="L341" i="1"/>
  <c r="L1843" i="1"/>
  <c r="L920" i="1"/>
  <c r="L1083" i="1"/>
  <c r="L2321" i="1"/>
  <c r="L2318" i="1"/>
  <c r="L817" i="1"/>
  <c r="L1483" i="1"/>
  <c r="L634" i="1"/>
  <c r="L469" i="1"/>
  <c r="L467" i="1" s="1"/>
  <c r="L1490" i="1"/>
  <c r="L2030" i="1"/>
  <c r="L1315" i="1"/>
  <c r="L1747" i="1"/>
  <c r="L1885" i="1"/>
  <c r="L114" i="1"/>
  <c r="L98" i="1" s="1"/>
  <c r="L784" i="1"/>
  <c r="L192" i="1"/>
  <c r="L2027" i="1"/>
  <c r="L768" i="1"/>
  <c r="L1862" i="1"/>
  <c r="L1759" i="1"/>
  <c r="L265" i="1"/>
  <c r="L679" i="1"/>
  <c r="L769" i="1"/>
  <c r="L1007" i="1"/>
  <c r="L1052" i="1"/>
  <c r="L148" i="1"/>
  <c r="L2213" i="1"/>
  <c r="L1036" i="1"/>
  <c r="L966" i="1"/>
  <c r="L1751" i="1"/>
  <c r="L110" i="1"/>
  <c r="L338" i="1" s="1"/>
  <c r="L1725" i="1"/>
  <c r="L2223" i="1"/>
  <c r="L1824" i="1"/>
  <c r="L417" i="1"/>
  <c r="L415" i="1" s="1"/>
  <c r="L112" i="1"/>
  <c r="L107" i="1"/>
  <c r="L335" i="1" s="1"/>
  <c r="L351" i="1" s="1"/>
  <c r="L496" i="1" s="1"/>
  <c r="L485" i="1" s="1"/>
  <c r="L266" i="1"/>
  <c r="L302" i="1"/>
  <c r="L213" i="1"/>
  <c r="L563" i="1"/>
  <c r="L2295" i="1"/>
  <c r="L2253" i="1"/>
  <c r="L986" i="1"/>
  <c r="L586" i="1"/>
  <c r="L368" i="1"/>
  <c r="L431" i="1" s="1"/>
  <c r="L1136" i="1"/>
  <c r="L328" i="1"/>
  <c r="L280" i="1"/>
  <c r="L273" i="1"/>
  <c r="L1033" i="1"/>
  <c r="L137" i="1"/>
  <c r="L210" i="1"/>
  <c r="L182" i="1" s="1"/>
  <c r="L371" i="1"/>
  <c r="L378" i="1"/>
  <c r="L2234" i="1"/>
  <c r="L1043" i="1"/>
  <c r="L1097" i="1" s="1"/>
  <c r="L109" i="1"/>
  <c r="L337" i="1" s="1"/>
  <c r="L353" i="1" s="1"/>
  <c r="L2012" i="1"/>
  <c r="L267" i="1"/>
  <c r="L941" i="1"/>
  <c r="L329" i="1"/>
  <c r="L63" i="1"/>
  <c r="L108" i="1"/>
  <c r="L2272" i="1"/>
  <c r="L1497" i="1"/>
  <c r="L270" i="1"/>
  <c r="L942" i="1"/>
  <c r="L940" i="1"/>
  <c r="L528" i="1"/>
  <c r="L282" i="1"/>
  <c r="L2002" i="1"/>
  <c r="L887" i="1"/>
  <c r="L279" i="1"/>
  <c r="L662" i="1"/>
  <c r="L1720" i="1"/>
  <c r="L330" i="1"/>
  <c r="L1664" i="1"/>
  <c r="L1025" i="1"/>
  <c r="L1022" i="1" s="1"/>
  <c r="L1640" i="1"/>
  <c r="L1399" i="1"/>
  <c r="L272" i="1"/>
  <c r="L105" i="1"/>
  <c r="L993" i="1"/>
  <c r="L441" i="1"/>
  <c r="L440" i="1" s="1"/>
  <c r="L590" i="1"/>
  <c r="L865" i="1"/>
  <c r="L900" i="1"/>
  <c r="L205" i="1"/>
  <c r="L268" i="1"/>
  <c r="L1124" i="1"/>
  <c r="L862" i="1"/>
  <c r="L810" i="1"/>
  <c r="L1017" i="1"/>
  <c r="L714" i="1"/>
  <c r="L147" i="1"/>
  <c r="L1546" i="1"/>
  <c r="L543" i="1"/>
  <c r="L527" i="1"/>
  <c r="L644" i="1"/>
  <c r="L104" i="1"/>
  <c r="L604" i="1"/>
  <c r="L343" i="1"/>
  <c r="L532" i="1"/>
  <c r="L334" i="1"/>
  <c r="L397" i="1"/>
  <c r="L369" i="1"/>
  <c r="L1133" i="1"/>
  <c r="L1101" i="1"/>
  <c r="L1742" i="1"/>
  <c r="L2" i="1"/>
  <c r="L412" i="1"/>
  <c r="L554" i="1"/>
  <c r="L1724" i="1"/>
  <c r="L33" i="1"/>
  <c r="L989" i="1"/>
  <c r="L41" i="1"/>
  <c r="L1731" i="1"/>
  <c r="L38" i="1"/>
  <c r="L146" i="1"/>
  <c r="L533" i="1"/>
  <c r="L1714" i="1"/>
  <c r="L22" i="1"/>
  <c r="L1736" i="1"/>
  <c r="L46" i="1"/>
  <c r="L1132" i="1"/>
  <c r="L1099" i="1"/>
  <c r="L238" i="1"/>
  <c r="L237" i="1"/>
  <c r="L111" i="1"/>
  <c r="L367" i="1"/>
  <c r="L1003" i="1"/>
  <c r="L1001" i="1"/>
  <c r="L103" i="1"/>
  <c r="L49" i="1"/>
  <c r="L1428" i="1" s="1"/>
  <c r="L377" i="1"/>
  <c r="L370" i="1"/>
  <c r="L794" i="1"/>
  <c r="L263" i="1"/>
  <c r="L240" i="1"/>
  <c r="L358" i="1"/>
  <c r="L264" i="1"/>
  <c r="L1665" i="1"/>
  <c r="L1729" i="1"/>
  <c r="L673" i="1"/>
  <c r="L693" i="1"/>
  <c r="L200" i="1"/>
  <c r="L907" i="1"/>
  <c r="L196" i="1"/>
  <c r="L379" i="1"/>
  <c r="L204" i="1"/>
  <c r="L1593" i="1"/>
  <c r="L373" i="1"/>
  <c r="L565" i="1"/>
  <c r="L464" i="1"/>
  <c r="L542" i="1"/>
  <c r="L1728" i="1"/>
  <c r="L291" i="1" l="1"/>
  <c r="L1206" i="1"/>
  <c r="L1415" i="1"/>
  <c r="L1331" i="1"/>
  <c r="L1184" i="1"/>
  <c r="L1563" i="1"/>
  <c r="L1610" i="1"/>
  <c r="L1344" i="1"/>
  <c r="L1562" i="1"/>
  <c r="L1561" i="1" s="1"/>
  <c r="L1560" i="1" s="1"/>
  <c r="L1658" i="1"/>
  <c r="L1659" i="1" s="1"/>
  <c r="L1617" i="1"/>
  <c r="L1207" i="1"/>
  <c r="L1429" i="1"/>
  <c r="L1345" i="1"/>
  <c r="L1618" i="1"/>
  <c r="L1571" i="1"/>
  <c r="L1414" i="1"/>
  <c r="L1609" i="1"/>
  <c r="L1570" i="1"/>
  <c r="L1330" i="1"/>
  <c r="L1183" i="1"/>
  <c r="L375" i="1"/>
  <c r="L365" i="1"/>
  <c r="L1070" i="1"/>
  <c r="L1047" i="1"/>
  <c r="L1095" i="1"/>
  <c r="L1069" i="1"/>
  <c r="L1096" i="1"/>
  <c r="L1071" i="1"/>
  <c r="L1600" i="1"/>
  <c r="L725" i="1"/>
  <c r="L733" i="1"/>
  <c r="L340" i="1"/>
  <c r="L2022" i="1"/>
  <c r="L546" i="1"/>
  <c r="L331" i="1"/>
  <c r="L540" i="1"/>
  <c r="L333" i="1"/>
  <c r="L416" i="1"/>
  <c r="L1049" i="1"/>
  <c r="L354" i="1"/>
  <c r="L434" i="1"/>
  <c r="L1000" i="1"/>
  <c r="L1114" i="1"/>
  <c r="L345" i="1"/>
  <c r="L1823" i="1"/>
  <c r="L512" i="1"/>
  <c r="L500" i="1"/>
  <c r="L261" i="1"/>
  <c r="L1126" i="1"/>
  <c r="L1006" i="1"/>
  <c r="L1013" i="1"/>
  <c r="L1010" i="1" s="1"/>
  <c r="L2313" i="1"/>
  <c r="L144" i="1"/>
  <c r="L964" i="1"/>
  <c r="L670" i="1"/>
  <c r="L253" i="1"/>
  <c r="L339" i="1"/>
  <c r="L1730" i="1"/>
  <c r="L861" i="1"/>
  <c r="L553" i="1"/>
  <c r="L939" i="1"/>
  <c r="L466" i="1"/>
  <c r="L236" i="1"/>
  <c r="L988" i="1"/>
  <c r="L256" i="1"/>
  <c r="L1034" i="1"/>
  <c r="L1159" i="1"/>
  <c r="L252" i="1"/>
  <c r="L350" i="1"/>
  <c r="L257" i="1"/>
  <c r="L233" i="1"/>
  <c r="L181" i="1" s="1"/>
  <c r="L1723" i="1"/>
  <c r="L518" i="1"/>
  <c r="L254" i="1"/>
  <c r="L963" i="1"/>
  <c r="L1651" i="1"/>
  <c r="L792" i="1"/>
  <c r="L344" i="1"/>
  <c r="L1510" i="1"/>
  <c r="L203" i="1"/>
  <c r="L965" i="1"/>
  <c r="L436" i="1"/>
  <c r="L785" i="1"/>
  <c r="L555" i="1"/>
  <c r="L346" i="1"/>
  <c r="L259" i="1"/>
  <c r="L255" i="1"/>
  <c r="L741" i="1"/>
  <c r="L1735" i="1"/>
  <c r="L2233" i="1"/>
  <c r="L566" i="1"/>
  <c r="L923" i="1"/>
  <c r="L882" i="1" s="1"/>
  <c r="L357" i="1"/>
  <c r="L468" i="1"/>
  <c r="L539" i="1"/>
  <c r="L498" i="1"/>
  <c r="L414" i="1"/>
  <c r="L336" i="1"/>
  <c r="L1093" i="1"/>
  <c r="L763" i="1"/>
  <c r="L1713" i="1"/>
  <c r="L20" i="1"/>
  <c r="L552" i="1"/>
  <c r="L538" i="1"/>
  <c r="L376" i="1"/>
  <c r="L432" i="1"/>
  <c r="L435" i="1" s="1"/>
  <c r="L550" i="1"/>
  <c r="L1738" i="1"/>
  <c r="L48" i="1"/>
  <c r="L541" i="1"/>
  <c r="L438" i="1"/>
  <c r="L564" i="1"/>
  <c r="L418" i="1"/>
  <c r="L547" i="1"/>
  <c r="L534" i="1"/>
  <c r="L332" i="1"/>
  <c r="L194" i="1"/>
  <c r="L193" i="1"/>
  <c r="L374" i="1"/>
  <c r="L1727" i="1"/>
  <c r="L37" i="1"/>
  <c r="L1554" i="1"/>
  <c r="L1553" i="1" s="1"/>
  <c r="L427" i="1"/>
  <c r="L262" i="1"/>
  <c r="L537" i="1"/>
  <c r="L692" i="1"/>
  <c r="L690" i="1"/>
  <c r="L503" i="1"/>
  <c r="L510" i="1"/>
  <c r="L548" i="1"/>
  <c r="L535" i="1"/>
  <c r="L536" i="1"/>
  <c r="L463" i="1" l="1"/>
  <c r="L430" i="1"/>
  <c r="L1182" i="1"/>
  <c r="L425" i="1"/>
  <c r="L1650" i="1"/>
  <c r="L1158" i="1"/>
  <c r="L355" i="1"/>
  <c r="L349" i="1"/>
  <c r="L1711" i="1"/>
  <c r="L1616" i="1"/>
  <c r="L1737" i="1"/>
  <c r="L347" i="1"/>
  <c r="L342" i="1" s="1"/>
  <c r="L326" i="1" s="1"/>
  <c r="L1343" i="1"/>
  <c r="L840" i="1"/>
  <c r="L191" i="1"/>
  <c r="L839" i="1"/>
  <c r="L502" i="1"/>
  <c r="L495" i="1"/>
  <c r="L487" i="1"/>
  <c r="L1569" i="1"/>
  <c r="L837" i="1"/>
  <c r="L1413" i="1"/>
  <c r="L838" i="1"/>
  <c r="L841" i="1"/>
  <c r="L836" i="1"/>
  <c r="L1329" i="1"/>
  <c r="L509" i="1"/>
  <c r="L348" i="1"/>
  <c r="L356" i="1"/>
  <c r="L1608" i="1"/>
  <c r="L1726" i="1"/>
  <c r="L834" i="1"/>
  <c r="L1205" i="1"/>
  <c r="L1021" i="1"/>
  <c r="L1119" i="1"/>
  <c r="L1009" i="1"/>
  <c r="L722" i="1"/>
  <c r="L842" i="1"/>
  <c r="L984" i="1"/>
  <c r="L689" i="1"/>
  <c r="L372" i="1"/>
  <c r="L962" i="1"/>
  <c r="L1012" i="1"/>
  <c r="L499" i="1"/>
  <c r="L352" i="1"/>
  <c r="L835" i="1"/>
  <c r="L411" i="1"/>
  <c r="L433" i="1"/>
  <c r="L1427" i="1"/>
  <c r="L251" i="1"/>
  <c r="L735" i="1"/>
  <c r="L1509" i="1"/>
  <c r="L1050" i="1"/>
  <c r="L493" i="1"/>
  <c r="L738" i="1" l="1"/>
  <c r="L736" i="1"/>
  <c r="L737" i="1" s="1"/>
  <c r="L1020" i="1"/>
  <c r="L1204" i="1"/>
  <c r="L1615" i="1"/>
  <c r="L1412" i="1"/>
  <c r="L871" i="1"/>
  <c r="L488" i="1"/>
  <c r="L494" i="1"/>
  <c r="L874" i="1"/>
  <c r="L734" i="1"/>
  <c r="L501" i="1"/>
  <c r="L872" i="1"/>
  <c r="L873" i="1"/>
  <c r="L426" i="1"/>
  <c r="L491" i="1"/>
  <c r="L497" i="1"/>
  <c r="L870" i="1"/>
  <c r="L1568" i="1"/>
  <c r="L484" i="1"/>
  <c r="L1426" i="1"/>
  <c r="L482" i="1"/>
  <c r="L721" i="1"/>
  <c r="L422" i="1"/>
  <c r="L867" i="1"/>
  <c r="L1607" i="1"/>
  <c r="L875" i="1"/>
  <c r="L410" i="1"/>
  <c r="L409" i="1" s="1"/>
  <c r="L1328" i="1"/>
  <c r="L1657" i="1"/>
  <c r="L868" i="1"/>
  <c r="L869" i="1"/>
  <c r="L1342" i="1"/>
  <c r="L1181" i="1"/>
  <c r="L492" i="1" l="1"/>
  <c r="L754" i="1"/>
  <c r="L752" i="1"/>
  <c r="L755" i="1"/>
  <c r="L753" i="1"/>
  <c r="L751" i="1"/>
  <c r="L756" i="1"/>
  <c r="L483" i="1"/>
  <c r="L481" i="1" s="1"/>
  <c r="L486" i="1"/>
  <c r="L424" i="1"/>
  <c r="L423" i="1"/>
  <c r="L1656" i="1"/>
  <c r="L759" i="1"/>
  <c r="L761" i="1"/>
  <c r="L757" i="1"/>
  <c r="L760" i="1"/>
  <c r="L758" i="1"/>
  <c r="L762" i="1"/>
  <c r="L750" i="1"/>
  <c r="L748" i="1"/>
  <c r="L747" i="1"/>
  <c r="L745" i="1"/>
  <c r="L749" i="1"/>
  <c r="L746" i="1"/>
  <c r="L490" i="1"/>
  <c r="L421" i="1" l="1"/>
  <c r="G1665" i="1" l="1"/>
  <c r="H1665" i="1"/>
  <c r="I1665" i="1"/>
  <c r="F1665" i="1"/>
  <c r="I37" i="1"/>
  <c r="H37" i="1"/>
  <c r="G37" i="1"/>
  <c r="F37" i="1"/>
  <c r="I1664" i="1"/>
  <c r="H1664" i="1"/>
  <c r="G1664" i="1"/>
  <c r="F1664" i="1"/>
  <c r="K36" i="1" l="1"/>
  <c r="K40" i="1" s="1"/>
  <c r="K1665" i="1" s="1"/>
  <c r="J36" i="1"/>
  <c r="J40" i="1" s="1"/>
  <c r="J1665" i="1" s="1"/>
  <c r="K1664" i="1"/>
  <c r="J1664" i="1" l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G2315" i="1" l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G2234" i="1" s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K2295" i="1" s="1"/>
  <c r="J2240" i="1"/>
  <c r="F2254" i="1"/>
  <c r="I2254" i="1"/>
  <c r="H2259" i="1"/>
  <c r="K2259" i="1"/>
  <c r="K2253" i="1" s="1"/>
  <c r="F2273" i="1"/>
  <c r="K2273" i="1"/>
  <c r="J2276" i="1"/>
  <c r="J2301" i="1"/>
  <c r="I2240" i="1"/>
  <c r="K2240" i="1"/>
  <c r="K2234" i="1" s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I2253" i="1" l="1"/>
  <c r="G2253" i="1"/>
  <c r="I2234" i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G2233" i="1"/>
  <c r="J2253" i="1"/>
  <c r="I2272" i="1"/>
  <c r="G2272" i="1"/>
  <c r="I2233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H1653" i="1" l="1"/>
  <c r="I1653" i="1"/>
  <c r="F1653" i="1"/>
  <c r="G1653" i="1"/>
  <c r="E1658" i="1"/>
  <c r="E1663" i="1"/>
  <c r="E1659" i="1"/>
  <c r="E1664" i="1"/>
  <c r="E1660" i="1"/>
  <c r="E1661" i="1" s="1"/>
  <c r="E1662" i="1" s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G1571" i="1" l="1"/>
  <c r="H1571" i="1"/>
  <c r="G1618" i="1"/>
  <c r="H1618" i="1"/>
  <c r="I1571" i="1"/>
  <c r="F1618" i="1"/>
  <c r="I1618" i="1"/>
  <c r="F1571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H1610" i="1" l="1"/>
  <c r="H1563" i="1"/>
  <c r="G1603" i="1"/>
  <c r="F1556" i="1"/>
  <c r="I1556" i="1"/>
  <c r="G1556" i="1"/>
  <c r="F1603" i="1"/>
  <c r="G1563" i="1"/>
  <c r="I1603" i="1"/>
  <c r="F1610" i="1"/>
  <c r="I1610" i="1"/>
  <c r="I1563" i="1"/>
  <c r="F1563" i="1"/>
  <c r="H1603" i="1"/>
  <c r="H1556" i="1"/>
  <c r="G1610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G1429" i="1" l="1"/>
  <c r="F1512" i="1"/>
  <c r="F1415" i="1"/>
  <c r="H1512" i="1"/>
  <c r="I1512" i="1"/>
  <c r="G1512" i="1"/>
  <c r="I1429" i="1"/>
  <c r="I1415" i="1"/>
  <c r="G1415" i="1"/>
  <c r="H1429" i="1"/>
  <c r="H1415" i="1"/>
  <c r="F1429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H1331" i="1" l="1"/>
  <c r="G1331" i="1"/>
  <c r="F1331" i="1"/>
  <c r="I1331" i="1"/>
  <c r="F1345" i="1"/>
  <c r="H1345" i="1"/>
  <c r="I1345" i="1"/>
  <c r="G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G1184" i="1" l="1"/>
  <c r="I1184" i="1"/>
  <c r="F1207" i="1"/>
  <c r="I1207" i="1"/>
  <c r="G1207" i="1"/>
  <c r="F1184" i="1"/>
  <c r="H1184" i="1"/>
  <c r="H1207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K1283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H1161" i="1" l="1"/>
  <c r="G1161" i="1"/>
  <c r="I1161" i="1"/>
  <c r="F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52" i="1" s="1"/>
  <c r="F741" i="1"/>
  <c r="F735" i="1" s="1"/>
  <c r="F734" i="1" s="1"/>
  <c r="I741" i="1"/>
  <c r="I735" i="1" s="1"/>
  <c r="I747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J738" i="1" l="1" a="1"/>
  <c r="J738" i="1" s="1"/>
  <c r="J758" i="1" s="1"/>
  <c r="J736" i="1" a="1"/>
  <c r="J736" i="1" s="1"/>
  <c r="J745" i="1" s="1"/>
  <c r="K736" i="1" a="1"/>
  <c r="K736" i="1" s="1"/>
  <c r="K738" i="1" a="1"/>
  <c r="K738" i="1" s="1"/>
  <c r="J734" i="1"/>
  <c r="H748" i="1"/>
  <c r="H758" i="1"/>
  <c r="H734" i="1"/>
  <c r="H755" i="1"/>
  <c r="H751" i="1"/>
  <c r="H762" i="1"/>
  <c r="H754" i="1"/>
  <c r="H745" i="1"/>
  <c r="H761" i="1"/>
  <c r="F755" i="1"/>
  <c r="I759" i="1"/>
  <c r="I746" i="1"/>
  <c r="I750" i="1"/>
  <c r="H749" i="1"/>
  <c r="I757" i="1"/>
  <c r="I754" i="1"/>
  <c r="I745" i="1"/>
  <c r="I755" i="1"/>
  <c r="I751" i="1"/>
  <c r="I761" i="1"/>
  <c r="I748" i="1"/>
  <c r="H759" i="1"/>
  <c r="I758" i="1"/>
  <c r="H746" i="1"/>
  <c r="I734" i="1"/>
  <c r="H756" i="1"/>
  <c r="H753" i="1"/>
  <c r="H750" i="1"/>
  <c r="F746" i="1"/>
  <c r="F756" i="1"/>
  <c r="F760" i="1"/>
  <c r="F753" i="1"/>
  <c r="F750" i="1"/>
  <c r="F754" i="1"/>
  <c r="F747" i="1"/>
  <c r="F757" i="1"/>
  <c r="F749" i="1"/>
  <c r="F759" i="1"/>
  <c r="F751" i="1"/>
  <c r="F761" i="1"/>
  <c r="F758" i="1"/>
  <c r="F752" i="1"/>
  <c r="F762" i="1"/>
  <c r="F748" i="1"/>
  <c r="F745" i="1"/>
  <c r="H760" i="1"/>
  <c r="I749" i="1"/>
  <c r="H747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J759" i="1" l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37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4" i="1"/>
  <c r="C1659" i="1"/>
  <c r="C1664" i="1"/>
  <c r="B1660" i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F1570" i="1" l="1"/>
  <c r="F1617" i="1"/>
  <c r="F1616" i="1" s="1"/>
  <c r="F1615" i="1" s="1"/>
  <c r="F1428" i="1"/>
  <c r="F1344" i="1"/>
  <c r="F1343" i="1" s="1"/>
  <c r="F1342" i="1" s="1"/>
  <c r="F1206" i="1"/>
  <c r="F1205" i="1" s="1"/>
  <c r="F1204" i="1" s="1"/>
  <c r="G1570" i="1"/>
  <c r="G1569" i="1" s="1"/>
  <c r="G1568" i="1" s="1"/>
  <c r="G1617" i="1"/>
  <c r="G1616" i="1" s="1"/>
  <c r="G1615" i="1" s="1"/>
  <c r="G1428" i="1"/>
  <c r="G1427" i="1" s="1"/>
  <c r="G1426" i="1" s="1"/>
  <c r="G1344" i="1"/>
  <c r="G1343" i="1" s="1"/>
  <c r="G1342" i="1" s="1"/>
  <c r="G1206" i="1"/>
  <c r="G1205" i="1" s="1"/>
  <c r="G1204" i="1" s="1"/>
  <c r="H1570" i="1"/>
  <c r="H1569" i="1" s="1"/>
  <c r="H1568" i="1" s="1"/>
  <c r="H1617" i="1"/>
  <c r="H1616" i="1" s="1"/>
  <c r="H1615" i="1" s="1"/>
  <c r="H1428" i="1"/>
  <c r="H1427" i="1" s="1"/>
  <c r="H1426" i="1" s="1"/>
  <c r="H1344" i="1"/>
  <c r="H1343" i="1" s="1"/>
  <c r="H1342" i="1" s="1"/>
  <c r="H1206" i="1"/>
  <c r="H1205" i="1" s="1"/>
  <c r="H1204" i="1" s="1"/>
  <c r="I1570" i="1"/>
  <c r="I1569" i="1" s="1"/>
  <c r="I1568" i="1" s="1"/>
  <c r="I1617" i="1"/>
  <c r="I1616" i="1" s="1"/>
  <c r="I1615" i="1" s="1"/>
  <c r="I1428" i="1"/>
  <c r="I1427" i="1" s="1"/>
  <c r="I1426" i="1" s="1"/>
  <c r="I1344" i="1"/>
  <c r="I1343" i="1" s="1"/>
  <c r="I1342" i="1" s="1"/>
  <c r="I1206" i="1"/>
  <c r="I1205" i="1" s="1"/>
  <c r="I1204" i="1" s="1"/>
  <c r="F1569" i="1"/>
  <c r="F1568" i="1" s="1"/>
  <c r="F1427" i="1"/>
  <c r="F1426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K1617" i="1" s="1"/>
  <c r="J49" i="1"/>
  <c r="J1617" i="1" s="1"/>
  <c r="J1428" i="1" l="1"/>
  <c r="J1206" i="1"/>
  <c r="J1344" i="1"/>
  <c r="K1344" i="1"/>
  <c r="K1570" i="1"/>
  <c r="K1429" i="1"/>
  <c r="K1571" i="1"/>
  <c r="K1345" i="1"/>
  <c r="K1618" i="1"/>
  <c r="K1207" i="1"/>
  <c r="K1206" i="1"/>
  <c r="K1428" i="1"/>
  <c r="J1207" i="1"/>
  <c r="J1345" i="1"/>
  <c r="J1618" i="1"/>
  <c r="J1429" i="1"/>
  <c r="J1571" i="1"/>
  <c r="J1570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G1652" i="1" l="1"/>
  <c r="G1602" i="1"/>
  <c r="G1555" i="1"/>
  <c r="G1511" i="1"/>
  <c r="G1160" i="1"/>
  <c r="H1652" i="1"/>
  <c r="H1651" i="1" s="1"/>
  <c r="H1602" i="1"/>
  <c r="H1601" i="1" s="1"/>
  <c r="H1600" i="1" s="1"/>
  <c r="H1555" i="1"/>
  <c r="H1554" i="1" s="1"/>
  <c r="H1553" i="1" s="1"/>
  <c r="H1511" i="1"/>
  <c r="H1510" i="1" s="1"/>
  <c r="H1509" i="1" s="1"/>
  <c r="H1160" i="1"/>
  <c r="H1159" i="1" s="1"/>
  <c r="H1158" i="1" s="1"/>
  <c r="H1658" i="1"/>
  <c r="H1659" i="1" s="1"/>
  <c r="H1609" i="1"/>
  <c r="H1608" i="1" s="1"/>
  <c r="H1607" i="1" s="1"/>
  <c r="H1562" i="1"/>
  <c r="H1561" i="1" s="1"/>
  <c r="H1560" i="1" s="1"/>
  <c r="H1414" i="1"/>
  <c r="H1413" i="1" s="1"/>
  <c r="H1412" i="1" s="1"/>
  <c r="H1330" i="1"/>
  <c r="H1329" i="1" s="1"/>
  <c r="H1328" i="1" s="1"/>
  <c r="H1183" i="1"/>
  <c r="H1182" i="1" s="1"/>
  <c r="H1181" i="1" s="1"/>
  <c r="I1652" i="1"/>
  <c r="I1651" i="1" s="1"/>
  <c r="I1555" i="1"/>
  <c r="I1554" i="1" s="1"/>
  <c r="I1553" i="1" s="1"/>
  <c r="I1602" i="1"/>
  <c r="I1601" i="1" s="1"/>
  <c r="I1600" i="1" s="1"/>
  <c r="I1511" i="1"/>
  <c r="I1510" i="1" s="1"/>
  <c r="I1509" i="1" s="1"/>
  <c r="I1160" i="1"/>
  <c r="F1652" i="1"/>
  <c r="F1555" i="1"/>
  <c r="F1602" i="1"/>
  <c r="F1511" i="1"/>
  <c r="F1160" i="1"/>
  <c r="F1658" i="1"/>
  <c r="F1659" i="1" s="1"/>
  <c r="F1562" i="1"/>
  <c r="F1561" i="1" s="1"/>
  <c r="F1560" i="1" s="1"/>
  <c r="F1609" i="1"/>
  <c r="F1608" i="1" s="1"/>
  <c r="F1607" i="1" s="1"/>
  <c r="F1414" i="1"/>
  <c r="F1413" i="1" s="1"/>
  <c r="F1412" i="1" s="1"/>
  <c r="F1330" i="1"/>
  <c r="F1329" i="1" s="1"/>
  <c r="F1328" i="1" s="1"/>
  <c r="F1183" i="1"/>
  <c r="F1182" i="1" s="1"/>
  <c r="F1181" i="1" s="1"/>
  <c r="G1658" i="1"/>
  <c r="G1659" i="1" s="1"/>
  <c r="G1609" i="1"/>
  <c r="G1608" i="1" s="1"/>
  <c r="G1607" i="1" s="1"/>
  <c r="G1562" i="1"/>
  <c r="G1561" i="1" s="1"/>
  <c r="G1560" i="1" s="1"/>
  <c r="G1414" i="1"/>
  <c r="G1413" i="1" s="1"/>
  <c r="G1412" i="1" s="1"/>
  <c r="G1330" i="1"/>
  <c r="G1329" i="1" s="1"/>
  <c r="G1328" i="1" s="1"/>
  <c r="G1183" i="1"/>
  <c r="G1182" i="1" s="1"/>
  <c r="G1181" i="1" s="1"/>
  <c r="I1658" i="1"/>
  <c r="I1659" i="1" s="1"/>
  <c r="I1609" i="1"/>
  <c r="I1608" i="1" s="1"/>
  <c r="I1607" i="1" s="1"/>
  <c r="I1562" i="1"/>
  <c r="I1414" i="1"/>
  <c r="I1330" i="1"/>
  <c r="I1329" i="1" s="1"/>
  <c r="I1328" i="1" s="1"/>
  <c r="I1183" i="1"/>
  <c r="I1182" i="1" s="1"/>
  <c r="I1181" i="1" s="1"/>
  <c r="G1651" i="1"/>
  <c r="G1601" i="1"/>
  <c r="G1600" i="1" s="1"/>
  <c r="G1554" i="1"/>
  <c r="G1553" i="1" s="1"/>
  <c r="G1510" i="1"/>
  <c r="G1509" i="1" s="1"/>
  <c r="G1159" i="1"/>
  <c r="G1158" i="1" s="1"/>
  <c r="I1159" i="1"/>
  <c r="I1158" i="1" s="1"/>
  <c r="F1651" i="1"/>
  <c r="F1601" i="1"/>
  <c r="F1600" i="1" s="1"/>
  <c r="F1554" i="1"/>
  <c r="F1553" i="1" s="1"/>
  <c r="F1510" i="1"/>
  <c r="F1509" i="1" s="1"/>
  <c r="F1159" i="1"/>
  <c r="F1158" i="1" s="1"/>
  <c r="I1561" i="1"/>
  <c r="I1560" i="1" s="1"/>
  <c r="F33" i="1"/>
  <c r="F1723" i="1" s="1"/>
  <c r="H33" i="1"/>
  <c r="H1723" i="1" s="1"/>
  <c r="G33" i="1"/>
  <c r="G1723" i="1" s="1"/>
  <c r="I33" i="1"/>
  <c r="I1723" i="1" s="1"/>
  <c r="I1413" i="1"/>
  <c r="I1412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G1657" i="1" l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F1740" i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J1511" i="1" s="1"/>
  <c r="K39" i="1"/>
  <c r="K1652" i="1" s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183" i="1" s="1"/>
  <c r="K38" i="1"/>
  <c r="K1562" i="1" s="1"/>
  <c r="J1414" i="1" l="1"/>
  <c r="J1609" i="1"/>
  <c r="K1330" i="1"/>
  <c r="J1658" i="1"/>
  <c r="J1659" i="1" s="1"/>
  <c r="K1609" i="1"/>
  <c r="K1160" i="1"/>
  <c r="K1183" i="1"/>
  <c r="K1414" i="1"/>
  <c r="K1511" i="1"/>
  <c r="K1555" i="1"/>
  <c r="J1562" i="1"/>
  <c r="K1658" i="1"/>
  <c r="K1659" i="1" s="1"/>
  <c r="K1602" i="1"/>
  <c r="J1160" i="1"/>
  <c r="J1603" i="1"/>
  <c r="J1556" i="1"/>
  <c r="J1512" i="1"/>
  <c r="J1653" i="1"/>
  <c r="J1161" i="1"/>
  <c r="J1555" i="1"/>
  <c r="K1610" i="1"/>
  <c r="K1563" i="1"/>
  <c r="K1331" i="1"/>
  <c r="K1184" i="1"/>
  <c r="K1415" i="1"/>
  <c r="J1602" i="1"/>
  <c r="J1184" i="1"/>
  <c r="J1331" i="1"/>
  <c r="J1610" i="1"/>
  <c r="J1563" i="1"/>
  <c r="J1415" i="1"/>
  <c r="K1161" i="1"/>
  <c r="K1653" i="1"/>
  <c r="K1603" i="1"/>
  <c r="K1512" i="1"/>
  <c r="K1556" i="1"/>
  <c r="J1330" i="1"/>
  <c r="J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103" i="1"/>
  <c r="H331" i="1" s="1"/>
  <c r="H347" i="1" s="1"/>
  <c r="H426" i="1" s="1"/>
  <c r="H423" i="1" s="1"/>
  <c r="G196" i="1"/>
  <c r="G193" i="1" s="1"/>
  <c r="G103" i="1"/>
  <c r="G331" i="1" s="1"/>
  <c r="G347" i="1" s="1"/>
  <c r="G426" i="1" s="1"/>
  <c r="G423" i="1" s="1"/>
  <c r="I196" i="1"/>
  <c r="I193" i="1" s="1"/>
  <c r="I103" i="1"/>
  <c r="I331" i="1" s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110" i="1" l="1"/>
  <c r="G338" i="1" s="1"/>
  <c r="G354" i="1" s="1"/>
  <c r="G499" i="1" s="1"/>
  <c r="G488" i="1" s="1"/>
  <c r="G108" i="1"/>
  <c r="G336" i="1" s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108" i="1"/>
  <c r="I336" i="1" s="1"/>
  <c r="I352" i="1" s="1"/>
  <c r="I497" i="1" s="1"/>
  <c r="I486" i="1" s="1"/>
  <c r="I267" i="1"/>
  <c r="I256" i="1" s="1"/>
  <c r="H110" i="1"/>
  <c r="H338" i="1" s="1"/>
  <c r="H354" i="1" s="1"/>
  <c r="H499" i="1" s="1"/>
  <c r="H488" i="1" s="1"/>
  <c r="H269" i="1"/>
  <c r="H258" i="1" s="1"/>
  <c r="H108" i="1"/>
  <c r="H336" i="1" s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110" i="1"/>
  <c r="I338" i="1" s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205" i="1" s="1"/>
  <c r="F148" i="1"/>
  <c r="F376" i="1" s="1"/>
  <c r="K202" i="1"/>
  <c r="K205" i="1" s="1"/>
  <c r="K148" i="1"/>
  <c r="K376" i="1" s="1"/>
  <c r="J202" i="1"/>
  <c r="J205" i="1" s="1"/>
  <c r="K547" i="1" l="1"/>
  <c r="H432" i="1"/>
  <c r="H435" i="1" s="1"/>
  <c r="F432" i="1"/>
  <c r="F435" i="1" s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J546" i="1" l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204" i="1" s="1"/>
  <c r="F203" i="1" s="1"/>
  <c r="F368" i="1"/>
  <c r="F431" i="1" s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200" i="1" l="1"/>
  <c r="F430" i="1"/>
  <c r="F434" i="1"/>
  <c r="F433" i="1" s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K566" i="1" l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113" i="1"/>
  <c r="H341" i="1" s="1"/>
  <c r="H357" i="1" s="1"/>
  <c r="H502" i="1" s="1"/>
  <c r="H491" i="1" s="1"/>
  <c r="H272" i="1"/>
  <c r="H261" i="1" s="1"/>
  <c r="I106" i="1"/>
  <c r="I334" i="1" s="1"/>
  <c r="I350" i="1" s="1"/>
  <c r="I495" i="1" s="1"/>
  <c r="I484" i="1" s="1"/>
  <c r="G106" i="1"/>
  <c r="G334" i="1" s="1"/>
  <c r="G350" i="1" s="1"/>
  <c r="G495" i="1" s="1"/>
  <c r="G484" i="1" s="1"/>
  <c r="H106" i="1"/>
  <c r="H334" i="1" s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G130" i="1"/>
  <c r="H130" i="1"/>
  <c r="I130" i="1"/>
  <c r="J130" i="1"/>
  <c r="K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100" i="1"/>
  <c r="H328" i="1" s="1"/>
  <c r="H344" i="1" s="1"/>
  <c r="J100" i="1"/>
  <c r="J328" i="1" s="1"/>
  <c r="J344" i="1" s="1"/>
  <c r="G100" i="1"/>
  <c r="G328" i="1" s="1"/>
  <c r="G344" i="1" s="1"/>
  <c r="H101" i="1"/>
  <c r="H329" i="1" s="1"/>
  <c r="H345" i="1" s="1"/>
  <c r="G127" i="1"/>
  <c r="G270" i="1" s="1"/>
  <c r="G259" i="1" s="1"/>
  <c r="I100" i="1"/>
  <c r="I328" i="1" s="1"/>
  <c r="I344" i="1" s="1"/>
  <c r="K100" i="1"/>
  <c r="K328" i="1" s="1"/>
  <c r="K344" i="1" s="1"/>
  <c r="G101" i="1"/>
  <c r="G329" i="1" s="1"/>
  <c r="G345" i="1" s="1"/>
  <c r="H127" i="1"/>
  <c r="I101" i="1"/>
  <c r="I329" i="1" s="1"/>
  <c r="I345" i="1" s="1"/>
  <c r="I102" i="1"/>
  <c r="I127" i="1"/>
  <c r="J101" i="1"/>
  <c r="J329" i="1" s="1"/>
  <c r="J345" i="1" s="1"/>
  <c r="J102" i="1"/>
  <c r="J127" i="1"/>
  <c r="G102" i="1"/>
  <c r="H102" i="1"/>
  <c r="K102" i="1"/>
  <c r="K127" i="1"/>
  <c r="H74" i="1"/>
  <c r="I74" i="1"/>
  <c r="G74" i="1"/>
  <c r="K74" i="1"/>
  <c r="G151" i="1"/>
  <c r="I173" i="1"/>
  <c r="F66" i="1"/>
  <c r="H99" i="1"/>
  <c r="H327" i="1" s="1"/>
  <c r="H343" i="1" s="1"/>
  <c r="H151" i="1"/>
  <c r="G99" i="1"/>
  <c r="G327" i="1" s="1"/>
  <c r="G343" i="1" s="1"/>
  <c r="I99" i="1"/>
  <c r="I327" i="1" s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109" i="1"/>
  <c r="I337" i="1" s="1"/>
  <c r="I353" i="1" s="1"/>
  <c r="I498" i="1" s="1"/>
  <c r="I487" i="1" s="1"/>
  <c r="I268" i="1"/>
  <c r="I257" i="1" s="1"/>
  <c r="I107" i="1"/>
  <c r="I335" i="1" s="1"/>
  <c r="I351" i="1" s="1"/>
  <c r="I496" i="1" s="1"/>
  <c r="I266" i="1"/>
  <c r="I255" i="1" s="1"/>
  <c r="G109" i="1"/>
  <c r="G337" i="1" s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109" i="1"/>
  <c r="H337" i="1" s="1"/>
  <c r="H353" i="1" s="1"/>
  <c r="H498" i="1" s="1"/>
  <c r="H487" i="1" s="1"/>
  <c r="H268" i="1"/>
  <c r="H257" i="1" s="1"/>
  <c r="H107" i="1"/>
  <c r="H335" i="1" s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107" i="1"/>
  <c r="G335" i="1" s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485" i="1" l="1"/>
  <c r="I370" i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104" i="1"/>
  <c r="G332" i="1" s="1"/>
  <c r="G348" i="1" s="1"/>
  <c r="G493" i="1" s="1"/>
  <c r="H104" i="1"/>
  <c r="H332" i="1" s="1"/>
  <c r="H348" i="1" s="1"/>
  <c r="H493" i="1" s="1"/>
  <c r="H105" i="1"/>
  <c r="H333" i="1" s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105" i="1"/>
  <c r="G333" i="1" s="1"/>
  <c r="G349" i="1" s="1"/>
  <c r="G494" i="1" s="1"/>
  <c r="G483" i="1" s="1"/>
  <c r="I114" i="1"/>
  <c r="I98" i="1" s="1"/>
  <c r="I104" i="1"/>
  <c r="I332" i="1" s="1"/>
  <c r="I348" i="1" s="1"/>
  <c r="I493" i="1" s="1"/>
  <c r="K114" i="1"/>
  <c r="K98" i="1" s="1"/>
  <c r="I105" i="1"/>
  <c r="I333" i="1" s="1"/>
  <c r="I349" i="1" s="1"/>
  <c r="I494" i="1" s="1"/>
  <c r="I483" i="1" s="1"/>
  <c r="G114" i="1"/>
  <c r="G98" i="1" s="1"/>
  <c r="F264" i="1"/>
  <c r="F253" i="1" s="1"/>
  <c r="J114" i="1"/>
  <c r="J98" i="1" s="1"/>
  <c r="H114" i="1"/>
  <c r="H98" i="1" s="1"/>
  <c r="K105" i="1"/>
  <c r="K333" i="1" s="1"/>
  <c r="K349" i="1" s="1"/>
  <c r="K494" i="1" s="1"/>
  <c r="K483" i="1" s="1"/>
  <c r="F82" i="1"/>
  <c r="F63" i="1" s="1"/>
  <c r="I492" i="1" l="1"/>
  <c r="I342" i="1"/>
  <c r="I326" i="1" s="1"/>
  <c r="F339" i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J482" i="1"/>
  <c r="J481" i="1" s="1"/>
  <c r="J492" i="1"/>
  <c r="G425" i="1"/>
  <c r="J469" i="1"/>
  <c r="G469" i="1"/>
  <c r="H469" i="1"/>
  <c r="K469" i="1"/>
  <c r="I469" i="1"/>
  <c r="F412" i="1"/>
  <c r="F411" i="1" s="1"/>
  <c r="F410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9" i="4" l="1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<sst xmlns="http://schemas.openxmlformats.org/spreadsheetml/2006/main" count="5204" uniqueCount="2482">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</sst>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00"/>
    <numFmt numFmtId="169" formatCode="_-[$€-2]* #,##0.00_-;\-[$€-2]* #,##0.00_-;_-[$€-2]* &quot;-&quot;??_-"/>
    <numFmt numFmtId="170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0" fillId="22" borderId="11" applyNumberFormat="0" applyFon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22" borderId="11" applyNumberFormat="0" applyFon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9" fontId="0" fillId="0" borderId="0" xfId="1" applyFont="1"/>
    <xf numFmtId="0" fontId="4" fillId="0" borderId="0" xfId="0" applyFont="1"/>
    <xf numFmtId="165" fontId="4" fillId="0" borderId="0" xfId="0" quotePrefix="1" applyNumberFormat="1" applyFont="1"/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165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5" fontId="1" fillId="0" borderId="0" xfId="1" applyNumberFormat="1" applyFont="1"/>
    <xf numFmtId="165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5" fontId="0" fillId="0" borderId="0" xfId="0" quotePrefix="1" applyNumberFormat="1"/>
    <xf numFmtId="165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2_secur_bsm_2035.xlsx" TargetMode="External"/><Relationship Id="rId2" Type="http://schemas.openxmlformats.org/officeDocument/2006/relationships/externalLinkPath" Target="file:///J:\WP07%20integrated%20modelling\STEM_Results\sps2_secur_bsm_2035.xlsx" TargetMode="External"/><Relationship Id="rId1" Type="http://schemas.openxmlformats.org/officeDocument/2006/relationships/externalLinkPath" Target="/WP07%20integrated%20modelling/STEM_Results/sps2_secur_bsm_203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2_SECUR_BSM_NUC_Low_2035.xlsx" TargetMode="External"/><Relationship Id="rId2" Type="http://schemas.openxmlformats.org/officeDocument/2006/relationships/externalLinkPath" Target="file:///J:\WP07%20integrated%20modelling\STEM_Results\SPS2_SECUR_BSM_NUC_Low_2035.xlsx" TargetMode="External"/><Relationship Id="rId1" Type="http://schemas.openxmlformats.org/officeDocument/2006/relationships/externalLinkPath" Target="/WP07%20integrated%20modelling/STEM_Results/SPS2_SECUR_BSM_NUC_Low_20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</row>
        <row r="2">
          <cell r="B2"/>
          <cell r="C2"/>
          <cell r="D2"/>
          <cell r="E2"/>
          <cell r="F2"/>
          <cell r="G2"/>
          <cell r="H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2.7253364178805164E-2</v>
          </cell>
          <cell r="H4">
            <v>2.0026126852276405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7.5842870109640061E-3</v>
          </cell>
          <cell r="H5">
            <v>1.7763007963176272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3.1863701387257982E-3</v>
          </cell>
          <cell r="H6">
            <v>9.3267897635259216E-3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2.6741594225945294E-3</v>
          </cell>
          <cell r="H7">
            <v>1.1531668174679682E-2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3.3878488646261408E-3</v>
          </cell>
          <cell r="H8">
            <v>1.074040678042504E-2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3.4704394106438042E-3</v>
          </cell>
          <cell r="H9">
            <v>8.4878126237505416E-2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3.7790845133765568E-3</v>
          </cell>
          <cell r="H10">
            <v>0.10047171538351862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3.1711748178743552E-3</v>
          </cell>
          <cell r="H11">
            <v>9.3631825703583381E-3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8.0292630093002762E-2</v>
          </cell>
          <cell r="G12">
            <v>9.4036206953870757E-2</v>
          </cell>
          <cell r="H12">
            <v>9.8791809044325954E-2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8.0292630093002762E-2</v>
          </cell>
          <cell r="G13">
            <v>9.4036206953870757E-2</v>
          </cell>
          <cell r="H13">
            <v>9.8791809044325954E-2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1.02686387346666E-2</v>
          </cell>
          <cell r="G14">
            <v>2.4349031093276398E-3</v>
          </cell>
          <cell r="H14">
            <v>0.195904288180237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1.02686387346666E-2</v>
          </cell>
          <cell r="G15">
            <v>1.02686387346666E-2</v>
          </cell>
          <cell r="H15">
            <v>1.02686387346666E-2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3.2685571165362615</v>
          </cell>
          <cell r="F16">
            <v>3.8321672880200586</v>
          </cell>
          <cell r="G16">
            <v>0.60927028493672275</v>
          </cell>
          <cell r="H16">
            <v>0.76445178778467615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3.2685571165362615</v>
          </cell>
          <cell r="F17">
            <v>3.8321672880200586</v>
          </cell>
          <cell r="G17">
            <v>0.60927028493672275</v>
          </cell>
          <cell r="H17">
            <v>0.76445178778467615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0.67022153480345359</v>
          </cell>
          <cell r="F18">
            <v>0.2165257068792647</v>
          </cell>
          <cell r="G18">
            <v>0.47426138968811049</v>
          </cell>
          <cell r="H18">
            <v>5.1811120007294945E-2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2.0858241054435065</v>
          </cell>
          <cell r="F19">
            <v>0.63099660845370864</v>
          </cell>
          <cell r="G19">
            <v>1.2412644089014604</v>
          </cell>
          <cell r="H19">
            <v>0.10996260969396542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118.503969228359</v>
          </cell>
          <cell r="F20">
            <v>34.810973595745502</v>
          </cell>
          <cell r="G20">
            <v>76.192413256433497</v>
          </cell>
          <cell r="H20">
            <v>8.3480155086220904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2.1011342061765723</v>
          </cell>
          <cell r="F21">
            <v>0.61721584389619677</v>
          </cell>
          <cell r="G21">
            <v>1.3509293130573314</v>
          </cell>
          <cell r="H21">
            <v>0.14801445937273203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1.3583102283850299E-5</v>
          </cell>
          <cell r="G22">
            <v>1.73569168056178E-3</v>
          </cell>
          <cell r="H22">
            <v>3.48541316175593E-3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4.5701033344932203E-2</v>
          </cell>
          <cell r="F23">
            <v>3.3830713134860552E-2</v>
          </cell>
          <cell r="G23">
            <v>2.5276254932664131E-2</v>
          </cell>
          <cell r="H23">
            <v>1.2310992878392848E-2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6.7991233862165927</v>
          </cell>
          <cell r="F24">
            <v>9.7962296817703486E-3</v>
          </cell>
          <cell r="G24">
            <v>8.4415287670235387E-3</v>
          </cell>
          <cell r="H24">
            <v>3.8438980557683514E-3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6.7991233862165927</v>
          </cell>
          <cell r="F25">
            <v>9.7962296817703486E-3</v>
          </cell>
          <cell r="G25">
            <v>8.4415287670235387E-3</v>
          </cell>
          <cell r="H25">
            <v>3.8438980557683514E-3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2.9552484495599599E-5</v>
          </cell>
          <cell r="F26">
            <v>2.79849457975289E-5</v>
          </cell>
          <cell r="G26">
            <v>4.6250605853287297E-5</v>
          </cell>
          <cell r="H26">
            <v>3.87393901107689E-5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1.4779781288644649</v>
          </cell>
          <cell r="F27">
            <v>1.0129311534379903E-2</v>
          </cell>
          <cell r="G27">
            <v>9.7547487334299632E-3</v>
          </cell>
          <cell r="H27">
            <v>9.0295524008858763E-3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2.5273814198770065E-2</v>
          </cell>
          <cell r="F28">
            <v>2.5340972593243614E-2</v>
          </cell>
          <cell r="G28">
            <v>0.18634772672368072</v>
          </cell>
          <cell r="H28">
            <v>0.51232319654089542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2.527381419877003E-2</v>
          </cell>
          <cell r="F29">
            <v>2.5340972593243589E-2</v>
          </cell>
          <cell r="G29">
            <v>0.18634772672368052</v>
          </cell>
          <cell r="H29">
            <v>0.51232319654089487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2.8065798617031283E-2</v>
          </cell>
          <cell r="F30">
            <v>2.8114427363918042E-2</v>
          </cell>
          <cell r="G30">
            <v>0.20609229772441351</v>
          </cell>
          <cell r="H30">
            <v>0.56657435010208379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2.8065798617031283E-2</v>
          </cell>
          <cell r="F31">
            <v>2.8114427363918042E-2</v>
          </cell>
          <cell r="G31">
            <v>0.20609229772441351</v>
          </cell>
          <cell r="H31">
            <v>0.56657435010208379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1.0446407934496501E-2</v>
          </cell>
          <cell r="F32">
            <v>2.03944171320226E-5</v>
          </cell>
          <cell r="G32">
            <v>0.115044101282492</v>
          </cell>
          <cell r="H32">
            <v>8.7155393664396799E-2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1.0448184434593983E-2</v>
          </cell>
          <cell r="F33">
            <v>1.0463179400263247E-2</v>
          </cell>
          <cell r="G33">
            <v>0.12549833836302349</v>
          </cell>
          <cell r="H33">
            <v>0.20984454133192129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5.0903397872888135E-4</v>
          </cell>
          <cell r="F34">
            <v>3.3573154522793065E-3</v>
          </cell>
          <cell r="G34">
            <v>3.5252322820754567</v>
          </cell>
          <cell r="H34">
            <v>5.4674020221640713E-4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5.0903397872888048E-4</v>
          </cell>
          <cell r="F35">
            <v>3.3545735275569031E-3</v>
          </cell>
          <cell r="G35">
            <v>3.52073581232791</v>
          </cell>
          <cell r="H35">
            <v>5.4674020221640788E-4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4.1895800659060917E-4</v>
          </cell>
          <cell r="F36">
            <v>4.0855577096282035E-3</v>
          </cell>
          <cell r="G36">
            <v>4.1964691928659743</v>
          </cell>
          <cell r="H36">
            <v>5.4674020221640713E-4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4.1895800659060917E-4</v>
          </cell>
          <cell r="F37">
            <v>4.0855577096282035E-3</v>
          </cell>
          <cell r="G37">
            <v>4.1964691928659743</v>
          </cell>
          <cell r="H37">
            <v>5.4674020221640713E-4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8.8711210107605201E-2</v>
          </cell>
          <cell r="F38">
            <v>2.2286332843044401E-3</v>
          </cell>
          <cell r="G38">
            <v>0.13561787384319501</v>
          </cell>
          <cell r="H38">
            <v>2.8593530783230199E-4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8.8711210107605201E-2</v>
          </cell>
          <cell r="F39">
            <v>9.0868450663393718E-2</v>
          </cell>
          <cell r="G39">
            <v>0.22610204518494195</v>
          </cell>
          <cell r="H39">
            <v>4.2465498080529018E-2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1.6716200587922947E-2</v>
          </cell>
          <cell r="H40">
            <v>1.0356815858298223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4.881770739496024E-3</v>
          </cell>
          <cell r="H41">
            <v>0.56738132489051663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1.7617598061979984E-3</v>
          </cell>
          <cell r="H42">
            <v>3.3481163898849897E-3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1.6023887477762274E-3</v>
          </cell>
          <cell r="H43">
            <v>3.400953350775724E-3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1.8855458265981597E-3</v>
          </cell>
          <cell r="H44">
            <v>3.4152737030401512E-3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2.341117017079875E-3</v>
          </cell>
          <cell r="H45">
            <v>0.16601981696131046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2.487662774011573E-3</v>
          </cell>
          <cell r="H46">
            <v>0.28877081848895464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1.7559556767630887E-3</v>
          </cell>
          <cell r="H47">
            <v>3.3452820453402838E-3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1.7992197827938499E-5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1.7992197827938499E-5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E52">
            <v>2.4299972021673368E-2</v>
          </cell>
          <cell r="F52">
            <v>2.4394370907758929E-2</v>
          </cell>
          <cell r="G52">
            <v>0.13167801759902156</v>
          </cell>
          <cell r="H52">
            <v>0.28044231849520679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E53">
            <v>2.4299972021673343E-2</v>
          </cell>
          <cell r="F53">
            <v>2.4394370907758912E-2</v>
          </cell>
          <cell r="G53">
            <v>0.13167801759902142</v>
          </cell>
          <cell r="H53">
            <v>0.28044231849520646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E54">
            <v>2.6988860836167975E-2</v>
          </cell>
          <cell r="F54">
            <v>2.7063249737833448E-2</v>
          </cell>
          <cell r="G54">
            <v>0.14563440610302489</v>
          </cell>
          <cell r="H54">
            <v>0.31014545012189976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E55">
            <v>2.6988860836167975E-2</v>
          </cell>
          <cell r="F55">
            <v>2.7063249737833448E-2</v>
          </cell>
          <cell r="G55">
            <v>0.14563440610302489</v>
          </cell>
          <cell r="H55">
            <v>0.31014545012189976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E56">
            <v>1.00410939041946E-2</v>
          </cell>
          <cell r="F56">
            <v>1.8785329182832801E-5</v>
          </cell>
          <cell r="G56">
            <v>6.1457699811451397E-2</v>
          </cell>
          <cell r="H56">
            <v>4.6053601755835998E-2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E57">
            <v>1.0042638807873625E-2</v>
          </cell>
          <cell r="F57">
            <v>1.0056056809871984E-2</v>
          </cell>
          <cell r="G57">
            <v>7.1502404852610613E-2</v>
          </cell>
          <cell r="H57">
            <v>0.11485678790357512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F65">
            <v>5.4722919745918884E-2</v>
          </cell>
          <cell r="G65">
            <v>3.4194417493835089E-3</v>
          </cell>
          <cell r="H65">
            <v>0.16441057041326471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E66">
            <v>3.2441566801198554</v>
          </cell>
          <cell r="F66">
            <v>3.8271834983213817</v>
          </cell>
          <cell r="G66">
            <v>4.9630346394655369</v>
          </cell>
          <cell r="H66">
            <v>5.8981026393857814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E67">
            <v>3.082908899073729</v>
          </cell>
          <cell r="F67">
            <v>3.5393268763488424</v>
          </cell>
          <cell r="G67">
            <v>1.6035797939051133</v>
          </cell>
          <cell r="H67">
            <v>2.1572173489483526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E68">
            <v>2.0131047531767807</v>
          </cell>
          <cell r="F68">
            <v>1.8879617069428996</v>
          </cell>
          <cell r="G68">
            <v>1.723070490059023</v>
          </cell>
          <cell r="H68">
            <v>2.6346427750573715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F69">
            <v>0.35038320116997812</v>
          </cell>
          <cell r="G69">
            <v>5.8877796156853054E-2</v>
          </cell>
          <cell r="H69">
            <v>0.2576850732650941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E70">
            <v>9.2189163284720301</v>
          </cell>
          <cell r="F70">
            <v>10.676183546015393</v>
          </cell>
          <cell r="G70">
            <v>9.2102728170518571</v>
          </cell>
          <cell r="H70">
            <v>12.209058898588196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E71">
            <v>0.62872578402729395</v>
          </cell>
          <cell r="F71">
            <v>9.8494481158043597E-6</v>
          </cell>
          <cell r="G71">
            <v>7.4855704138889197E-6</v>
          </cell>
          <cell r="H71">
            <v>8.5454131953277205E-6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E72">
            <v>0.62872578402729395</v>
          </cell>
          <cell r="F72">
            <v>0.62873563347540995</v>
          </cell>
          <cell r="G72">
            <v>0.62874311904582303</v>
          </cell>
          <cell r="H72">
            <v>0.62875166445901898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E73">
            <v>8.3828760523550969E-2</v>
          </cell>
          <cell r="F73">
            <v>2.2206403513057556E-3</v>
          </cell>
          <cell r="G73">
            <v>3.12019651588453E-2</v>
          </cell>
          <cell r="H73">
            <v>2.0736861542494738E-3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E74">
            <v>8.3828760523551149E-2</v>
          </cell>
          <cell r="F74">
            <v>2.2191609106986272E-3</v>
          </cell>
          <cell r="G74">
            <v>3.1169496932873623E-2</v>
          </cell>
          <cell r="H74">
            <v>2.0736861542494738E-3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E75">
            <v>0.11198115970296284</v>
          </cell>
          <cell r="F75">
            <v>2.9604451551563903E-3</v>
          </cell>
          <cell r="G75">
            <v>4.0312969956113422E-2</v>
          </cell>
          <cell r="H75">
            <v>1.6225715661741652E-3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E76">
            <v>0.11198115970296284</v>
          </cell>
          <cell r="F76">
            <v>2.9604451551563903E-3</v>
          </cell>
          <cell r="G76">
            <v>4.0312969956113422E-2</v>
          </cell>
          <cell r="H76">
            <v>1.6225715661741652E-3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E77">
            <v>4.0369479926163999E-2</v>
          </cell>
          <cell r="F77">
            <v>7.6540804735273705E-4</v>
          </cell>
          <cell r="G77">
            <v>5.0511079792634795E-4</v>
          </cell>
          <cell r="H77">
            <v>2.86568408455225E-4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E78">
            <v>4.0369479926163999E-2</v>
          </cell>
          <cell r="F78">
            <v>4.105945610095927E-2</v>
          </cell>
          <cell r="G78">
            <v>4.1294380558358386E-2</v>
          </cell>
          <cell r="H78">
            <v>3.95431540819947E-2</v>
          </cell>
        </row>
        <row r="79">
          <cell r="B79" t="str">
            <v>RHNS-CHPWOD</v>
          </cell>
          <cell r="C79" t="str">
            <v>VAR_ncap</v>
          </cell>
          <cell r="D79" t="str">
            <v>-</v>
          </cell>
          <cell r="H79">
            <v>8.38210108597394E-5</v>
          </cell>
        </row>
        <row r="80">
          <cell r="B80" t="str">
            <v>RHNS-CHPWOD</v>
          </cell>
          <cell r="C80" t="str">
            <v>VAR_cap</v>
          </cell>
          <cell r="D80" t="str">
            <v>-</v>
          </cell>
          <cell r="H80">
            <v>8.38210108597394E-5</v>
          </cell>
        </row>
        <row r="81">
          <cell r="B81" t="str">
            <v>D-ICOA</v>
          </cell>
          <cell r="C81" t="str">
            <v>VAR_fout</v>
          </cell>
          <cell r="D81" t="str">
            <v>ICOA</v>
          </cell>
          <cell r="E81">
            <v>3.5601573608479287</v>
          </cell>
          <cell r="F81">
            <v>3.4647541095190793</v>
          </cell>
          <cell r="G81">
            <v>0.12899021100237884</v>
          </cell>
          <cell r="H81">
            <v>4.382933590500058E-3</v>
          </cell>
        </row>
        <row r="82">
          <cell r="B82" t="str">
            <v>D-ICOA</v>
          </cell>
          <cell r="C82" t="str">
            <v>VAR_fout</v>
          </cell>
          <cell r="D82" t="str">
            <v>CO2</v>
          </cell>
          <cell r="E82">
            <v>330.02658735060299</v>
          </cell>
          <cell r="F82">
            <v>321.18270595241898</v>
          </cell>
          <cell r="G82">
            <v>11.9573925599205</v>
          </cell>
          <cell r="H82">
            <v>0.40629794383935502</v>
          </cell>
        </row>
        <row r="83">
          <cell r="B83" t="str">
            <v>D-ICOA</v>
          </cell>
          <cell r="C83" t="str">
            <v>VAR_fin</v>
          </cell>
          <cell r="D83" t="str">
            <v>COA</v>
          </cell>
          <cell r="E83">
            <v>3.5601573608479287</v>
          </cell>
          <cell r="F83">
            <v>3.4647541095190793</v>
          </cell>
          <cell r="G83">
            <v>0.12899021100237884</v>
          </cell>
          <cell r="H83">
            <v>4.382933590500058E-3</v>
          </cell>
        </row>
        <row r="84">
          <cell r="B84" t="str">
            <v>RHNM-SHSTG-CHPWOD</v>
          </cell>
          <cell r="C84" t="str">
            <v>VAR_fout</v>
          </cell>
          <cell r="D84" t="str">
            <v>RHNM_LTH_CHPWOD</v>
          </cell>
          <cell r="E84">
            <v>3.9054481398688701E-3</v>
          </cell>
          <cell r="F84">
            <v>2.1316013401332014E-3</v>
          </cell>
          <cell r="G84">
            <v>1.166953095208443E-3</v>
          </cell>
          <cell r="H84">
            <v>2.0737962826337802E-3</v>
          </cell>
        </row>
        <row r="85">
          <cell r="B85" t="str">
            <v>RHNM-SHSTG-CHPWOD</v>
          </cell>
          <cell r="C85" t="str">
            <v>VAR_fout</v>
          </cell>
          <cell r="D85" t="str">
            <v>AUX_RNM-CHPWOD_OUT</v>
          </cell>
          <cell r="E85">
            <v>3.905448139868881E-3</v>
          </cell>
          <cell r="F85">
            <v>2.130181219320325E-3</v>
          </cell>
          <cell r="G85">
            <v>1.1657387839751376E-3</v>
          </cell>
          <cell r="H85">
            <v>2.0737962826337802E-3</v>
          </cell>
        </row>
        <row r="86">
          <cell r="B86" t="str">
            <v>RHNM-SHSTG-CHPWOD</v>
          </cell>
          <cell r="C86" t="str">
            <v>VAR_fin</v>
          </cell>
          <cell r="D86" t="str">
            <v>RHNM_LTH_CHPWOD</v>
          </cell>
          <cell r="E86">
            <v>2.9728214698396521E-3</v>
          </cell>
          <cell r="F86">
            <v>1.5680200407907239E-3</v>
          </cell>
          <cell r="G86">
            <v>9.2539583080044913E-4</v>
          </cell>
          <cell r="H86">
            <v>1.6226542675106114E-3</v>
          </cell>
        </row>
        <row r="87">
          <cell r="B87" t="str">
            <v>RHNM-SHSTG-CHPWOD</v>
          </cell>
          <cell r="C87" t="str">
            <v>VAR_fin</v>
          </cell>
          <cell r="D87" t="str">
            <v>AUX_RNM-CHPWOD_IN</v>
          </cell>
          <cell r="E87">
            <v>2.9728214698396521E-3</v>
          </cell>
          <cell r="F87">
            <v>1.5680200407907239E-3</v>
          </cell>
          <cell r="G87">
            <v>9.2539583080044913E-4</v>
          </cell>
          <cell r="H87">
            <v>1.6226542675106114E-3</v>
          </cell>
        </row>
        <row r="88">
          <cell r="B88" t="str">
            <v>RHNM-SHSTG-CHPWOD</v>
          </cell>
          <cell r="C88" t="str">
            <v>VAR_ncap</v>
          </cell>
          <cell r="D88" t="str">
            <v>-</v>
          </cell>
          <cell r="E88">
            <v>3.8323857230168498E-2</v>
          </cell>
          <cell r="F88">
            <v>9.5995648445078405E-4</v>
          </cell>
          <cell r="G88">
            <v>9.5977207760120998E-4</v>
          </cell>
          <cell r="H88">
            <v>6.8094853561305403E-4</v>
          </cell>
        </row>
        <row r="89">
          <cell r="B89" t="str">
            <v>RHNM-SHSTG-CHPWOD</v>
          </cell>
          <cell r="C89" t="str">
            <v>VAR_cap</v>
          </cell>
          <cell r="D89" t="str">
            <v>-</v>
          </cell>
          <cell r="E89">
            <v>3.8323857230168498E-2</v>
          </cell>
          <cell r="F89">
            <v>3.9153811031567398E-2</v>
          </cell>
          <cell r="G89">
            <v>3.9675875080606694E-2</v>
          </cell>
          <cell r="H89">
            <v>3.9443969669737601E-2</v>
          </cell>
        </row>
        <row r="90">
          <cell r="B90" t="str">
            <v>CHPWSTCCS</v>
          </cell>
          <cell r="C90" t="str">
            <v>VAR_fout</v>
          </cell>
          <cell r="D90" t="str">
            <v>ELC35</v>
          </cell>
        </row>
        <row r="91">
          <cell r="B91" t="str">
            <v>CHPWSTCCS</v>
          </cell>
          <cell r="C91" t="str">
            <v>VAR_fout</v>
          </cell>
          <cell r="D91" t="str">
            <v>CO2_O</v>
          </cell>
        </row>
        <row r="92">
          <cell r="B92" t="str">
            <v>CHPWSTCCS</v>
          </cell>
          <cell r="C92" t="str">
            <v>VAR_fout</v>
          </cell>
          <cell r="D92" t="str">
            <v>CO2</v>
          </cell>
        </row>
        <row r="93">
          <cell r="B93" t="str">
            <v>CHPWSTCCS</v>
          </cell>
          <cell r="C93" t="str">
            <v>VAR_fout</v>
          </cell>
          <cell r="D93" t="str">
            <v>LTH</v>
          </cell>
        </row>
        <row r="94">
          <cell r="B94" t="str">
            <v>CHPWSTCCS</v>
          </cell>
          <cell r="C94" t="str">
            <v>VAR_fout</v>
          </cell>
          <cell r="D94" t="str">
            <v>CO2_E</v>
          </cell>
        </row>
        <row r="95">
          <cell r="B95" t="str">
            <v>CHPWSTCCS</v>
          </cell>
          <cell r="C95" t="str">
            <v>VAR_fin</v>
          </cell>
          <cell r="D95" t="str">
            <v>EWST</v>
          </cell>
        </row>
        <row r="96">
          <cell r="B96" t="str">
            <v>CHPWSTCCS</v>
          </cell>
          <cell r="C96" t="str">
            <v>VAR_ncap</v>
          </cell>
          <cell r="D96" t="str">
            <v>-</v>
          </cell>
        </row>
        <row r="97">
          <cell r="B97" t="str">
            <v>CHPWSTCCS</v>
          </cell>
          <cell r="C97" t="str">
            <v>VAR_cap</v>
          </cell>
          <cell r="D97" t="str">
            <v>-</v>
          </cell>
        </row>
        <row r="98">
          <cell r="B98" t="str">
            <v>D-ENGA</v>
          </cell>
          <cell r="C98" t="str">
            <v>VAR_fout</v>
          </cell>
          <cell r="D98" t="str">
            <v>CO2</v>
          </cell>
          <cell r="E98">
            <v>328.63595314250398</v>
          </cell>
          <cell r="F98">
            <v>51.047710713935899</v>
          </cell>
          <cell r="G98">
            <v>21.034566130106199</v>
          </cell>
        </row>
        <row r="99">
          <cell r="B99" t="str">
            <v>D-ENGA</v>
          </cell>
          <cell r="C99" t="str">
            <v>VAR_fout</v>
          </cell>
          <cell r="D99" t="str">
            <v>ENGA</v>
          </cell>
          <cell r="E99">
            <v>6.0384889906954458</v>
          </cell>
          <cell r="F99">
            <v>0.90360314582001289</v>
          </cell>
          <cell r="G99">
            <v>0.43274277147993545</v>
          </cell>
        </row>
        <row r="100">
          <cell r="B100" t="str">
            <v>D-ENGA</v>
          </cell>
          <cell r="C100" t="str">
            <v>VAR_fout</v>
          </cell>
          <cell r="D100" t="str">
            <v>EH2</v>
          </cell>
        </row>
        <row r="101">
          <cell r="B101" t="str">
            <v>D-ENGA</v>
          </cell>
          <cell r="C101" t="str">
            <v>VAR_fin</v>
          </cell>
          <cell r="D101" t="str">
            <v>NGA</v>
          </cell>
          <cell r="E101">
            <v>5.8268786018174561</v>
          </cell>
          <cell r="F101">
            <v>0.90510125379318973</v>
          </cell>
          <cell r="G101">
            <v>0.37295330017918826</v>
          </cell>
        </row>
        <row r="102">
          <cell r="B102" t="str">
            <v>D-ENGA</v>
          </cell>
          <cell r="C102" t="str">
            <v>VAR_fin</v>
          </cell>
          <cell r="D102" t="str">
            <v>BNGA</v>
          </cell>
          <cell r="E102">
            <v>0.23090106408996414</v>
          </cell>
          <cell r="F102">
            <v>1.8160741708219189E-3</v>
          </cell>
          <cell r="G102">
            <v>6.1171919835109959E-2</v>
          </cell>
        </row>
        <row r="103">
          <cell r="B103" t="str">
            <v>D-ENGA</v>
          </cell>
          <cell r="C103" t="str">
            <v>VAR_fin</v>
          </cell>
          <cell r="D103" t="str">
            <v>H2</v>
          </cell>
        </row>
        <row r="104">
          <cell r="B104" t="str">
            <v>D-ENGA</v>
          </cell>
          <cell r="C104" t="str">
            <v>VAR_ncap</v>
          </cell>
          <cell r="D104" t="str">
            <v>-</v>
          </cell>
          <cell r="E104">
            <v>4.4949139189688999E-4</v>
          </cell>
          <cell r="F104">
            <v>8.7722318818523392E-6</v>
          </cell>
          <cell r="G104">
            <v>9.5199081937090492E-6</v>
          </cell>
          <cell r="H104">
            <v>1.2417769444107199E-5</v>
          </cell>
        </row>
        <row r="105">
          <cell r="B105" t="str">
            <v>D-ENGA</v>
          </cell>
          <cell r="C105" t="str">
            <v>VAR_cap</v>
          </cell>
          <cell r="D105" t="str">
            <v>-</v>
          </cell>
          <cell r="E105">
            <v>1.027961485932877</v>
          </cell>
          <cell r="F105">
            <v>1.0279702581647587</v>
          </cell>
          <cell r="G105">
            <v>1.0279797780729525</v>
          </cell>
          <cell r="H105">
            <v>1.0279921958423965</v>
          </cell>
        </row>
        <row r="106">
          <cell r="B106" t="str">
            <v>D-ILFO</v>
          </cell>
          <cell r="C106" t="str">
            <v>VAR_fout</v>
          </cell>
          <cell r="D106" t="str">
            <v>CO2</v>
          </cell>
          <cell r="E106">
            <v>696.84428324072303</v>
          </cell>
          <cell r="F106">
            <v>659.57888989984804</v>
          </cell>
          <cell r="G106">
            <v>657.33725117208303</v>
          </cell>
          <cell r="H106">
            <v>529.46975774415296</v>
          </cell>
        </row>
        <row r="107">
          <cell r="B107" t="str">
            <v>D-ILFO</v>
          </cell>
          <cell r="C107" t="str">
            <v>VAR_fout</v>
          </cell>
          <cell r="D107" t="str">
            <v>ILFO</v>
          </cell>
          <cell r="E107">
            <v>9.2972343502235013</v>
          </cell>
          <cell r="F107">
            <v>8.800042791971638</v>
          </cell>
          <cell r="G107">
            <v>8.7710485782458143</v>
          </cell>
          <cell r="H107">
            <v>7.2996031348107948</v>
          </cell>
        </row>
        <row r="108">
          <cell r="B108" t="str">
            <v>D-ILFO</v>
          </cell>
          <cell r="C108" t="str">
            <v>VAR_fin</v>
          </cell>
          <cell r="D108" t="str">
            <v>LFO</v>
          </cell>
          <cell r="E108">
            <v>9.455146312628532</v>
          </cell>
          <cell r="F108">
            <v>8.9495100393466611</v>
          </cell>
          <cell r="G108">
            <v>8.9190943171246015</v>
          </cell>
          <cell r="H108">
            <v>7.1841215433399217</v>
          </cell>
        </row>
        <row r="109">
          <cell r="B109" t="str">
            <v>D-ILFO</v>
          </cell>
          <cell r="C109" t="str">
            <v>VAR_fin</v>
          </cell>
          <cell r="D109" t="str">
            <v>BDS</v>
          </cell>
          <cell r="G109">
            <v>1.03544304550713E-3</v>
          </cell>
          <cell r="H109">
            <v>0.23949978993615362</v>
          </cell>
        </row>
        <row r="110">
          <cell r="B110" t="str">
            <v>HPLNGA</v>
          </cell>
          <cell r="C110" t="str">
            <v>VAR_fout</v>
          </cell>
          <cell r="D110" t="str">
            <v>LTH</v>
          </cell>
          <cell r="E110">
            <v>1.7331149429487607</v>
          </cell>
          <cell r="F110">
            <v>0.70059861527119149</v>
          </cell>
          <cell r="G110">
            <v>7.2432940192724088E-2</v>
          </cell>
        </row>
        <row r="111">
          <cell r="B111" t="str">
            <v>HPLNGA</v>
          </cell>
          <cell r="C111" t="str">
            <v>VAR_fout</v>
          </cell>
          <cell r="D111" t="str">
            <v>CO2_E</v>
          </cell>
          <cell r="E111">
            <v>114.397693864744</v>
          </cell>
          <cell r="F111">
            <v>46.244403025856897</v>
          </cell>
          <cell r="G111">
            <v>4.7810800729652296</v>
          </cell>
        </row>
        <row r="112">
          <cell r="B112" t="str">
            <v>HPLNGA</v>
          </cell>
          <cell r="C112" t="str">
            <v>VAR_fin</v>
          </cell>
          <cell r="D112" t="str">
            <v>ENGA</v>
          </cell>
          <cell r="E112">
            <v>2.0283279054032661</v>
          </cell>
          <cell r="F112">
            <v>0.81993622386271225</v>
          </cell>
          <cell r="G112">
            <v>8.4770923279525318E-2</v>
          </cell>
        </row>
        <row r="113">
          <cell r="B113" t="str">
            <v>HPLNGA</v>
          </cell>
          <cell r="C113" t="str">
            <v>VAR_ncap</v>
          </cell>
          <cell r="D113" t="str">
            <v>-</v>
          </cell>
          <cell r="E113">
            <v>9.9182453161468298E-5</v>
          </cell>
          <cell r="F113">
            <v>5.5765529939379602E-5</v>
          </cell>
          <cell r="G113">
            <v>4.8455831183259301E-5</v>
          </cell>
          <cell r="H113">
            <v>2.8693510470125501E-5</v>
          </cell>
        </row>
        <row r="114">
          <cell r="B114" t="str">
            <v>HPLNGA</v>
          </cell>
          <cell r="C114" t="str">
            <v>VAR_cap</v>
          </cell>
          <cell r="D114" t="str">
            <v>-</v>
          </cell>
          <cell r="E114">
            <v>0.25384328483272939</v>
          </cell>
          <cell r="F114">
            <v>0.10140165366822385</v>
          </cell>
          <cell r="G114">
            <v>5.2995512344970019E-2</v>
          </cell>
          <cell r="H114">
            <v>3.7960644996820614E-4</v>
          </cell>
        </row>
        <row r="115">
          <cell r="B115" t="str">
            <v>G-INTC-IMP00-AT</v>
          </cell>
          <cell r="C115" t="str">
            <v>VAR_fout</v>
          </cell>
          <cell r="D115" t="str">
            <v>ELC</v>
          </cell>
          <cell r="E115">
            <v>15.013856275659503</v>
          </cell>
          <cell r="F115">
            <v>0.94657119544528923</v>
          </cell>
          <cell r="G115">
            <v>0.51305837026265</v>
          </cell>
          <cell r="H115">
            <v>0.52562360039349076</v>
          </cell>
        </row>
        <row r="116">
          <cell r="B116" t="str">
            <v>G-INTC-IMP00-AT</v>
          </cell>
          <cell r="C116" t="str">
            <v>VAR_fin</v>
          </cell>
          <cell r="D116" t="str">
            <v>ELC_I-AT</v>
          </cell>
          <cell r="E116">
            <v>15.013856275659503</v>
          </cell>
          <cell r="F116">
            <v>0.94657119544528923</v>
          </cell>
          <cell r="G116">
            <v>0.51305837026265</v>
          </cell>
          <cell r="H116">
            <v>0.52562360039349076</v>
          </cell>
        </row>
        <row r="117">
          <cell r="B117" t="str">
            <v>G-INTC-IMP00-AT</v>
          </cell>
          <cell r="C117" t="str">
            <v>VAR_ncap</v>
          </cell>
          <cell r="D117" t="str">
            <v>-</v>
          </cell>
          <cell r="E117">
            <v>3.0149863756528002E-5</v>
          </cell>
          <cell r="F117">
            <v>2.6355931948911201E-5</v>
          </cell>
          <cell r="G117">
            <v>3.8117398272215698E-5</v>
          </cell>
          <cell r="H117">
            <v>5.2605302383911098E-5</v>
          </cell>
        </row>
        <row r="118">
          <cell r="B118" t="str">
            <v>G-INTC-IMP00-AT</v>
          </cell>
          <cell r="C118" t="str">
            <v>VAR_cap</v>
          </cell>
          <cell r="D118" t="str">
            <v>-</v>
          </cell>
          <cell r="E118">
            <v>0.57702517082694194</v>
          </cell>
          <cell r="F118">
            <v>0.10158953295801987</v>
          </cell>
          <cell r="G118">
            <v>0.10143568445415996</v>
          </cell>
          <cell r="H118">
            <v>0.10143048960598522</v>
          </cell>
        </row>
        <row r="119">
          <cell r="B119" t="str">
            <v>CHPWST</v>
          </cell>
          <cell r="C119" t="str">
            <v>VAR_fout</v>
          </cell>
          <cell r="D119" t="str">
            <v>ELC35</v>
          </cell>
          <cell r="E119">
            <v>1.4349725786644258</v>
          </cell>
          <cell r="F119">
            <v>1.3007946381252773</v>
          </cell>
          <cell r="G119">
            <v>1.2394965147363657</v>
          </cell>
          <cell r="H119">
            <v>1.3552243239983826</v>
          </cell>
        </row>
        <row r="120">
          <cell r="B120" t="str">
            <v>CHPWST</v>
          </cell>
          <cell r="C120" t="str">
            <v>VAR_fout</v>
          </cell>
          <cell r="D120" t="str">
            <v>LTH</v>
          </cell>
          <cell r="E120">
            <v>14.461386032860608</v>
          </cell>
          <cell r="F120">
            <v>13.06429502478572</v>
          </cell>
          <cell r="G120">
            <v>12.384524026407272</v>
          </cell>
          <cell r="H120">
            <v>13.423956535214588</v>
          </cell>
        </row>
        <row r="121">
          <cell r="B121" t="str">
            <v>CHPWST</v>
          </cell>
          <cell r="C121" t="str">
            <v>VAR_fout</v>
          </cell>
          <cell r="D121" t="str">
            <v>CO2_E</v>
          </cell>
          <cell r="E121">
            <v>2843.2803045784799</v>
          </cell>
          <cell r="F121">
            <v>2577.4177359718101</v>
          </cell>
          <cell r="G121">
            <v>2455.9605391370601</v>
          </cell>
          <cell r="H121">
            <v>2685.2656880012801</v>
          </cell>
        </row>
        <row r="122">
          <cell r="B122" t="str">
            <v>CHPWST</v>
          </cell>
          <cell r="C122" t="str">
            <v>VAR_fin</v>
          </cell>
          <cell r="D122" t="str">
            <v>EWST</v>
          </cell>
          <cell r="E122">
            <v>30.638796385543994</v>
          </cell>
          <cell r="F122">
            <v>27.773898016937611</v>
          </cell>
          <cell r="G122">
            <v>26.465092016563155</v>
          </cell>
          <cell r="H122">
            <v>28.93605267242755</v>
          </cell>
        </row>
        <row r="123">
          <cell r="B123" t="str">
            <v>CHPWST</v>
          </cell>
          <cell r="C123" t="str">
            <v>VAR_ncap</v>
          </cell>
          <cell r="D123" t="str">
            <v>-</v>
          </cell>
          <cell r="F123">
            <v>7.2413854533022801E-6</v>
          </cell>
          <cell r="G123">
            <v>4.0133576567924799E-6</v>
          </cell>
          <cell r="H123">
            <v>2.9064328118965899E-3</v>
          </cell>
        </row>
        <row r="124">
          <cell r="B124" t="str">
            <v>CHPWST</v>
          </cell>
          <cell r="C124" t="str">
            <v>VAR_cap</v>
          </cell>
          <cell r="D124" t="str">
            <v>-</v>
          </cell>
          <cell r="E124">
            <v>7.8399388895541613E-2</v>
          </cell>
          <cell r="F124">
            <v>7.1209981135797421E-2</v>
          </cell>
          <cell r="G124">
            <v>7.1168742030482721E-2</v>
          </cell>
          <cell r="H124">
            <v>7.4049215095624857E-2</v>
          </cell>
        </row>
        <row r="125">
          <cell r="B125" t="str">
            <v>RHES-CHPNGA</v>
          </cell>
          <cell r="C125" t="str">
            <v>VAR_fout</v>
          </cell>
          <cell r="D125" t="str">
            <v>CO2_R</v>
          </cell>
          <cell r="E125">
            <v>20.847900448093199</v>
          </cell>
          <cell r="F125">
            <v>2.0141281347758002</v>
          </cell>
          <cell r="G125">
            <v>5.3388726385875902</v>
          </cell>
        </row>
        <row r="126">
          <cell r="B126" t="str">
            <v>RHES-CHPNGA</v>
          </cell>
          <cell r="C126" t="str">
            <v>VAR_fout</v>
          </cell>
          <cell r="D126" t="str">
            <v>RHES_NKEV_GAS_ELC_CHP</v>
          </cell>
          <cell r="E126">
            <v>3.9655311133265141E-2</v>
          </cell>
          <cell r="F126">
            <v>9.1730093739014404E-3</v>
          </cell>
          <cell r="G126">
            <v>1.2781126079905466E-2</v>
          </cell>
        </row>
        <row r="127">
          <cell r="B127" t="str">
            <v>RHES-CHPNGA</v>
          </cell>
          <cell r="C127" t="str">
            <v>VAR_fout</v>
          </cell>
          <cell r="D127" t="str">
            <v>RHES_LTH_CHPNGA</v>
          </cell>
          <cell r="E127">
            <v>9.5466489765268003E-2</v>
          </cell>
          <cell r="F127">
            <v>2.1859912285741887E-2</v>
          </cell>
          <cell r="G127">
            <v>2.9991690034063927E-2</v>
          </cell>
        </row>
        <row r="128">
          <cell r="B128" t="str">
            <v>RHES-CHPNGA</v>
          </cell>
          <cell r="C128" t="str">
            <v>VAR_fin</v>
          </cell>
          <cell r="D128" t="str">
            <v>RNGA</v>
          </cell>
          <cell r="E128">
            <v>0.36964362496619191</v>
          </cell>
          <cell r="F128">
            <v>3.5711491751343902E-2</v>
          </cell>
          <cell r="G128">
            <v>9.4660862386304723E-2</v>
          </cell>
        </row>
        <row r="129">
          <cell r="B129" t="str">
            <v>RHES-CHPNGA</v>
          </cell>
          <cell r="C129" t="str">
            <v>VAR_ncap</v>
          </cell>
          <cell r="D129" t="str">
            <v>-</v>
          </cell>
          <cell r="F129">
            <v>1.4497041605308599E-4</v>
          </cell>
        </row>
        <row r="130">
          <cell r="B130" t="str">
            <v>RHES-CHPNGA</v>
          </cell>
          <cell r="C130" t="str">
            <v>VAR_cap</v>
          </cell>
          <cell r="D130" t="str">
            <v>-</v>
          </cell>
          <cell r="E130">
            <v>4.186609550019503E-3</v>
          </cell>
          <cell r="F130">
            <v>1.6833878303224802E-3</v>
          </cell>
          <cell r="G130">
            <v>1.2697667895523082E-3</v>
          </cell>
          <cell r="H130">
            <v>1.0048956899011297E-3</v>
          </cell>
        </row>
        <row r="131">
          <cell r="B131" t="str">
            <v>RHEM-CHPWOD</v>
          </cell>
          <cell r="C131" t="str">
            <v>VAR_ncap</v>
          </cell>
          <cell r="D131" t="str">
            <v>-</v>
          </cell>
          <cell r="H131">
            <v>1.2309834003634899E-4</v>
          </cell>
        </row>
        <row r="132">
          <cell r="B132" t="str">
            <v>RHEM-CHPWOD</v>
          </cell>
          <cell r="C132" t="str">
            <v>VAR_cap</v>
          </cell>
          <cell r="D132" t="str">
            <v>-</v>
          </cell>
          <cell r="H132">
            <v>1.2309834003634899E-4</v>
          </cell>
        </row>
        <row r="133">
          <cell r="B133" t="str">
            <v>G-INTC-IMP00-FR</v>
          </cell>
          <cell r="C133" t="str">
            <v>VAR_fout</v>
          </cell>
          <cell r="D133" t="str">
            <v>ELC</v>
          </cell>
          <cell r="E133">
            <v>28.948670600564245</v>
          </cell>
          <cell r="F133">
            <v>21.080686840054629</v>
          </cell>
          <cell r="G133">
            <v>26.594131344599681</v>
          </cell>
          <cell r="H133">
            <v>18.064614718796527</v>
          </cell>
        </row>
        <row r="134">
          <cell r="B134" t="str">
            <v>G-INTC-IMP00-FR</v>
          </cell>
          <cell r="C134" t="str">
            <v>VAR_fin</v>
          </cell>
          <cell r="D134" t="str">
            <v>ELC_I-FR</v>
          </cell>
          <cell r="E134">
            <v>28.948670600564245</v>
          </cell>
          <cell r="F134">
            <v>21.080686840054629</v>
          </cell>
          <cell r="G134">
            <v>26.594131344599681</v>
          </cell>
          <cell r="H134">
            <v>18.064614718796527</v>
          </cell>
        </row>
        <row r="135">
          <cell r="B135" t="str">
            <v>G-INTC-IMP00-FR</v>
          </cell>
          <cell r="C135" t="str">
            <v>VAR_ncap</v>
          </cell>
          <cell r="D135" t="str">
            <v>-</v>
          </cell>
          <cell r="E135">
            <v>4.4074053768257897E-5</v>
          </cell>
          <cell r="F135">
            <v>4.5268564639721298E-5</v>
          </cell>
          <cell r="G135">
            <v>1.6909968179793899E-4</v>
          </cell>
          <cell r="H135">
            <v>4.4523073241247303E-5</v>
          </cell>
        </row>
        <row r="136">
          <cell r="B136" t="str">
            <v>G-INTC-IMP00-FR</v>
          </cell>
          <cell r="C136" t="str">
            <v>VAR_cap</v>
          </cell>
          <cell r="D136" t="str">
            <v>-</v>
          </cell>
          <cell r="E136">
            <v>1.6999745201684109</v>
          </cell>
          <cell r="F136">
            <v>1.699952335821846</v>
          </cell>
          <cell r="G136">
            <v>1.6999418488649312</v>
          </cell>
          <cell r="H136">
            <v>1.699965398738394</v>
          </cell>
        </row>
        <row r="137">
          <cell r="B137" t="str">
            <v>ITOT-CHPWSTCCS</v>
          </cell>
          <cell r="C137" t="str">
            <v>VAR_fout</v>
          </cell>
          <cell r="D137" t="str">
            <v>CO2_O</v>
          </cell>
        </row>
        <row r="138">
          <cell r="B138" t="str">
            <v>ITOT-CHPWSTCCS</v>
          </cell>
          <cell r="C138" t="str">
            <v>VAR_fout</v>
          </cell>
          <cell r="D138" t="str">
            <v>CO2</v>
          </cell>
        </row>
        <row r="139">
          <cell r="B139" t="str">
            <v>ITOT-CHPWSTCCS</v>
          </cell>
          <cell r="C139" t="str">
            <v>VAR_fout</v>
          </cell>
          <cell r="D139" t="str">
            <v>ITOT_LTH_CHP</v>
          </cell>
        </row>
        <row r="140">
          <cell r="B140" t="str">
            <v>ITOT-CHPWSTCCS</v>
          </cell>
          <cell r="C140" t="str">
            <v>VAR_fout</v>
          </cell>
          <cell r="D140" t="str">
            <v>ITOT_KEV_WST_ELC_CHP</v>
          </cell>
        </row>
        <row r="141">
          <cell r="B141" t="str">
            <v>ITOT-CHPWSTCCS</v>
          </cell>
          <cell r="C141" t="str">
            <v>VAR_fout</v>
          </cell>
          <cell r="D141" t="str">
            <v>CO2_I</v>
          </cell>
        </row>
        <row r="142">
          <cell r="B142" t="str">
            <v>ITOT-CHPWSTCCS</v>
          </cell>
          <cell r="C142" t="str">
            <v>VAR_fin</v>
          </cell>
          <cell r="D142" t="str">
            <v>IWST</v>
          </cell>
        </row>
        <row r="143">
          <cell r="B143" t="str">
            <v>ITOT-CHPWSTCCS</v>
          </cell>
          <cell r="C143" t="str">
            <v>VAR_ncap</v>
          </cell>
          <cell r="D143" t="str">
            <v>-</v>
          </cell>
        </row>
        <row r="144">
          <cell r="B144" t="str">
            <v>ITOT-CHPWSTCCS</v>
          </cell>
          <cell r="C144" t="str">
            <v>VAR_cap</v>
          </cell>
          <cell r="D144" t="str">
            <v>-</v>
          </cell>
        </row>
        <row r="145">
          <cell r="B145" t="str">
            <v>EHYD-RUNS10</v>
          </cell>
          <cell r="C145" t="str">
            <v>VAR_fout</v>
          </cell>
          <cell r="D145" t="str">
            <v>ELC35</v>
          </cell>
          <cell r="F145">
            <v>3.6943651507146749E-2</v>
          </cell>
          <cell r="G145">
            <v>9.9897740805113086E-2</v>
          </cell>
          <cell r="H145">
            <v>9.8014386177019172E-2</v>
          </cell>
        </row>
        <row r="146">
          <cell r="B146" t="str">
            <v>EHYD-RUNS10</v>
          </cell>
          <cell r="C146" t="str">
            <v>VAR_fin</v>
          </cell>
          <cell r="D146" t="str">
            <v>HYDR</v>
          </cell>
          <cell r="F146">
            <v>3.6943651507146749E-2</v>
          </cell>
          <cell r="G146">
            <v>9.9897740805113086E-2</v>
          </cell>
          <cell r="H146">
            <v>9.8014386177019172E-2</v>
          </cell>
        </row>
        <row r="147">
          <cell r="B147" t="str">
            <v>EHYD-RUNS10</v>
          </cell>
          <cell r="C147" t="str">
            <v>VAR_ncap</v>
          </cell>
          <cell r="D147" t="str">
            <v>-</v>
          </cell>
          <cell r="F147">
            <v>3.3103046557329298E-3</v>
          </cell>
          <cell r="G147">
            <v>5.4680085595514797E-3</v>
          </cell>
          <cell r="H147">
            <v>1.95455058226129E-4</v>
          </cell>
        </row>
        <row r="148">
          <cell r="B148" t="str">
            <v>EHYD-RUNS10</v>
          </cell>
          <cell r="C148" t="str">
            <v>VAR_cap</v>
          </cell>
          <cell r="D148" t="str">
            <v>-</v>
          </cell>
          <cell r="F148">
            <v>3.3103046557329298E-3</v>
          </cell>
          <cell r="G148">
            <v>8.7783132152844095E-3</v>
          </cell>
          <cell r="H148">
            <v>8.9737682735105406E-3</v>
          </cell>
        </row>
        <row r="149">
          <cell r="B149" t="str">
            <v>SUP_WSTBIO</v>
          </cell>
          <cell r="C149" t="str">
            <v>VAR_fout</v>
          </cell>
          <cell r="D149" t="str">
            <v>ELC35</v>
          </cell>
          <cell r="E149">
            <v>0.11258923660105545</v>
          </cell>
          <cell r="F149">
            <v>0.12784581924871477</v>
          </cell>
          <cell r="G149">
            <v>0.11842126328064324</v>
          </cell>
          <cell r="H149">
            <v>0.13842302649489827</v>
          </cell>
        </row>
        <row r="150">
          <cell r="B150" t="str">
            <v>SUP_WSTBIO</v>
          </cell>
          <cell r="C150" t="str">
            <v>VAR_fout</v>
          </cell>
          <cell r="D150" t="str">
            <v>BIO</v>
          </cell>
          <cell r="E150">
            <v>5.6294618300527715</v>
          </cell>
          <cell r="F150">
            <v>6.3922909624357347</v>
          </cell>
          <cell r="G150">
            <v>5.9210631640321649</v>
          </cell>
          <cell r="H150">
            <v>6.9211513247449021</v>
          </cell>
        </row>
        <row r="151">
          <cell r="B151" t="str">
            <v>SUP_WSTBIO</v>
          </cell>
          <cell r="C151" t="str">
            <v>VAR_fin</v>
          </cell>
          <cell r="D151" t="str">
            <v>CWST</v>
          </cell>
          <cell r="E151">
            <v>9.6794575123593152</v>
          </cell>
          <cell r="F151">
            <v>10.991087717696651</v>
          </cell>
          <cell r="G151">
            <v>10.180845177470154</v>
          </cell>
          <cell r="H151">
            <v>11.900425334947096</v>
          </cell>
        </row>
        <row r="152">
          <cell r="B152" t="str">
            <v>SUP_WSTBIO</v>
          </cell>
          <cell r="C152" t="str">
            <v>VAR_ncap</v>
          </cell>
          <cell r="D152" t="str">
            <v>-</v>
          </cell>
          <cell r="E152">
            <v>4.2345694322355604E-3</v>
          </cell>
          <cell r="F152">
            <v>2.8718115930272198E-2</v>
          </cell>
          <cell r="G152">
            <v>1.7068234364491501E-5</v>
          </cell>
          <cell r="H152">
            <v>9.3584151915205499E-2</v>
          </cell>
        </row>
        <row r="153">
          <cell r="B153" t="str">
            <v>SUP_WSTBIO</v>
          </cell>
          <cell r="C153" t="str">
            <v>VAR_cap</v>
          </cell>
          <cell r="D153" t="str">
            <v>-</v>
          </cell>
          <cell r="E153">
            <v>0.21279699567428934</v>
          </cell>
          <cell r="F153">
            <v>0.24150485329446542</v>
          </cell>
          <cell r="G153">
            <v>0.24147065447397506</v>
          </cell>
          <cell r="H153">
            <v>0.26147671468051759</v>
          </cell>
        </row>
        <row r="154">
          <cell r="B154" t="str">
            <v>ITOT-CHPNGACCS</v>
          </cell>
          <cell r="C154" t="str">
            <v>VAR_fout</v>
          </cell>
          <cell r="D154" t="str">
            <v>CO2_O</v>
          </cell>
        </row>
        <row r="155">
          <cell r="B155" t="str">
            <v>ITOT-CHPNGACCS</v>
          </cell>
          <cell r="C155" t="str">
            <v>VAR_fout</v>
          </cell>
          <cell r="D155" t="str">
            <v>CO2</v>
          </cell>
        </row>
        <row r="156">
          <cell r="B156" t="str">
            <v>ITOT-CHPNGACCS</v>
          </cell>
          <cell r="C156" t="str">
            <v>VAR_fout</v>
          </cell>
          <cell r="D156" t="str">
            <v>ITOT_NKEV_GAS_ELC_CHP</v>
          </cell>
        </row>
        <row r="157">
          <cell r="B157" t="str">
            <v>ITOT-CHPNGACCS</v>
          </cell>
          <cell r="C157" t="str">
            <v>VAR_fout</v>
          </cell>
          <cell r="D157" t="str">
            <v>ITOT_LTH_CHP</v>
          </cell>
        </row>
        <row r="158">
          <cell r="B158" t="str">
            <v>ITOT-CHPNGACCS</v>
          </cell>
          <cell r="C158" t="str">
            <v>VAR_fout</v>
          </cell>
          <cell r="D158" t="str">
            <v>CO2_I</v>
          </cell>
        </row>
        <row r="159">
          <cell r="B159" t="str">
            <v>ITOT-CHPNGACCS</v>
          </cell>
          <cell r="C159" t="str">
            <v>VAR_fin</v>
          </cell>
          <cell r="D159" t="str">
            <v>INGA</v>
          </cell>
        </row>
        <row r="160">
          <cell r="B160" t="str">
            <v>ITOT-CHPNGACCS</v>
          </cell>
          <cell r="C160" t="str">
            <v>VAR_ncap</v>
          </cell>
          <cell r="D160" t="str">
            <v>-</v>
          </cell>
        </row>
        <row r="161">
          <cell r="B161" t="str">
            <v>ITOT-CHPNGACCS</v>
          </cell>
          <cell r="C161" t="str">
            <v>VAR_cap</v>
          </cell>
          <cell r="D161" t="str">
            <v>-</v>
          </cell>
        </row>
        <row r="162">
          <cell r="B162" t="str">
            <v>SCOM-ESOLPV</v>
          </cell>
          <cell r="C162" t="str">
            <v>VAR_fout</v>
          </cell>
          <cell r="D162" t="str">
            <v>SCOM_SOL_ELC</v>
          </cell>
          <cell r="E162">
            <v>2.8396236857719668</v>
          </cell>
          <cell r="F162">
            <v>3.2944605147353974</v>
          </cell>
          <cell r="G162">
            <v>9.9662483434325413</v>
          </cell>
          <cell r="H162">
            <v>17.9023480892942</v>
          </cell>
        </row>
        <row r="163">
          <cell r="B163" t="str">
            <v>SCOM-ESOLPV</v>
          </cell>
          <cell r="C163" t="str">
            <v>VAR_fin</v>
          </cell>
          <cell r="D163" t="str">
            <v>SOL</v>
          </cell>
          <cell r="E163">
            <v>2.8396236857719668</v>
          </cell>
          <cell r="F163">
            <v>3.2944605147353974</v>
          </cell>
          <cell r="G163">
            <v>9.9662483434325413</v>
          </cell>
          <cell r="H163">
            <v>17.9023480892942</v>
          </cell>
        </row>
        <row r="164">
          <cell r="B164" t="str">
            <v>SCOM-ESOLPV</v>
          </cell>
          <cell r="C164" t="str">
            <v>VAR_fin</v>
          </cell>
          <cell r="D164" t="str">
            <v>SOLPVC</v>
          </cell>
          <cell r="E164">
            <v>2.8396236857719699</v>
          </cell>
          <cell r="F164">
            <v>3.2944605147354</v>
          </cell>
          <cell r="G164">
            <v>9.9662483434325306</v>
          </cell>
          <cell r="H164">
            <v>17.9023480892942</v>
          </cell>
        </row>
        <row r="165">
          <cell r="B165" t="str">
            <v>SCOM-ESOLPV</v>
          </cell>
          <cell r="C165" t="str">
            <v>VAR_ncap</v>
          </cell>
          <cell r="D165" t="str">
            <v>-</v>
          </cell>
          <cell r="F165">
            <v>1.8671488626671899E-6</v>
          </cell>
          <cell r="G165">
            <v>2.0046051226343602</v>
          </cell>
          <cell r="H165">
            <v>2.0654664889237901</v>
          </cell>
        </row>
        <row r="166">
          <cell r="B166" t="str">
            <v>SCOM-ESOLPV</v>
          </cell>
          <cell r="C166" t="str">
            <v>VAR_cap</v>
          </cell>
          <cell r="D166" t="str">
            <v>-</v>
          </cell>
          <cell r="E166">
            <v>0.90292899999999998</v>
          </cell>
          <cell r="F166">
            <v>1.1231031287168727</v>
          </cell>
          <cell r="G166">
            <v>3.1798359897832205</v>
          </cell>
          <cell r="H166">
            <v>5.1607326569476903</v>
          </cell>
        </row>
        <row r="167">
          <cell r="B167" t="str">
            <v>D-SCOM_LTH</v>
          </cell>
          <cell r="C167" t="str">
            <v>VAR_fout</v>
          </cell>
          <cell r="D167" t="str">
            <v>SCOM_LTH_DH</v>
          </cell>
          <cell r="E167">
            <v>5.6100715303282938</v>
          </cell>
          <cell r="F167">
            <v>6.0767494295611515</v>
          </cell>
          <cell r="G167">
            <v>5.9482898181497221</v>
          </cell>
          <cell r="H167">
            <v>7.6471325057742057</v>
          </cell>
        </row>
        <row r="168">
          <cell r="B168" t="str">
            <v>D-SCOM_LTH</v>
          </cell>
          <cell r="C168" t="str">
            <v>VAR_fin</v>
          </cell>
          <cell r="D168" t="str">
            <v>LTH</v>
          </cell>
          <cell r="E168">
            <v>6.0988534961654368</v>
          </cell>
          <cell r="F168">
            <v>6.604454893473072</v>
          </cell>
          <cell r="G168">
            <v>6.4622922851122029</v>
          </cell>
          <cell r="H168">
            <v>8.3024822056838818</v>
          </cell>
        </row>
        <row r="169">
          <cell r="B169" t="str">
            <v>D-SCOM_LTH</v>
          </cell>
          <cell r="C169" t="str">
            <v>VAR_ncap</v>
          </cell>
          <cell r="D169" t="str">
            <v>-</v>
          </cell>
          <cell r="E169">
            <v>0.84970301217908395</v>
          </cell>
          <cell r="F169">
            <v>2.4656683704450402E-6</v>
          </cell>
          <cell r="G169">
            <v>2.90973852282062E-6</v>
          </cell>
          <cell r="H169">
            <v>3.0216633111235002E-6</v>
          </cell>
        </row>
        <row r="170">
          <cell r="B170" t="str">
            <v>D-SCOM_LTH</v>
          </cell>
          <cell r="C170" t="str">
            <v>VAR_cap</v>
          </cell>
          <cell r="D170" t="str">
            <v>-</v>
          </cell>
          <cell r="E170">
            <v>0.84970301217908395</v>
          </cell>
          <cell r="F170">
            <v>0.84970547784745498</v>
          </cell>
          <cell r="G170">
            <v>0.849708387585978</v>
          </cell>
          <cell r="H170">
            <v>0.84971140924928901</v>
          </cell>
        </row>
        <row r="171">
          <cell r="B171" t="str">
            <v>EHYD-RUNS15</v>
          </cell>
          <cell r="C171" t="str">
            <v>VAR_fout</v>
          </cell>
          <cell r="D171" t="str">
            <v>ELC35</v>
          </cell>
          <cell r="F171">
            <v>1.2547825860229803E-2</v>
          </cell>
          <cell r="G171">
            <v>0.11292391193399223</v>
          </cell>
          <cell r="H171">
            <v>0.13778341644551323</v>
          </cell>
        </row>
        <row r="172">
          <cell r="B172" t="str">
            <v>EHYD-RUNS15</v>
          </cell>
          <cell r="C172" t="str">
            <v>VAR_fin</v>
          </cell>
          <cell r="D172" t="str">
            <v>HYDR</v>
          </cell>
          <cell r="F172">
            <v>1.2547825860229803E-2</v>
          </cell>
          <cell r="G172">
            <v>0.11292391193399223</v>
          </cell>
          <cell r="H172">
            <v>0.13778341644551323</v>
          </cell>
        </row>
        <row r="173">
          <cell r="B173" t="str">
            <v>EHYD-RUNS15</v>
          </cell>
          <cell r="C173" t="str">
            <v>VAR_ncap</v>
          </cell>
          <cell r="D173" t="str">
            <v>-</v>
          </cell>
          <cell r="F173">
            <v>1.0637287959281299E-3</v>
          </cell>
          <cell r="G173">
            <v>6.5811363093964802E-3</v>
          </cell>
          <cell r="H173">
            <v>1.76866380456793E-3</v>
          </cell>
        </row>
        <row r="174">
          <cell r="B174" t="str">
            <v>EHYD-RUNS15</v>
          </cell>
          <cell r="C174" t="str">
            <v>VAR_cap</v>
          </cell>
          <cell r="D174" t="str">
            <v>-</v>
          </cell>
          <cell r="F174">
            <v>1.0637287959281299E-3</v>
          </cell>
          <cell r="G174">
            <v>7.64486510532461E-3</v>
          </cell>
          <cell r="H174">
            <v>9.4135289098925407E-3</v>
          </cell>
        </row>
        <row r="175">
          <cell r="B175" t="str">
            <v>EHYD-RUN10</v>
          </cell>
          <cell r="C175" t="str">
            <v>VAR_fout</v>
          </cell>
          <cell r="D175" t="str">
            <v>ELC13</v>
          </cell>
          <cell r="F175">
            <v>4.5532609320825E-2</v>
          </cell>
          <cell r="G175">
            <v>5.5870487320605219E-2</v>
          </cell>
          <cell r="H175">
            <v>5.5858075030562969E-2</v>
          </cell>
        </row>
        <row r="176">
          <cell r="B176" t="str">
            <v>EHYD-RUN10</v>
          </cell>
          <cell r="C176" t="str">
            <v>VAR_fin</v>
          </cell>
          <cell r="D176" t="str">
            <v>HYDR</v>
          </cell>
          <cell r="F176">
            <v>4.5532609320825E-2</v>
          </cell>
          <cell r="G176">
            <v>5.5870487320605219E-2</v>
          </cell>
          <cell r="H176">
            <v>5.5858075030562969E-2</v>
          </cell>
        </row>
        <row r="177">
          <cell r="B177" t="str">
            <v>EHYD-RUN10</v>
          </cell>
          <cell r="C177" t="str">
            <v>VAR_ncap</v>
          </cell>
          <cell r="D177" t="str">
            <v>-</v>
          </cell>
          <cell r="F177">
            <v>3.9638924655893996E-3</v>
          </cell>
          <cell r="G177">
            <v>1.05504928058375E-3</v>
          </cell>
          <cell r="H177">
            <v>5.3498701353929403E-6</v>
          </cell>
        </row>
        <row r="178">
          <cell r="B178" t="str">
            <v>EHYD-RUN10</v>
          </cell>
          <cell r="C178" t="str">
            <v>VAR_cap</v>
          </cell>
          <cell r="D178" t="str">
            <v>-</v>
          </cell>
          <cell r="F178">
            <v>3.9638924655893996E-3</v>
          </cell>
          <cell r="G178">
            <v>5.01894174617315E-3</v>
          </cell>
          <cell r="H178">
            <v>5.02429161630854E-3</v>
          </cell>
        </row>
        <row r="179">
          <cell r="B179" t="str">
            <v>ITOT-CHPWOD</v>
          </cell>
          <cell r="C179" t="str">
            <v>VAR_fout</v>
          </cell>
          <cell r="D179" t="str">
            <v>ITOT_LTH_CHP</v>
          </cell>
          <cell r="E179">
            <v>0.65994744305975483</v>
          </cell>
          <cell r="F179">
            <v>1.4023866118570587</v>
          </cell>
          <cell r="G179">
            <v>3.7144502899717744</v>
          </cell>
          <cell r="H179">
            <v>5.3812368622562738</v>
          </cell>
        </row>
        <row r="180">
          <cell r="B180" t="str">
            <v>ITOT-CHPWOD</v>
          </cell>
          <cell r="C180" t="str">
            <v>VAR_fout</v>
          </cell>
          <cell r="D180" t="str">
            <v>ITOT_KEV_WOD_ELC_CHP</v>
          </cell>
          <cell r="E180">
            <v>0.17256107231247877</v>
          </cell>
          <cell r="F180">
            <v>0.40268154372963511</v>
          </cell>
          <cell r="G180">
            <v>1.2506960614241154</v>
          </cell>
          <cell r="H180">
            <v>2.5438574257938686</v>
          </cell>
        </row>
        <row r="181">
          <cell r="B181" t="str">
            <v>ITOT-CHPWOD</v>
          </cell>
          <cell r="C181" t="str">
            <v>VAR_fin</v>
          </cell>
          <cell r="D181" t="str">
            <v>IWOD</v>
          </cell>
          <cell r="E181">
            <v>0.87271771145520349</v>
          </cell>
          <cell r="F181">
            <v>1.7856104341453656</v>
          </cell>
          <cell r="G181">
            <v>4.6818413972954458</v>
          </cell>
          <cell r="H181">
            <v>7.5215718293949587</v>
          </cell>
        </row>
        <row r="182">
          <cell r="B182" t="str">
            <v>ITOT-CHPWOD</v>
          </cell>
          <cell r="C182" t="str">
            <v>VAR_ncap</v>
          </cell>
          <cell r="D182" t="str">
            <v>-</v>
          </cell>
          <cell r="F182">
            <v>1.3360940420271099E-2</v>
          </cell>
          <cell r="G182">
            <v>3.12815534922702E-2</v>
          </cell>
          <cell r="H182">
            <v>4.7887059106327602E-2</v>
          </cell>
        </row>
        <row r="183">
          <cell r="B183" t="str">
            <v>ITOT-CHPWOD</v>
          </cell>
          <cell r="C183" t="str">
            <v>VAR_cap</v>
          </cell>
          <cell r="D183" t="str">
            <v>-</v>
          </cell>
          <cell r="E183">
            <v>1.2870252393461221E-2</v>
          </cell>
          <cell r="F183">
            <v>1.5038137398861954E-2</v>
          </cell>
          <cell r="G183">
            <v>4.631644953856081E-2</v>
          </cell>
          <cell r="H183">
            <v>9.4195697419412902E-2</v>
          </cell>
        </row>
        <row r="184">
          <cell r="B184" t="str">
            <v>EHYD-RUN15</v>
          </cell>
          <cell r="C184" t="str">
            <v>VAR_fout</v>
          </cell>
          <cell r="D184" t="str">
            <v>ELC13</v>
          </cell>
          <cell r="F184">
            <v>1.6666674525360543E-2</v>
          </cell>
          <cell r="G184">
            <v>1.7024400428958763E-2</v>
          </cell>
          <cell r="H184">
            <v>0.25334027691799155</v>
          </cell>
        </row>
        <row r="185">
          <cell r="B185" t="str">
            <v>EHYD-RUN15</v>
          </cell>
          <cell r="C185" t="str">
            <v>VAR_fin</v>
          </cell>
          <cell r="D185" t="str">
            <v>HYDR</v>
          </cell>
          <cell r="F185">
            <v>1.6666674525360543E-2</v>
          </cell>
          <cell r="G185">
            <v>1.7024400428958763E-2</v>
          </cell>
          <cell r="H185">
            <v>0.25334027691799155</v>
          </cell>
        </row>
        <row r="186">
          <cell r="B186" t="str">
            <v>EHYD-RUN15</v>
          </cell>
          <cell r="C186" t="str">
            <v>VAR_ncap</v>
          </cell>
          <cell r="D186" t="str">
            <v>-</v>
          </cell>
          <cell r="F186">
            <v>1.43448214027016E-3</v>
          </cell>
          <cell r="G186">
            <v>2.38865647993927E-2</v>
          </cell>
          <cell r="H186">
            <v>2.5223598481194899E-5</v>
          </cell>
        </row>
        <row r="187">
          <cell r="B187" t="str">
            <v>EHYD-RUN15</v>
          </cell>
          <cell r="C187" t="str">
            <v>VAR_cap</v>
          </cell>
          <cell r="D187" t="str">
            <v>-</v>
          </cell>
          <cell r="F187">
            <v>1.43448214027016E-3</v>
          </cell>
          <cell r="G187">
            <v>1.43448214027016E-3</v>
          </cell>
          <cell r="H187">
            <v>1.8076797069801601E-2</v>
          </cell>
        </row>
        <row r="188">
          <cell r="B188" t="str">
            <v>SCOM-SWHSTG-CHPWOD</v>
          </cell>
          <cell r="C188" t="str">
            <v>VAR_fout</v>
          </cell>
          <cell r="D188" t="str">
            <v>AUX_SCOM-CHPWOD_OUT</v>
          </cell>
          <cell r="E188">
            <v>2.036135925556301E-3</v>
          </cell>
          <cell r="F188">
            <v>1.0323066755480194E-3</v>
          </cell>
          <cell r="G188">
            <v>2.1088550657546406E-3</v>
          </cell>
          <cell r="H188">
            <v>5.4674020219596319E-4</v>
          </cell>
        </row>
        <row r="189">
          <cell r="B189" t="str">
            <v>SCOM-SWHSTG-CHPWOD</v>
          </cell>
          <cell r="C189" t="str">
            <v>VAR_fout</v>
          </cell>
          <cell r="D189" t="str">
            <v>SCOM_LTH_CHPWOD</v>
          </cell>
          <cell r="E189">
            <v>2.036135925556304E-3</v>
          </cell>
          <cell r="F189">
            <v>1.0331504511193502E-3</v>
          </cell>
          <cell r="G189">
            <v>2.1115483672434722E-3</v>
          </cell>
          <cell r="H189">
            <v>5.4674020219596243E-4</v>
          </cell>
        </row>
        <row r="190">
          <cell r="B190" t="str">
            <v>SCOM-SWHSTG-CHPWOD</v>
          </cell>
          <cell r="C190" t="str">
            <v>VAR_fin</v>
          </cell>
          <cell r="D190" t="str">
            <v>AUX_SCOM-CHPWOD_IN</v>
          </cell>
          <cell r="E190">
            <v>2.036135925556304E-3</v>
          </cell>
          <cell r="F190">
            <v>1.0331504511193502E-3</v>
          </cell>
          <cell r="G190">
            <v>2.1115483672434722E-3</v>
          </cell>
          <cell r="H190">
            <v>5.4674020219596243E-4</v>
          </cell>
        </row>
        <row r="191">
          <cell r="B191" t="str">
            <v>SCOM-SWHSTG-CHPWOD</v>
          </cell>
          <cell r="C191" t="str">
            <v>VAR_fin</v>
          </cell>
          <cell r="D191" t="str">
            <v>SCOM_LTH_CHPWOD</v>
          </cell>
          <cell r="E191">
            <v>2.036135925556304E-3</v>
          </cell>
          <cell r="F191">
            <v>1.0331504511193502E-3</v>
          </cell>
          <cell r="G191">
            <v>2.1115483672434722E-3</v>
          </cell>
          <cell r="H191">
            <v>5.4674020219596243E-4</v>
          </cell>
        </row>
        <row r="192">
          <cell r="B192" t="str">
            <v>SCOM-SWHSTG-CHPWOD</v>
          </cell>
          <cell r="C192" t="str">
            <v>VAR_ncap</v>
          </cell>
          <cell r="D192" t="str">
            <v>-</v>
          </cell>
          <cell r="E192">
            <v>2.1470819634978398E-2</v>
          </cell>
          <cell r="F192">
            <v>6.9120123866257604E-4</v>
          </cell>
          <cell r="G192">
            <v>5.9691071279652599E-4</v>
          </cell>
          <cell r="H192">
            <v>3.9633980035813301E-4</v>
          </cell>
        </row>
        <row r="193">
          <cell r="B193" t="str">
            <v>SCOM-SWHSTG-CHPWOD</v>
          </cell>
          <cell r="C193" t="str">
            <v>VAR_cap</v>
          </cell>
          <cell r="D193" t="str">
            <v>-</v>
          </cell>
          <cell r="E193">
            <v>2.1470819634978398E-2</v>
          </cell>
          <cell r="F193">
            <v>2.2076172203711476E-2</v>
          </cell>
          <cell r="G193">
            <v>2.2402768355733738E-2</v>
          </cell>
          <cell r="H193">
            <v>2.1959270729509001E-2</v>
          </cell>
        </row>
        <row r="194">
          <cell r="B194" t="str">
            <v>RHNM-ESOLPV</v>
          </cell>
          <cell r="C194" t="str">
            <v>VAR_fout</v>
          </cell>
          <cell r="D194" t="str">
            <v>RHNM_SOL_ELC</v>
          </cell>
          <cell r="F194">
            <v>9.6002379843435418E-4</v>
          </cell>
          <cell r="G194">
            <v>1.3216409765481374</v>
          </cell>
          <cell r="H194">
            <v>1.477700125408963</v>
          </cell>
        </row>
        <row r="195">
          <cell r="B195" t="str">
            <v>RHNM-ESOLPV</v>
          </cell>
          <cell r="C195" t="str">
            <v>VAR_fin</v>
          </cell>
          <cell r="D195" t="str">
            <v>SOL</v>
          </cell>
          <cell r="F195">
            <v>9.6002379843435418E-4</v>
          </cell>
          <cell r="G195">
            <v>1.3216409765481374</v>
          </cell>
          <cell r="H195">
            <v>1.477700125408963</v>
          </cell>
        </row>
        <row r="196">
          <cell r="B196" t="str">
            <v>RHNM-ESOLPV</v>
          </cell>
          <cell r="C196" t="str">
            <v>VAR_fin</v>
          </cell>
          <cell r="D196" t="str">
            <v>SOLPVC</v>
          </cell>
          <cell r="F196">
            <v>9.6002379843435396E-4</v>
          </cell>
          <cell r="G196">
            <v>1.3216409765481401</v>
          </cell>
          <cell r="H196">
            <v>1.4777001254089599</v>
          </cell>
        </row>
        <row r="197">
          <cell r="B197" t="str">
            <v>RHNM-ESOLPV</v>
          </cell>
          <cell r="C197" t="str">
            <v>VAR_ncap</v>
          </cell>
          <cell r="D197" t="str">
            <v>-</v>
          </cell>
          <cell r="F197">
            <v>3.2727838953956198E-4</v>
          </cell>
          <cell r="G197">
            <v>0.42135967106072297</v>
          </cell>
          <cell r="H197">
            <v>4.29792537312647E-3</v>
          </cell>
        </row>
        <row r="198">
          <cell r="B198" t="str">
            <v>RHNM-ESOLPV</v>
          </cell>
          <cell r="C198" t="str">
            <v>VAR_cap</v>
          </cell>
          <cell r="D198" t="str">
            <v>-</v>
          </cell>
          <cell r="F198">
            <v>3.2727838953956198E-4</v>
          </cell>
          <cell r="G198">
            <v>0.42168694945026303</v>
          </cell>
          <cell r="H198">
            <v>0.42598487482338898</v>
          </cell>
        </row>
        <row r="199">
          <cell r="B199" t="str">
            <v>CHPNGA</v>
          </cell>
          <cell r="C199" t="str">
            <v>VAR_fout</v>
          </cell>
          <cell r="D199" t="str">
            <v>ELC35</v>
          </cell>
          <cell r="E199">
            <v>0.96593191713005089</v>
          </cell>
          <cell r="F199">
            <v>1.9314762520194165E-2</v>
          </cell>
          <cell r="G199">
            <v>7.9851462797953549E-2</v>
          </cell>
        </row>
        <row r="200">
          <cell r="B200" t="str">
            <v>CHPNGA</v>
          </cell>
          <cell r="C200" t="str">
            <v>VAR_fout</v>
          </cell>
          <cell r="D200" t="str">
            <v>LTH</v>
          </cell>
          <cell r="E200">
            <v>1.8036467630566795</v>
          </cell>
          <cell r="F200">
            <v>3.7114377824545387E-2</v>
          </cell>
          <cell r="G200">
            <v>0.15994218272706601</v>
          </cell>
        </row>
        <row r="201">
          <cell r="B201" t="str">
            <v>CHPNGA</v>
          </cell>
          <cell r="C201" t="str">
            <v>VAR_fout</v>
          </cell>
          <cell r="D201" t="str">
            <v>CO2_E</v>
          </cell>
          <cell r="E201">
            <v>226.173085210479</v>
          </cell>
          <cell r="F201">
            <v>4.7188143983917898</v>
          </cell>
          <cell r="G201">
            <v>19.625612238503098</v>
          </cell>
        </row>
        <row r="202">
          <cell r="B202" t="str">
            <v>CHPNGA</v>
          </cell>
          <cell r="C202" t="str">
            <v>VAR_fin</v>
          </cell>
          <cell r="D202" t="str">
            <v>ENGA</v>
          </cell>
          <cell r="E202">
            <v>4.0101610852921787</v>
          </cell>
          <cell r="F202">
            <v>8.3666921957301368E-2</v>
          </cell>
          <cell r="G202">
            <v>0.34797184820040949</v>
          </cell>
        </row>
        <row r="203">
          <cell r="B203" t="str">
            <v>CHPNGA</v>
          </cell>
          <cell r="C203" t="str">
            <v>VAR_ncap</v>
          </cell>
          <cell r="D203" t="str">
            <v>-</v>
          </cell>
          <cell r="F203">
            <v>3.16525421390184E-6</v>
          </cell>
        </row>
        <row r="204">
          <cell r="B204" t="str">
            <v>CHPNGA</v>
          </cell>
          <cell r="C204" t="str">
            <v>VAR_cap</v>
          </cell>
          <cell r="D204" t="str">
            <v>-</v>
          </cell>
          <cell r="E204">
            <v>0.10832730174213549</v>
          </cell>
          <cell r="F204">
            <v>6.1850074897967927E-3</v>
          </cell>
          <cell r="G204">
            <v>6.1699499611585912E-3</v>
          </cell>
          <cell r="H204">
            <v>-9.4486187225961693E-6</v>
          </cell>
        </row>
        <row r="205">
          <cell r="B205" t="str">
            <v>EHYD-PUM00</v>
          </cell>
          <cell r="C205" t="str">
            <v>VAR_fout</v>
          </cell>
          <cell r="D205" t="str">
            <v>ELC</v>
          </cell>
          <cell r="E205">
            <v>12.841988463511951</v>
          </cell>
          <cell r="F205">
            <v>16.033274930583477</v>
          </cell>
          <cell r="G205">
            <v>2.4276904620225808</v>
          </cell>
          <cell r="H205">
            <v>44.631303437498097</v>
          </cell>
        </row>
        <row r="206">
          <cell r="B206" t="str">
            <v>EHYD-PUM00</v>
          </cell>
          <cell r="C206" t="str">
            <v>VAR_fout</v>
          </cell>
          <cell r="D206" t="str">
            <v>AUX_PUMP_OUT</v>
          </cell>
          <cell r="E206">
            <v>12.841988463511951</v>
          </cell>
          <cell r="F206">
            <v>16.033274930583477</v>
          </cell>
          <cell r="G206">
            <v>2.4276904620225808</v>
          </cell>
          <cell r="H206">
            <v>44.631303437498097</v>
          </cell>
        </row>
        <row r="207">
          <cell r="B207" t="str">
            <v>EHYD-PUM00</v>
          </cell>
          <cell r="C207" t="str">
            <v>VAR_fin</v>
          </cell>
          <cell r="D207" t="str">
            <v>AUX_PUMP_IN</v>
          </cell>
          <cell r="E207">
            <v>16.052497217129396</v>
          </cell>
          <cell r="F207">
            <v>20.041595117943295</v>
          </cell>
          <cell r="G207">
            <v>3.0346186015414971</v>
          </cell>
          <cell r="H207">
            <v>55.789111303617801</v>
          </cell>
        </row>
        <row r="208">
          <cell r="B208" t="str">
            <v>EHYD-PUM00</v>
          </cell>
          <cell r="C208" t="str">
            <v>VAR_fin</v>
          </cell>
          <cell r="D208" t="str">
            <v>ELC</v>
          </cell>
          <cell r="E208">
            <v>16.052497217129396</v>
          </cell>
          <cell r="F208">
            <v>20.041595117943295</v>
          </cell>
          <cell r="G208">
            <v>3.0346186015414971</v>
          </cell>
          <cell r="H208">
            <v>55.789111303617801</v>
          </cell>
        </row>
        <row r="209">
          <cell r="B209" t="str">
            <v>EHYD-PUM00</v>
          </cell>
          <cell r="C209" t="str">
            <v>VAR_cap</v>
          </cell>
          <cell r="D209" t="str">
            <v>-</v>
          </cell>
          <cell r="E209">
            <v>3.3394499999999998</v>
          </cell>
          <cell r="F209">
            <v>3.97102894612105</v>
          </cell>
          <cell r="G209">
            <v>4.3594499999999998</v>
          </cell>
          <cell r="H209">
            <v>4.3594499999999998</v>
          </cell>
        </row>
        <row r="210">
          <cell r="B210" t="str">
            <v>RHNS-SHSTG-CHPNGA</v>
          </cell>
          <cell r="C210" t="str">
            <v>VAR_fout</v>
          </cell>
          <cell r="D210" t="str">
            <v>RHNS_LTH_CHPNGA</v>
          </cell>
          <cell r="E210">
            <v>3.9053728840280529E-3</v>
          </cell>
          <cell r="F210">
            <v>5.3834140665880706E-3</v>
          </cell>
          <cell r="G210">
            <v>2.1928550147977299E-2</v>
          </cell>
          <cell r="H210">
            <v>2.0736996739536698E-3</v>
          </cell>
        </row>
        <row r="211">
          <cell r="B211" t="str">
            <v>RHNS-SHSTG-CHPNGA</v>
          </cell>
          <cell r="C211" t="str">
            <v>VAR_fout</v>
          </cell>
          <cell r="D211" t="str">
            <v>AUX_RNS-CHPNGA_OUT</v>
          </cell>
          <cell r="E211">
            <v>3.9053728840280633E-3</v>
          </cell>
          <cell r="F211">
            <v>5.379827514911467E-3</v>
          </cell>
          <cell r="G211">
            <v>2.1905731677479948E-2</v>
          </cell>
          <cell r="H211">
            <v>2.0736996739536698E-3</v>
          </cell>
        </row>
        <row r="212">
          <cell r="B212" t="str">
            <v>RHNS-SHSTG-CHPNGA</v>
          </cell>
          <cell r="C212" t="str">
            <v>VAR_fin</v>
          </cell>
          <cell r="D212" t="str">
            <v>RHNS_LTH_CHPNGA</v>
          </cell>
          <cell r="E212">
            <v>2.9727211287275276E-3</v>
          </cell>
          <cell r="F212">
            <v>7.1179890499633624E-3</v>
          </cell>
          <cell r="G212">
            <v>2.8347273167954552E-2</v>
          </cell>
          <cell r="H212">
            <v>1.6225882732687127E-3</v>
          </cell>
        </row>
        <row r="213">
          <cell r="B213" t="str">
            <v>RHNS-SHSTG-CHPNGA</v>
          </cell>
          <cell r="C213" t="str">
            <v>VAR_fin</v>
          </cell>
          <cell r="D213" t="str">
            <v>AUX_RNS-CHPNGA_IN</v>
          </cell>
          <cell r="E213">
            <v>2.9727211287275276E-3</v>
          </cell>
          <cell r="F213">
            <v>7.1179890499633624E-3</v>
          </cell>
          <cell r="G213">
            <v>2.8347273167954552E-2</v>
          </cell>
          <cell r="H213">
            <v>1.6225882732687127E-3</v>
          </cell>
        </row>
        <row r="214">
          <cell r="B214" t="str">
            <v>RHNS-SHSTG-CHPNGA</v>
          </cell>
          <cell r="C214" t="str">
            <v>VAR_ncap</v>
          </cell>
          <cell r="D214" t="str">
            <v>-</v>
          </cell>
          <cell r="E214">
            <v>3.4795973879293299E-2</v>
          </cell>
          <cell r="F214">
            <v>1.0821692559269301E-3</v>
          </cell>
          <cell r="G214">
            <v>6.25163976073285E-4</v>
          </cell>
          <cell r="H214">
            <v>3.03215122985527E-4</v>
          </cell>
        </row>
        <row r="215">
          <cell r="B215" t="str">
            <v>RHNS-SHSTG-CHPNGA</v>
          </cell>
          <cell r="C215" t="str">
            <v>VAR_cap</v>
          </cell>
          <cell r="D215" t="str">
            <v>-</v>
          </cell>
          <cell r="E215">
            <v>3.4795973879293299E-2</v>
          </cell>
          <cell r="F215">
            <v>3.5814550738494037E-2</v>
          </cell>
          <cell r="G215">
            <v>3.6204372888291557E-2</v>
          </cell>
          <cell r="H215">
            <v>3.495638871607349E-2</v>
          </cell>
        </row>
        <row r="216">
          <cell r="B216" t="str">
            <v>ITOT-CHPGFC</v>
          </cell>
          <cell r="C216" t="str">
            <v>VAR_fout</v>
          </cell>
          <cell r="D216" t="str">
            <v>ITOT_NKEV_GAS_ELC_CHP</v>
          </cell>
        </row>
        <row r="217">
          <cell r="B217" t="str">
            <v>ITOT-CHPGFC</v>
          </cell>
          <cell r="C217" t="str">
            <v>VAR_fout</v>
          </cell>
          <cell r="D217" t="str">
            <v>ITOT_LTH_CHP</v>
          </cell>
        </row>
        <row r="218">
          <cell r="B218" t="str">
            <v>ITOT-CHPGFC</v>
          </cell>
          <cell r="C218" t="str">
            <v>VAR_fout</v>
          </cell>
          <cell r="D218" t="str">
            <v>CO2_I</v>
          </cell>
        </row>
        <row r="219">
          <cell r="B219" t="str">
            <v>ITOT-CHPGFC</v>
          </cell>
          <cell r="C219" t="str">
            <v>VAR_fin</v>
          </cell>
          <cell r="D219" t="str">
            <v>INGA</v>
          </cell>
        </row>
        <row r="220">
          <cell r="B220" t="str">
            <v>ITOT-CHPGFC</v>
          </cell>
          <cell r="C220" t="str">
            <v>VAR_ncap</v>
          </cell>
          <cell r="D220" t="str">
            <v>-</v>
          </cell>
          <cell r="E220"/>
          <cell r="F220"/>
          <cell r="G220"/>
          <cell r="H220"/>
        </row>
        <row r="221">
          <cell r="B221" t="str">
            <v>ITOT-CHPGFC</v>
          </cell>
          <cell r="C221" t="str">
            <v>VAR_cap</v>
          </cell>
          <cell r="D221" t="str">
            <v>-</v>
          </cell>
          <cell r="E221"/>
          <cell r="F221"/>
          <cell r="G221"/>
          <cell r="H221"/>
        </row>
        <row r="222">
          <cell r="B222" t="str">
            <v>ITOT-SWSTG-CHP</v>
          </cell>
          <cell r="C222" t="str">
            <v>VAR_fout</v>
          </cell>
          <cell r="D222" t="str">
            <v>ITOT_LTH_CHP</v>
          </cell>
          <cell r="E222">
            <v>4.1595563730502502E-4</v>
          </cell>
          <cell r="F222">
            <v>1.0698296985019493E-2</v>
          </cell>
          <cell r="G222">
            <v>0.18037831527724857</v>
          </cell>
          <cell r="H222">
            <v>3.488777731323571E-2</v>
          </cell>
        </row>
        <row r="223">
          <cell r="B223" t="str">
            <v>ITOT-SWSTG-CHP</v>
          </cell>
          <cell r="C223" t="str">
            <v>VAR_fout</v>
          </cell>
          <cell r="D223" t="str">
            <v>AUX_ITOT-CHP_OUT</v>
          </cell>
          <cell r="E223">
            <v>4.1595563730502437E-4</v>
          </cell>
          <cell r="F223">
            <v>1.0689559669325523E-2</v>
          </cell>
          <cell r="G223">
            <v>0.18014824089551737</v>
          </cell>
          <cell r="H223">
            <v>3.4887777313235772E-2</v>
          </cell>
        </row>
        <row r="224">
          <cell r="B224" t="str">
            <v>ITOT-SWSTG-CHP</v>
          </cell>
          <cell r="C224" t="str">
            <v>VAR_fin</v>
          </cell>
          <cell r="D224" t="str">
            <v>ITOT_LTH_CHP</v>
          </cell>
          <cell r="E224">
            <v>7.2300448383476725E-4</v>
          </cell>
          <cell r="F224">
            <v>1.3067329589600845E-2</v>
          </cell>
          <cell r="G224">
            <v>0.21484082911806773</v>
          </cell>
          <cell r="H224">
            <v>4.0205632966013233E-2</v>
          </cell>
        </row>
        <row r="225">
          <cell r="B225" t="str">
            <v>ITOT-SWSTG-CHP</v>
          </cell>
          <cell r="C225" t="str">
            <v>VAR_fin</v>
          </cell>
          <cell r="D225" t="str">
            <v>AUX_ITOT-CHP_IN</v>
          </cell>
          <cell r="E225">
            <v>7.2300448383476725E-4</v>
          </cell>
          <cell r="F225">
            <v>1.3067329589600845E-2</v>
          </cell>
          <cell r="G225">
            <v>0.21484082911806773</v>
          </cell>
          <cell r="H225">
            <v>4.0205632966013233E-2</v>
          </cell>
        </row>
        <row r="226">
          <cell r="B226" t="str">
            <v>ITOT-SWSTG-CHP</v>
          </cell>
          <cell r="C226" t="str">
            <v>VAR_ncap</v>
          </cell>
          <cell r="D226" t="str">
            <v>-</v>
          </cell>
          <cell r="E226">
            <v>4.8000486927799797E-2</v>
          </cell>
          <cell r="F226">
            <v>5.9211095643207099E-4</v>
          </cell>
          <cell r="G226">
            <v>7.2142140134475103E-4</v>
          </cell>
          <cell r="H226">
            <v>4.3570058924275303E-4</v>
          </cell>
        </row>
        <row r="227">
          <cell r="B227" t="str">
            <v>ITOT-SWSTG-CHP</v>
          </cell>
          <cell r="C227" t="str">
            <v>VAR_cap</v>
          </cell>
          <cell r="D227" t="str">
            <v>-</v>
          </cell>
          <cell r="E227">
            <v>4.8003417643937105E-2</v>
          </cell>
          <cell r="F227">
            <v>4.8453480635800954E-2</v>
          </cell>
          <cell r="G227">
            <v>4.8907665049442689E-2</v>
          </cell>
          <cell r="H227">
            <v>4.8599226449228983E-2</v>
          </cell>
        </row>
        <row r="228">
          <cell r="B228" t="str">
            <v>D-ELFO</v>
          </cell>
          <cell r="C228" t="str">
            <v>VAR_fout</v>
          </cell>
          <cell r="D228" t="str">
            <v>CO2</v>
          </cell>
          <cell r="E228">
            <v>44.153714761044498</v>
          </cell>
          <cell r="F228">
            <v>61.537609016576504</v>
          </cell>
          <cell r="G228">
            <v>18.111183183440499</v>
          </cell>
          <cell r="H228">
            <v>3.5747100357366399</v>
          </cell>
        </row>
        <row r="229">
          <cell r="B229" t="str">
            <v>D-ELFO</v>
          </cell>
          <cell r="C229" t="str">
            <v>VAR_fout</v>
          </cell>
          <cell r="D229" t="str">
            <v>ELFO</v>
          </cell>
          <cell r="E229">
            <v>0.58909492900947691</v>
          </cell>
          <cell r="F229">
            <v>0.82102929756244891</v>
          </cell>
          <cell r="G229">
            <v>0.24163779264026067</v>
          </cell>
          <cell r="H229">
            <v>4.7693462851956123E-2</v>
          </cell>
        </row>
        <row r="230">
          <cell r="B230" t="str">
            <v>D-ELFO</v>
          </cell>
          <cell r="C230" t="str">
            <v>VAR_fin</v>
          </cell>
          <cell r="D230" t="str">
            <v>LFO</v>
          </cell>
          <cell r="E230">
            <v>0.5991006073411731</v>
          </cell>
          <cell r="F230">
            <v>0.8349743421516489</v>
          </cell>
          <cell r="G230">
            <v>0.24574196992456529</v>
          </cell>
          <cell r="H230">
            <v>4.8503528300361504E-2</v>
          </cell>
        </row>
        <row r="231">
          <cell r="B231" t="str">
            <v>EHYD-DAM00</v>
          </cell>
          <cell r="C231" t="str">
            <v>VAR_fout</v>
          </cell>
          <cell r="D231" t="str">
            <v>ELC</v>
          </cell>
          <cell r="E231">
            <v>66.745681606063101</v>
          </cell>
          <cell r="F231">
            <v>49.273085268661468</v>
          </cell>
          <cell r="G231">
            <v>68.195064207808556</v>
          </cell>
          <cell r="H231">
            <v>70.15425552925457</v>
          </cell>
        </row>
        <row r="232">
          <cell r="B232" t="str">
            <v>EHYD-DAM00</v>
          </cell>
          <cell r="C232" t="str">
            <v>VAR_fin</v>
          </cell>
          <cell r="D232" t="str">
            <v>HYDD</v>
          </cell>
          <cell r="E232">
            <v>66.745681606063101</v>
          </cell>
          <cell r="F232">
            <v>49.273085268661468</v>
          </cell>
          <cell r="G232">
            <v>68.195064207808556</v>
          </cell>
          <cell r="H232">
            <v>70.15425552925457</v>
          </cell>
        </row>
        <row r="233">
          <cell r="B233" t="str">
            <v>EHYD-DAM00</v>
          </cell>
          <cell r="C233" t="str">
            <v>VAR_cap</v>
          </cell>
          <cell r="D233" t="str">
            <v>-</v>
          </cell>
          <cell r="E233">
            <v>7.3394300010600002</v>
          </cell>
          <cell r="F233">
            <v>7.3394300010600002</v>
          </cell>
          <cell r="G233">
            <v>7.3394300010600002</v>
          </cell>
          <cell r="H233">
            <v>7.3394300010600002</v>
          </cell>
        </row>
        <row r="234">
          <cell r="B234" t="str">
            <v>RHES-SHSTG-CHPWOD</v>
          </cell>
          <cell r="C234" t="str">
            <v>VAR_fout</v>
          </cell>
          <cell r="D234" t="str">
            <v>AUX_RES-CHPWOD_OUT</v>
          </cell>
          <cell r="E234">
            <v>3.9052744542684751E-3</v>
          </cell>
          <cell r="F234">
            <v>2.1303748724913166E-3</v>
          </cell>
          <cell r="G234">
            <v>1.1656152769324469E-3</v>
          </cell>
          <cell r="H234">
            <v>2.0736709930895942E-3</v>
          </cell>
        </row>
        <row r="235">
          <cell r="B235" t="str">
            <v>RHES-SHSTG-CHPWOD</v>
          </cell>
          <cell r="C235" t="str">
            <v>VAR_fout</v>
          </cell>
          <cell r="D235" t="str">
            <v>RHES_LTH_CHPWOD</v>
          </cell>
          <cell r="E235">
            <v>3.9052744542684668E-3</v>
          </cell>
          <cell r="F235">
            <v>2.131795122406307E-3</v>
          </cell>
          <cell r="G235">
            <v>1.1668294595125843E-3</v>
          </cell>
          <cell r="H235">
            <v>2.0736709930895942E-3</v>
          </cell>
        </row>
        <row r="236">
          <cell r="B236" t="str">
            <v>RHES-SHSTG-CHPWOD</v>
          </cell>
          <cell r="C236" t="str">
            <v>VAR_fin</v>
          </cell>
          <cell r="D236" t="str">
            <v>AUX_RES-CHPWOD_IN</v>
          </cell>
          <cell r="E236">
            <v>2.9725898890308948E-3</v>
          </cell>
          <cell r="F236">
            <v>1.5682750174439623E-3</v>
          </cell>
          <cell r="G236">
            <v>9.2529576943191263E-4</v>
          </cell>
          <cell r="H236">
            <v>1.6225512246446276E-3</v>
          </cell>
        </row>
        <row r="237">
          <cell r="B237" t="str">
            <v>RHES-SHSTG-CHPWOD</v>
          </cell>
          <cell r="C237" t="str">
            <v>VAR_fin</v>
          </cell>
          <cell r="D237" t="str">
            <v>RHES_LTH_CHPWOD</v>
          </cell>
          <cell r="E237">
            <v>2.9725898890308948E-3</v>
          </cell>
          <cell r="F237">
            <v>1.5682750174439623E-3</v>
          </cell>
          <cell r="G237">
            <v>9.2529576943191263E-4</v>
          </cell>
          <cell r="H237">
            <v>1.6225512246446276E-3</v>
          </cell>
        </row>
        <row r="238">
          <cell r="B238" t="str">
            <v>RHES-SHSTG-CHPWOD</v>
          </cell>
          <cell r="C238" t="str">
            <v>VAR_ncap</v>
          </cell>
          <cell r="D238" t="str">
            <v>-</v>
          </cell>
          <cell r="E238">
            <v>2.4389136446351999E-2</v>
          </cell>
          <cell r="F238">
            <v>6.0624792254750299E-4</v>
          </cell>
          <cell r="G238">
            <v>6.0537965095237801E-4</v>
          </cell>
          <cell r="H238">
            <v>3.9371297070117298E-4</v>
          </cell>
        </row>
        <row r="239">
          <cell r="B239" t="str">
            <v>RHES-SHSTG-CHPWOD</v>
          </cell>
          <cell r="C239" t="str">
            <v>VAR_cap</v>
          </cell>
          <cell r="D239" t="str">
            <v>-</v>
          </cell>
          <cell r="E239">
            <v>2.4389136446351999E-2</v>
          </cell>
          <cell r="F239">
            <v>2.4914079589585178E-2</v>
          </cell>
          <cell r="G239">
            <v>2.5257883697051155E-2</v>
          </cell>
          <cell r="H239">
            <v>2.5057044053762301E-2</v>
          </cell>
        </row>
        <row r="240">
          <cell r="B240" t="str">
            <v>ESOL-PV_A</v>
          </cell>
          <cell r="C240" t="str">
            <v>VAR_fout</v>
          </cell>
          <cell r="D240" t="str">
            <v>ELC35</v>
          </cell>
          <cell r="E240"/>
          <cell r="F240"/>
          <cell r="G240"/>
          <cell r="H240">
            <v>0.34130473341300771</v>
          </cell>
        </row>
        <row r="241">
          <cell r="B241" t="str">
            <v>ESOL-PV_A</v>
          </cell>
          <cell r="C241" t="str">
            <v>VAR_fin</v>
          </cell>
          <cell r="D241" t="str">
            <v>SOL</v>
          </cell>
          <cell r="E241"/>
          <cell r="F241"/>
          <cell r="G241"/>
          <cell r="H241">
            <v>0.34130473341300771</v>
          </cell>
        </row>
        <row r="242">
          <cell r="B242" t="str">
            <v>ESOL-PV_A</v>
          </cell>
          <cell r="C242" t="str">
            <v>VAR_fin</v>
          </cell>
          <cell r="D242" t="str">
            <v>SOLPVC</v>
          </cell>
          <cell r="E242"/>
          <cell r="F242"/>
          <cell r="G242"/>
          <cell r="H242">
            <v>0.34130473341300799</v>
          </cell>
        </row>
        <row r="243">
          <cell r="B243" t="str">
            <v>ESOL-PV_A</v>
          </cell>
          <cell r="C243" t="str">
            <v>VAR_ncap</v>
          </cell>
          <cell r="D243" t="str">
            <v>-</v>
          </cell>
          <cell r="E243"/>
          <cell r="F243"/>
          <cell r="G243">
            <v>4.0881154114224397E-5</v>
          </cell>
          <cell r="H243">
            <v>0.196515539351971</v>
          </cell>
        </row>
        <row r="244">
          <cell r="B244" t="str">
            <v>ESOL-PV_A</v>
          </cell>
          <cell r="C244" t="str">
            <v>VAR_cap</v>
          </cell>
          <cell r="D244" t="str">
            <v>-</v>
          </cell>
          <cell r="E244"/>
          <cell r="F244"/>
          <cell r="G244"/>
          <cell r="H244">
            <v>5.2754227969384899E-2</v>
          </cell>
        </row>
        <row r="245">
          <cell r="B245" t="str">
            <v>G-INTC-IND</v>
          </cell>
          <cell r="C245" t="str">
            <v>VAR_fout</v>
          </cell>
          <cell r="D245" t="str">
            <v>ELC35</v>
          </cell>
          <cell r="E245">
            <v>7.6873314525937694E-2</v>
          </cell>
          <cell r="F245">
            <v>3.6932554169476897E-2</v>
          </cell>
          <cell r="G245">
            <v>4.2002999552408209E-2</v>
          </cell>
          <cell r="H245">
            <v>2.1228708460275789E-2</v>
          </cell>
        </row>
        <row r="246">
          <cell r="B246" t="str">
            <v>G-INTC-IND</v>
          </cell>
          <cell r="C246" t="str">
            <v>VAR_fout</v>
          </cell>
          <cell r="D246" t="str">
            <v>ITOT_ELC</v>
          </cell>
          <cell r="E246">
            <v>55.998559975576455</v>
          </cell>
          <cell r="F246">
            <v>56.566981935709201</v>
          </cell>
          <cell r="G246">
            <v>53.602867861469321</v>
          </cell>
          <cell r="H246">
            <v>53.317327173635171</v>
          </cell>
        </row>
        <row r="247">
          <cell r="B247" t="str">
            <v>G-INTC-IND</v>
          </cell>
          <cell r="C247" t="str">
            <v>VAR_fout</v>
          </cell>
          <cell r="D247" t="str">
            <v>ELC13</v>
          </cell>
          <cell r="E247">
            <v>6.8874049689484448E-2</v>
          </cell>
          <cell r="F247">
            <v>2.4505776132958318E-2</v>
          </cell>
          <cell r="G247">
            <v>3.0212718511762885E-2</v>
          </cell>
          <cell r="H247">
            <v>1.8268198869091892E-2</v>
          </cell>
        </row>
        <row r="248">
          <cell r="B248" t="str">
            <v>G-INTC-IND</v>
          </cell>
          <cell r="C248" t="str">
            <v>VAR_fin</v>
          </cell>
          <cell r="D248" t="str">
            <v>ELC3</v>
          </cell>
          <cell r="E248">
            <v>25.899641467826068</v>
          </cell>
          <cell r="F248">
            <v>56.546035131294865</v>
          </cell>
          <cell r="G248">
            <v>53.584854389274447</v>
          </cell>
          <cell r="H248">
            <v>24.445740956437682</v>
          </cell>
        </row>
        <row r="249">
          <cell r="B249" t="str">
            <v>G-INTC-IND</v>
          </cell>
          <cell r="C249" t="str">
            <v>VAR_fin</v>
          </cell>
          <cell r="D249" t="str">
            <v>ELC5</v>
          </cell>
          <cell r="E249">
            <v>30.24448698759214</v>
          </cell>
          <cell r="F249">
            <v>8.2212750339880528E-2</v>
          </cell>
          <cell r="G249">
            <v>9.0001998022665508E-2</v>
          </cell>
          <cell r="H249">
            <v>28.910848733521593</v>
          </cell>
        </row>
        <row r="250">
          <cell r="B250" t="str">
            <v>G-INTC-IND</v>
          </cell>
          <cell r="C250" t="str">
            <v>VAR_ncap</v>
          </cell>
          <cell r="D250" t="str">
            <v>-</v>
          </cell>
          <cell r="E250">
            <v>4.8869125505181899E-5</v>
          </cell>
          <cell r="F250">
            <v>8.4979828002749102E-5</v>
          </cell>
          <cell r="G250">
            <v>2.8898308319408599E-5</v>
          </cell>
          <cell r="H250">
            <v>7.1136688041972495E-5</v>
          </cell>
        </row>
        <row r="251">
          <cell r="B251" t="str">
            <v>G-INTC-IND</v>
          </cell>
          <cell r="C251" t="str">
            <v>VAR_cap</v>
          </cell>
          <cell r="D251" t="str">
            <v>-</v>
          </cell>
          <cell r="E251">
            <v>4.4927373631622096</v>
          </cell>
          <cell r="F251">
            <v>4.492753252331136</v>
          </cell>
          <cell r="G251">
            <v>4.4928712121157179</v>
          </cell>
          <cell r="H251">
            <v>4.4929392490715694</v>
          </cell>
        </row>
        <row r="252">
          <cell r="B252" t="str">
            <v>D-IH2R</v>
          </cell>
          <cell r="C252" t="str">
            <v>VAR_fout</v>
          </cell>
          <cell r="D252" t="str">
            <v>IH2</v>
          </cell>
          <cell r="E252"/>
          <cell r="F252"/>
          <cell r="G252"/>
          <cell r="H252"/>
        </row>
        <row r="253">
          <cell r="B253" t="str">
            <v>D-IH2R</v>
          </cell>
          <cell r="C253" t="str">
            <v>VAR_fin</v>
          </cell>
          <cell r="D253" t="str">
            <v>H2</v>
          </cell>
          <cell r="E253"/>
          <cell r="F253"/>
          <cell r="G253"/>
          <cell r="H253"/>
        </row>
        <row r="254">
          <cell r="B254" t="str">
            <v>D-IH2R</v>
          </cell>
          <cell r="C254" t="str">
            <v>VAR_ncap</v>
          </cell>
          <cell r="D254" t="str">
            <v>-</v>
          </cell>
          <cell r="E254"/>
          <cell r="F254"/>
          <cell r="G254"/>
          <cell r="H254">
            <v>1.03931012522124E-5</v>
          </cell>
        </row>
        <row r="255">
          <cell r="B255" t="str">
            <v>D-IH2R</v>
          </cell>
          <cell r="C255" t="str">
            <v>VAR_cap</v>
          </cell>
          <cell r="D255" t="str">
            <v>-</v>
          </cell>
          <cell r="E255"/>
          <cell r="F255"/>
          <cell r="G255"/>
          <cell r="H255">
            <v>1.03931012522124E-5</v>
          </cell>
        </row>
        <row r="256">
          <cell r="B256" t="str">
            <v>ESOL-PV_E</v>
          </cell>
          <cell r="C256" t="str">
            <v>VAR_fout</v>
          </cell>
          <cell r="D256" t="str">
            <v>CELC_E</v>
          </cell>
          <cell r="E256"/>
          <cell r="F256"/>
          <cell r="G256"/>
          <cell r="H256">
            <v>1.7978556816269057E-4</v>
          </cell>
        </row>
        <row r="257">
          <cell r="B257" t="str">
            <v>ESOL-PV_E</v>
          </cell>
          <cell r="C257" t="str">
            <v>VAR_fin</v>
          </cell>
          <cell r="D257" t="str">
            <v>SOL</v>
          </cell>
          <cell r="E257"/>
          <cell r="F257"/>
          <cell r="G257"/>
          <cell r="H257">
            <v>1.7978556816269057E-4</v>
          </cell>
        </row>
        <row r="258">
          <cell r="B258" t="str">
            <v>ESOL-PV_E</v>
          </cell>
          <cell r="C258" t="str">
            <v>VAR_fin</v>
          </cell>
          <cell r="D258" t="str">
            <v>SOLPVC</v>
          </cell>
          <cell r="E258"/>
          <cell r="F258"/>
          <cell r="G258"/>
          <cell r="H258">
            <v>1.7978556816269001E-4</v>
          </cell>
        </row>
        <row r="259">
          <cell r="B259" t="str">
            <v>ESOL-PV_E</v>
          </cell>
          <cell r="C259" t="str">
            <v>VAR_ncap</v>
          </cell>
          <cell r="D259" t="str">
            <v>-</v>
          </cell>
          <cell r="E259"/>
          <cell r="F259"/>
          <cell r="G259"/>
          <cell r="H259">
            <v>5.1833855917472101E-5</v>
          </cell>
        </row>
        <row r="260">
          <cell r="B260" t="str">
            <v>ESOL-PV_E</v>
          </cell>
          <cell r="C260" t="str">
            <v>VAR_cap</v>
          </cell>
          <cell r="D260" t="str">
            <v>-</v>
          </cell>
          <cell r="E260"/>
          <cell r="F260"/>
          <cell r="G260"/>
          <cell r="H260">
            <v>5.1833855917472101E-5</v>
          </cell>
        </row>
        <row r="261">
          <cell r="B261" t="str">
            <v>EWSTINC</v>
          </cell>
          <cell r="C261" t="str">
            <v>VAR_fout</v>
          </cell>
          <cell r="D261" t="str">
            <v>ELC35</v>
          </cell>
          <cell r="E261">
            <v>6.507014407313485</v>
          </cell>
          <cell r="F261">
            <v>7.3098093015021393</v>
          </cell>
          <cell r="G261">
            <v>8.3571361255006948</v>
          </cell>
          <cell r="H261">
            <v>7.7711274439721532</v>
          </cell>
        </row>
        <row r="262">
          <cell r="B262" t="str">
            <v>EWSTINC</v>
          </cell>
          <cell r="C262" t="str">
            <v>VAR_fout</v>
          </cell>
          <cell r="D262" t="str">
            <v>CO2_E</v>
          </cell>
          <cell r="E262">
            <v>1689.2969367266601</v>
          </cell>
          <cell r="F262">
            <v>1897.7118672435599</v>
          </cell>
          <cell r="G262">
            <v>2169.6101426713599</v>
          </cell>
          <cell r="H262">
            <v>2017.4754448460801</v>
          </cell>
        </row>
        <row r="263">
          <cell r="B263" t="str">
            <v>EWSTINC</v>
          </cell>
          <cell r="C263" t="str">
            <v>VAR_fin</v>
          </cell>
          <cell r="D263" t="str">
            <v>EWST</v>
          </cell>
          <cell r="E263">
            <v>18.203630783692468</v>
          </cell>
          <cell r="F263">
            <v>20.449481328055573</v>
          </cell>
          <cell r="G263">
            <v>23.37941964085519</v>
          </cell>
          <cell r="H263">
            <v>21.740037121186226</v>
          </cell>
        </row>
        <row r="264">
          <cell r="B264" t="str">
            <v>EWSTINC</v>
          </cell>
          <cell r="C264" t="str">
            <v>VAR_ncap</v>
          </cell>
          <cell r="D264" t="str">
            <v>-</v>
          </cell>
          <cell r="E264"/>
          <cell r="F264">
            <v>6.2944844115577101E-6</v>
          </cell>
          <cell r="G264">
            <v>3.3303223640693103E-2</v>
          </cell>
          <cell r="H264">
            <v>4.7093043683537297E-2</v>
          </cell>
        </row>
        <row r="265">
          <cell r="B265" t="str">
            <v>EWSTINC</v>
          </cell>
          <cell r="C265" t="str">
            <v>VAR_cap</v>
          </cell>
          <cell r="D265" t="str">
            <v>-</v>
          </cell>
          <cell r="E265">
            <v>0.27864794579481322</v>
          </cell>
          <cell r="F265">
            <v>0.27853140953903349</v>
          </cell>
          <cell r="G265">
            <v>0.3117939057380455</v>
          </cell>
          <cell r="H265">
            <v>0.28992250172190026</v>
          </cell>
        </row>
        <row r="266">
          <cell r="B266" t="str">
            <v>D-IBIO</v>
          </cell>
          <cell r="C266" t="str">
            <v>VAR_fout</v>
          </cell>
          <cell r="D266" t="str">
            <v>IBIO</v>
          </cell>
          <cell r="E266">
            <v>0.43687091603376721</v>
          </cell>
          <cell r="F266">
            <v>0.55213811081003705</v>
          </cell>
          <cell r="G266">
            <v>1.6042881164276321</v>
          </cell>
          <cell r="H266">
            <v>3.1475976994673842</v>
          </cell>
        </row>
        <row r="267">
          <cell r="B267" t="str">
            <v>D-IBIO</v>
          </cell>
          <cell r="C267" t="str">
            <v>VAR_fin</v>
          </cell>
          <cell r="D267" t="str">
            <v>BIO</v>
          </cell>
          <cell r="E267">
            <v>0.43687091603376721</v>
          </cell>
          <cell r="F267">
            <v>0.55213811081003705</v>
          </cell>
          <cell r="G267">
            <v>1.6042881164276321</v>
          </cell>
          <cell r="H267">
            <v>3.1475976994673842</v>
          </cell>
        </row>
        <row r="268">
          <cell r="B268" t="str">
            <v>D-EWOD</v>
          </cell>
          <cell r="C268" t="str">
            <v>VAR_fout</v>
          </cell>
          <cell r="D268" t="str">
            <v>EWOD</v>
          </cell>
          <cell r="E268">
            <v>3.5170121683551265</v>
          </cell>
          <cell r="F268">
            <v>3.1940388727420679</v>
          </cell>
          <cell r="G268">
            <v>2.7543344325409973</v>
          </cell>
          <cell r="H268">
            <v>2.6599118677478026</v>
          </cell>
        </row>
        <row r="269">
          <cell r="B269" t="str">
            <v>D-EWOD</v>
          </cell>
          <cell r="C269" t="str">
            <v>VAR_fin</v>
          </cell>
          <cell r="D269" t="str">
            <v>WOD</v>
          </cell>
          <cell r="E269">
            <v>3.5170121683551265</v>
          </cell>
          <cell r="F269">
            <v>3.1940388727420679</v>
          </cell>
          <cell r="G269">
            <v>2.7543344325409973</v>
          </cell>
          <cell r="H269">
            <v>2.6599118677478026</v>
          </cell>
        </row>
        <row r="270">
          <cell r="B270" t="str">
            <v>HPLWOD</v>
          </cell>
          <cell r="C270" t="str">
            <v>VAR_fout</v>
          </cell>
          <cell r="D270" t="str">
            <v>LTH</v>
          </cell>
          <cell r="E270">
            <v>2.4517557807960362</v>
          </cell>
          <cell r="F270">
            <v>2.2126698813532819</v>
          </cell>
          <cell r="G270">
            <v>1.8971086139180009</v>
          </cell>
          <cell r="H270">
            <v>1.71362856189693</v>
          </cell>
        </row>
        <row r="271">
          <cell r="B271" t="str">
            <v>HPLWOD</v>
          </cell>
          <cell r="C271" t="str">
            <v>VAR_fin</v>
          </cell>
          <cell r="D271" t="str">
            <v>EWOD</v>
          </cell>
          <cell r="E271">
            <v>3.5025082582800544</v>
          </cell>
          <cell r="F271">
            <v>3.1609569733618343</v>
          </cell>
          <cell r="G271">
            <v>2.7101551627400027</v>
          </cell>
          <cell r="H271">
            <v>2.4480408027098997</v>
          </cell>
        </row>
        <row r="272">
          <cell r="B272" t="str">
            <v>HPLWOD</v>
          </cell>
          <cell r="C272" t="str">
            <v>VAR_ncap</v>
          </cell>
          <cell r="D272" t="str">
            <v>-</v>
          </cell>
          <cell r="E272">
            <v>0.31188034914670398</v>
          </cell>
          <cell r="F272">
            <v>3.24113428251256E-5</v>
          </cell>
          <cell r="G272">
            <v>3.2758381207538403E-5</v>
          </cell>
          <cell r="H272">
            <v>5.4685075001337398E-5</v>
          </cell>
        </row>
        <row r="273">
          <cell r="B273" t="str">
            <v>HPLWOD</v>
          </cell>
          <cell r="C273" t="str">
            <v>VAR_cap</v>
          </cell>
          <cell r="D273" t="str">
            <v>-</v>
          </cell>
          <cell r="E273">
            <v>0.31188034914670398</v>
          </cell>
          <cell r="F273">
            <v>0.31191276048952898</v>
          </cell>
          <cell r="G273">
            <v>0.31194551887073702</v>
          </cell>
          <cell r="H273">
            <v>0.31200020394573802</v>
          </cell>
        </row>
        <row r="274">
          <cell r="B274" t="str">
            <v>ENGA-GTCC</v>
          </cell>
          <cell r="C274" t="str">
            <v>VAR_fout</v>
          </cell>
          <cell r="D274" t="str">
            <v>ELC13</v>
          </cell>
          <cell r="E274"/>
          <cell r="F274"/>
          <cell r="G274"/>
          <cell r="H274"/>
        </row>
        <row r="275">
          <cell r="B275" t="str">
            <v>ENGA-GTCC</v>
          </cell>
          <cell r="C275" t="str">
            <v>VAR_fout</v>
          </cell>
          <cell r="D275" t="str">
            <v>CO2_E</v>
          </cell>
          <cell r="E275"/>
          <cell r="F275"/>
          <cell r="G275"/>
          <cell r="H275"/>
        </row>
        <row r="276">
          <cell r="B276" t="str">
            <v>ENGA-GTCC</v>
          </cell>
          <cell r="C276" t="str">
            <v>VAR_fin</v>
          </cell>
          <cell r="D276" t="str">
            <v>ENGA</v>
          </cell>
          <cell r="E276"/>
          <cell r="F276"/>
          <cell r="G276"/>
          <cell r="H276"/>
        </row>
        <row r="277">
          <cell r="B277" t="str">
            <v>ENGA-GTCC</v>
          </cell>
          <cell r="C277" t="str">
            <v>VAR_fin</v>
          </cell>
          <cell r="D277" t="str">
            <v>GTC</v>
          </cell>
          <cell r="E277"/>
          <cell r="F277"/>
          <cell r="G277"/>
          <cell r="H277"/>
        </row>
        <row r="278">
          <cell r="B278" t="str">
            <v>ENGA-GTCC</v>
          </cell>
          <cell r="C278" t="str">
            <v>VAR_ncap</v>
          </cell>
          <cell r="D278" t="str">
            <v>-</v>
          </cell>
          <cell r="E278"/>
          <cell r="F278"/>
          <cell r="G278"/>
          <cell r="H278"/>
        </row>
        <row r="279">
          <cell r="B279" t="str">
            <v>ENGA-GTCC</v>
          </cell>
          <cell r="C279" t="str">
            <v>VAR_cap</v>
          </cell>
          <cell r="D279" t="str">
            <v>-</v>
          </cell>
          <cell r="E279"/>
          <cell r="F279"/>
          <cell r="G279"/>
          <cell r="H279"/>
        </row>
        <row r="280">
          <cell r="B280" t="str">
            <v>D-SNGA</v>
          </cell>
          <cell r="C280" t="str">
            <v>VAR_fout</v>
          </cell>
          <cell r="D280" t="str">
            <v>CO2</v>
          </cell>
          <cell r="E280">
            <v>1537.95890866073</v>
          </cell>
          <cell r="F280">
            <v>1510.5078021797899</v>
          </cell>
          <cell r="G280">
            <v>1402.0948018409699</v>
          </cell>
          <cell r="H280">
            <v>1097.7432635274099</v>
          </cell>
        </row>
        <row r="281">
          <cell r="B281" t="str">
            <v>D-SNGA</v>
          </cell>
          <cell r="C281" t="str">
            <v>VAR_fout</v>
          </cell>
          <cell r="D281" t="str">
            <v>SNGA</v>
          </cell>
          <cell r="E281">
            <v>27.481314450275502</v>
          </cell>
          <cell r="F281">
            <v>28.488462048411687</v>
          </cell>
          <cell r="G281">
            <v>25.513533100884118</v>
          </cell>
          <cell r="H281">
            <v>20.120063683144217</v>
          </cell>
        </row>
        <row r="282">
          <cell r="B282" t="str">
            <v>D-SNGA</v>
          </cell>
          <cell r="C282" t="str">
            <v>VAR_fout</v>
          </cell>
          <cell r="D282" t="str">
            <v>RSH2</v>
          </cell>
          <cell r="E282"/>
          <cell r="F282"/>
          <cell r="G282"/>
          <cell r="H282">
            <v>3.5615311531140288E-2</v>
          </cell>
        </row>
        <row r="283">
          <cell r="B283" t="str">
            <v>D-SNGA</v>
          </cell>
          <cell r="C283" t="str">
            <v>VAR_fin</v>
          </cell>
          <cell r="D283" t="str">
            <v>NGA</v>
          </cell>
          <cell r="E283">
            <v>27.26877497625409</v>
          </cell>
          <cell r="F283">
            <v>26.782053230138036</v>
          </cell>
          <cell r="G283">
            <v>24.85983691207387</v>
          </cell>
          <cell r="H283">
            <v>19.46353304126616</v>
          </cell>
        </row>
        <row r="284">
          <cell r="B284" t="str">
            <v>D-SNGA</v>
          </cell>
          <cell r="C284" t="str">
            <v>VAR_fin</v>
          </cell>
          <cell r="D284" t="str">
            <v>BNGA</v>
          </cell>
          <cell r="E284">
            <v>0.30033181946995979</v>
          </cell>
          <cell r="F284">
            <v>1.7974186171672832</v>
          </cell>
          <cell r="G284">
            <v>0.73520222141499658</v>
          </cell>
          <cell r="H284">
            <v>0.72140289686061543</v>
          </cell>
        </row>
        <row r="285">
          <cell r="B285" t="str">
            <v>D-SNGA</v>
          </cell>
          <cell r="C285" t="str">
            <v>VAR_fin</v>
          </cell>
          <cell r="D285" t="str">
            <v>H2</v>
          </cell>
          <cell r="E285"/>
          <cell r="F285"/>
          <cell r="G285"/>
          <cell r="H285">
            <v>3.5588837948649373E-2</v>
          </cell>
        </row>
        <row r="286">
          <cell r="B286" t="str">
            <v>D-SNGA</v>
          </cell>
          <cell r="C286" t="str">
            <v>VAR_ncap</v>
          </cell>
          <cell r="D286" t="str">
            <v>-</v>
          </cell>
          <cell r="E286">
            <v>2.2482027123936501E-4</v>
          </cell>
          <cell r="F286">
            <v>4.6381222786838498E-6</v>
          </cell>
          <cell r="G286">
            <v>7.6925504290318894E-6</v>
          </cell>
          <cell r="H286">
            <v>1.06650827800905E-5</v>
          </cell>
        </row>
        <row r="287">
          <cell r="B287" t="str">
            <v>D-SNGA</v>
          </cell>
          <cell r="C287" t="str">
            <v>VAR_cap</v>
          </cell>
          <cell r="D287" t="str">
            <v>-</v>
          </cell>
          <cell r="E287">
            <v>2.2352770218963793</v>
          </cell>
          <cell r="F287">
            <v>2.235281660018658</v>
          </cell>
          <cell r="G287">
            <v>2.2352893525690871</v>
          </cell>
          <cell r="H287">
            <v>2.2353000176518671</v>
          </cell>
        </row>
        <row r="288">
          <cell r="B288" t="str">
            <v>RHES-CHPWOD</v>
          </cell>
          <cell r="C288" t="str">
            <v>VAR_ncap</v>
          </cell>
          <cell r="D288" t="str">
            <v>-</v>
          </cell>
          <cell r="E288"/>
          <cell r="F288"/>
          <cell r="G288"/>
          <cell r="H288">
            <v>5.54558305762179E-5</v>
          </cell>
        </row>
        <row r="289">
          <cell r="B289" t="str">
            <v>RHES-CHPWOD</v>
          </cell>
          <cell r="C289" t="str">
            <v>VAR_cap</v>
          </cell>
          <cell r="D289" t="str">
            <v>-</v>
          </cell>
          <cell r="E289"/>
          <cell r="F289"/>
          <cell r="G289"/>
          <cell r="H289">
            <v>5.54558305762179E-5</v>
          </cell>
        </row>
        <row r="290">
          <cell r="B290" t="str">
            <v>G-INTC-RES</v>
          </cell>
          <cell r="C290" t="str">
            <v>VAR_fout</v>
          </cell>
          <cell r="D290" t="str">
            <v>RHNS_ELC</v>
          </cell>
          <cell r="E290">
            <v>12.052389129778559</v>
          </cell>
          <cell r="F290">
            <v>14.631568261966759</v>
          </cell>
          <cell r="G290">
            <v>14.64358345993208</v>
          </cell>
          <cell r="H290">
            <v>11.207905954708243</v>
          </cell>
        </row>
        <row r="291">
          <cell r="B291" t="str">
            <v>G-INTC-RES</v>
          </cell>
          <cell r="C291" t="str">
            <v>VAR_fout</v>
          </cell>
          <cell r="D291" t="str">
            <v>ELC35</v>
          </cell>
          <cell r="E291">
            <v>7.3755911754005796E-2</v>
          </cell>
          <cell r="F291">
            <v>2.3714360915231741E-2</v>
          </cell>
          <cell r="G291">
            <v>2.7195926963509788E-2</v>
          </cell>
          <cell r="H291">
            <v>1.7364805769466602E-2</v>
          </cell>
        </row>
        <row r="292">
          <cell r="B292" t="str">
            <v>G-INTC-RES</v>
          </cell>
          <cell r="C292" t="str">
            <v>VAR_fout</v>
          </cell>
          <cell r="D292" t="str">
            <v>RHES_ELC</v>
          </cell>
          <cell r="E292">
            <v>21.065778023308404</v>
          </cell>
          <cell r="F292">
            <v>17.832146115051213</v>
          </cell>
          <cell r="G292">
            <v>17.606830258713355</v>
          </cell>
          <cell r="H292">
            <v>15.703468653764704</v>
          </cell>
        </row>
        <row r="293">
          <cell r="B293" t="str">
            <v>G-INTC-RES</v>
          </cell>
          <cell r="C293" t="str">
            <v>VAR_fout</v>
          </cell>
          <cell r="D293" t="str">
            <v>RHNM_ELC</v>
          </cell>
          <cell r="E293">
            <v>11.294539401647182</v>
          </cell>
          <cell r="F293">
            <v>14.65516278579069</v>
          </cell>
          <cell r="G293">
            <v>14.31838068419532</v>
          </cell>
          <cell r="H293">
            <v>12.273183354708921</v>
          </cell>
        </row>
        <row r="294">
          <cell r="B294" t="str">
            <v>G-INTC-RES</v>
          </cell>
          <cell r="C294" t="str">
            <v>VAR_fout</v>
          </cell>
          <cell r="D294" t="str">
            <v>RHEM_ELC</v>
          </cell>
          <cell r="E294">
            <v>22.200116590612769</v>
          </cell>
          <cell r="F294">
            <v>18.275830761425805</v>
          </cell>
          <cell r="G294">
            <v>15.821319117380055</v>
          </cell>
          <cell r="H294">
            <v>14.463096000002631</v>
          </cell>
        </row>
        <row r="295">
          <cell r="B295" t="str">
            <v>G-INTC-RES</v>
          </cell>
          <cell r="C295" t="str">
            <v>VAR_fin</v>
          </cell>
          <cell r="D295" t="str">
            <v>ELC5</v>
          </cell>
          <cell r="E295">
            <v>66.685761812195778</v>
          </cell>
          <cell r="F295">
            <v>65.418422285149688</v>
          </cell>
          <cell r="G295">
            <v>62.417309447184294</v>
          </cell>
          <cell r="H295">
            <v>53.664574321303903</v>
          </cell>
        </row>
        <row r="296">
          <cell r="B296" t="str">
            <v>G-INTC-RES</v>
          </cell>
          <cell r="C296" t="str">
            <v>VAR_ncap</v>
          </cell>
          <cell r="D296" t="str">
            <v>-</v>
          </cell>
          <cell r="E296">
            <v>2.1652859938815599E-6</v>
          </cell>
          <cell r="F296">
            <v>2.27026822670973E-6</v>
          </cell>
          <cell r="G296">
            <v>2.60337773771722E-6</v>
          </cell>
          <cell r="H296">
            <v>6.6203603206118198E-6</v>
          </cell>
        </row>
        <row r="297">
          <cell r="B297" t="str">
            <v>G-INTC-RES</v>
          </cell>
          <cell r="C297" t="str">
            <v>VAR_cap</v>
          </cell>
          <cell r="D297" t="str">
            <v>-</v>
          </cell>
          <cell r="E297">
            <v>4.3300925142827298</v>
          </cell>
          <cell r="F297">
            <v>4.3300932182976792</v>
          </cell>
          <cell r="G297">
            <v>4.3300969498369506</v>
          </cell>
          <cell r="H297">
            <v>4.3301031956663714</v>
          </cell>
        </row>
        <row r="298">
          <cell r="B298" t="str">
            <v>SCOM-CHPNGA</v>
          </cell>
          <cell r="C298" t="str">
            <v>VAR_fout</v>
          </cell>
          <cell r="D298" t="str">
            <v>CO2_S</v>
          </cell>
          <cell r="E298">
            <v>108.99525853243</v>
          </cell>
          <cell r="F298">
            <v>98.260247082389498</v>
          </cell>
          <cell r="G298">
            <v>87.055432645654093</v>
          </cell>
          <cell r="H298"/>
        </row>
        <row r="299">
          <cell r="B299" t="str">
            <v>SCOM-CHPNGA</v>
          </cell>
          <cell r="C299" t="str">
            <v>VAR_fout</v>
          </cell>
          <cell r="D299" t="str">
            <v>SCOM_NKEV_GAS_ELC_CHP</v>
          </cell>
          <cell r="E299">
            <v>0.59464229570300875</v>
          </cell>
          <cell r="F299">
            <v>0.62664260984377185</v>
          </cell>
          <cell r="G299">
            <v>0.53747126247534416</v>
          </cell>
          <cell r="H299"/>
        </row>
        <row r="300">
          <cell r="B300" t="str">
            <v>SCOM-CHPNGA</v>
          </cell>
          <cell r="C300" t="str">
            <v>VAR_fout</v>
          </cell>
          <cell r="D300" t="str">
            <v>SCOM_LTH_CHPNGA</v>
          </cell>
          <cell r="E300">
            <v>0.69286105154594424</v>
          </cell>
          <cell r="F300">
            <v>0.75112864504069488</v>
          </cell>
          <cell r="G300">
            <v>0.67123691079052017</v>
          </cell>
          <cell r="H300"/>
        </row>
        <row r="301">
          <cell r="B301" t="str">
            <v>SCOM-CHPNGA</v>
          </cell>
          <cell r="C301" t="str">
            <v>VAR_fin</v>
          </cell>
          <cell r="D301" t="str">
            <v>SNGA</v>
          </cell>
          <cell r="E301">
            <v>1.9325400449012506</v>
          </cell>
          <cell r="F301">
            <v>1.7422029624537152</v>
          </cell>
          <cell r="G301">
            <v>1.5435360398165627</v>
          </cell>
          <cell r="H301"/>
        </row>
        <row r="302">
          <cell r="B302" t="str">
            <v>SCOM-CHPNGA</v>
          </cell>
          <cell r="C302" t="str">
            <v>VAR_ncap</v>
          </cell>
          <cell r="D302" t="str">
            <v>-</v>
          </cell>
          <cell r="E302"/>
          <cell r="F302">
            <v>2.7374575293055599E-2</v>
          </cell>
          <cell r="G302"/>
          <cell r="H302"/>
        </row>
        <row r="303">
          <cell r="B303" t="str">
            <v>SCOM-CHPNGA</v>
          </cell>
          <cell r="C303" t="str">
            <v>VAR_cap</v>
          </cell>
          <cell r="D303" t="str">
            <v>-</v>
          </cell>
          <cell r="E303">
            <v>6.5195402228535926E-2</v>
          </cell>
          <cell r="F303">
            <v>4.8067676275953139E-2</v>
          </cell>
          <cell r="G303">
            <v>3.3877160342709309E-2</v>
          </cell>
          <cell r="H303">
            <v>4.2992398153878994E-3</v>
          </cell>
        </row>
        <row r="304">
          <cell r="B304" t="str">
            <v>D-IPLT</v>
          </cell>
          <cell r="C304" t="str">
            <v>VAR_fout</v>
          </cell>
          <cell r="D304" t="str">
            <v>IPLT</v>
          </cell>
          <cell r="E304">
            <v>0.62589701661237407</v>
          </cell>
          <cell r="F304">
            <v>0.73762225764574341</v>
          </cell>
          <cell r="G304">
            <v>0.77787246306873914</v>
          </cell>
          <cell r="H304">
            <v>0.80006448650634476</v>
          </cell>
        </row>
        <row r="305">
          <cell r="B305" t="str">
            <v>D-IPLT</v>
          </cell>
          <cell r="C305" t="str">
            <v>VAR_fin</v>
          </cell>
          <cell r="D305" t="str">
            <v>PLT</v>
          </cell>
          <cell r="E305">
            <v>0.62589701661237407</v>
          </cell>
          <cell r="F305">
            <v>0.73762225764574341</v>
          </cell>
          <cell r="G305">
            <v>0.77787246306873914</v>
          </cell>
          <cell r="H305">
            <v>0.80006448650634476</v>
          </cell>
        </row>
        <row r="306">
          <cell r="B306" t="str">
            <v>LTH-STG</v>
          </cell>
          <cell r="C306" t="str">
            <v>VAR_fout</v>
          </cell>
          <cell r="D306" t="str">
            <v>AUX_LTH-STG_OUT</v>
          </cell>
          <cell r="E306">
            <v>2.3830718402821437E-4</v>
          </cell>
          <cell r="F306">
            <v>1.1917525492749265E-2</v>
          </cell>
          <cell r="G306">
            <v>8.1968048340712779E-2</v>
          </cell>
          <cell r="H306">
            <v>2.3177125249635749E-2</v>
          </cell>
        </row>
        <row r="307">
          <cell r="B307" t="str">
            <v>LTH-STG</v>
          </cell>
          <cell r="C307" t="str">
            <v>VAR_fout</v>
          </cell>
          <cell r="D307" t="str">
            <v>LTH</v>
          </cell>
          <cell r="E307">
            <v>2.3830718402821378E-4</v>
          </cell>
          <cell r="F307">
            <v>1.1925470509744416E-2</v>
          </cell>
          <cell r="G307">
            <v>8.2053431724400924E-2</v>
          </cell>
          <cell r="H307">
            <v>2.3177125249635749E-2</v>
          </cell>
        </row>
        <row r="308">
          <cell r="B308" t="str">
            <v>LTH-STG</v>
          </cell>
          <cell r="C308" t="str">
            <v>VAR_fin</v>
          </cell>
          <cell r="D308" t="str">
            <v>AUX_LTH-STG_IN</v>
          </cell>
          <cell r="E308">
            <v>3.5265607920999747E-4</v>
          </cell>
          <cell r="F308">
            <v>1.5695409032595916E-2</v>
          </cell>
          <cell r="G308">
            <v>0.10582882327974465</v>
          </cell>
          <cell r="H308">
            <v>2.8988891257328103E-2</v>
          </cell>
        </row>
        <row r="309">
          <cell r="B309" t="str">
            <v>LTH-STG</v>
          </cell>
          <cell r="C309" t="str">
            <v>VAR_fin</v>
          </cell>
          <cell r="D309" t="str">
            <v>LTH</v>
          </cell>
          <cell r="E309">
            <v>3.5265607920999747E-4</v>
          </cell>
          <cell r="F309">
            <v>1.5695409032595916E-2</v>
          </cell>
          <cell r="G309">
            <v>0.10582882327974465</v>
          </cell>
          <cell r="H309">
            <v>2.8988891257328103E-2</v>
          </cell>
        </row>
        <row r="310">
          <cell r="B310" t="str">
            <v>LTH-STG</v>
          </cell>
          <cell r="C310" t="str">
            <v>VAR_ncap</v>
          </cell>
          <cell r="D310" t="str">
            <v>-</v>
          </cell>
          <cell r="E310">
            <v>5.2318430783892004E-3</v>
          </cell>
          <cell r="F310">
            <v>9.1020212794054695E-5</v>
          </cell>
          <cell r="G310">
            <v>5.5659159761118502E-5</v>
          </cell>
          <cell r="H310">
            <v>3.2423550911561898E-5</v>
          </cell>
        </row>
        <row r="311">
          <cell r="B311" t="str">
            <v>LTH-STG</v>
          </cell>
          <cell r="C311" t="str">
            <v>VAR_cap</v>
          </cell>
          <cell r="D311" t="str">
            <v>-</v>
          </cell>
          <cell r="E311">
            <v>5.3893737521377204E-3</v>
          </cell>
          <cell r="F311">
            <v>5.4609808308655724E-3</v>
          </cell>
          <cell r="G311">
            <v>5.4822867210919234E-3</v>
          </cell>
          <cell r="H311">
            <v>4.8459347654554574E-3</v>
          </cell>
        </row>
        <row r="312">
          <cell r="B312" t="str">
            <v>ITOT-CHPOIL</v>
          </cell>
          <cell r="C312" t="str">
            <v>VAR_fout</v>
          </cell>
          <cell r="D312" t="str">
            <v>ITOT_LTH_CHP</v>
          </cell>
          <cell r="E312">
            <v>0.9300285020017458</v>
          </cell>
          <cell r="F312">
            <v>2.0129949751913112</v>
          </cell>
          <cell r="G312">
            <v>1.3104198277838217</v>
          </cell>
          <cell r="H312">
            <v>1.2420320861859517</v>
          </cell>
        </row>
        <row r="313">
          <cell r="B313" t="str">
            <v>ITOT-CHPOIL</v>
          </cell>
          <cell r="C313" t="str">
            <v>VAR_fout</v>
          </cell>
          <cell r="D313" t="str">
            <v>ITOT_NKEV_OIL_ELC_CHP</v>
          </cell>
          <cell r="E313">
            <v>7.0553886358753079E-2</v>
          </cell>
          <cell r="F313">
            <v>0.16656546239737904</v>
          </cell>
          <cell r="G313">
            <v>0.12551260495420383</v>
          </cell>
          <cell r="H313">
            <v>0.16131818156861827</v>
          </cell>
        </row>
        <row r="314">
          <cell r="B314" t="str">
            <v>ITOT-CHPOIL</v>
          </cell>
          <cell r="C314" t="str">
            <v>VAR_fout</v>
          </cell>
          <cell r="D314" t="str">
            <v>CO2_I</v>
          </cell>
          <cell r="E314">
            <v>29.418645080039699</v>
          </cell>
          <cell r="F314">
            <v>50.022835126882399</v>
          </cell>
          <cell r="G314">
            <v>37.906287041091304</v>
          </cell>
          <cell r="H314">
            <v>45.336099318277398</v>
          </cell>
        </row>
        <row r="315">
          <cell r="B315" t="str">
            <v>ITOT-CHPOIL</v>
          </cell>
          <cell r="C315" t="str">
            <v>VAR_fin</v>
          </cell>
          <cell r="D315" t="str">
            <v>ILFO</v>
          </cell>
          <cell r="E315">
            <v>0.39916750447814997</v>
          </cell>
          <cell r="F315">
            <v>0.67873589045973448</v>
          </cell>
          <cell r="G315">
            <v>0.51433225293203977</v>
          </cell>
          <cell r="H315">
            <v>0.61514381707296373</v>
          </cell>
        </row>
        <row r="316">
          <cell r="B316" t="str">
            <v>ITOT-CHPOIL</v>
          </cell>
          <cell r="C316" t="str">
            <v>VAR_ncap</v>
          </cell>
          <cell r="D316" t="str">
            <v>-</v>
          </cell>
          <cell r="E316"/>
          <cell r="F316">
            <v>2.3246857721985099E-2</v>
          </cell>
          <cell r="G316"/>
          <cell r="H316"/>
        </row>
        <row r="317">
          <cell r="B317" t="str">
            <v>ITOT-CHPOIL</v>
          </cell>
          <cell r="C317" t="str">
            <v>VAR_cap</v>
          </cell>
          <cell r="D317" t="str">
            <v>-</v>
          </cell>
          <cell r="E317">
            <v>8.2975477927690958E-3</v>
          </cell>
          <cell r="F317">
            <v>2.416230990243735E-2</v>
          </cell>
          <cell r="G317">
            <v>2.4136818839332119E-2</v>
          </cell>
          <cell r="H317">
            <v>2.4120541974585231E-2</v>
          </cell>
        </row>
        <row r="318">
          <cell r="B318" t="str">
            <v>ENUC_GOE</v>
          </cell>
          <cell r="C318" t="str">
            <v>VAR_fout</v>
          </cell>
          <cell r="D318" t="str">
            <v>ELC</v>
          </cell>
          <cell r="E318">
            <v>29.714420988585818</v>
          </cell>
          <cell r="F318">
            <v>29.714130131201237</v>
          </cell>
          <cell r="G318">
            <v>29.714095430112014</v>
          </cell>
          <cell r="H318">
            <v>29.689213115416308</v>
          </cell>
        </row>
        <row r="319">
          <cell r="B319" t="str">
            <v>ENUC_GOE</v>
          </cell>
          <cell r="C319" t="str">
            <v>VAR_fin</v>
          </cell>
          <cell r="D319" t="str">
            <v>URN</v>
          </cell>
          <cell r="E319">
            <v>89.580638628414221</v>
          </cell>
          <cell r="F319">
            <v>89.579761775041561</v>
          </cell>
          <cell r="G319">
            <v>89.579657160997826</v>
          </cell>
          <cell r="H319">
            <v>89.504643966500382</v>
          </cell>
        </row>
        <row r="320">
          <cell r="B320" t="str">
            <v>ENUC_GOE</v>
          </cell>
          <cell r="C320" t="str">
            <v>VAR_cap</v>
          </cell>
          <cell r="D320" t="str">
            <v>-</v>
          </cell>
          <cell r="E320">
            <v>1.0099996884232529</v>
          </cell>
          <cell r="F320">
            <v>1.0099988042215964</v>
          </cell>
          <cell r="G320">
            <v>1.0100002942683848</v>
          </cell>
          <cell r="H320">
            <v>1.0100006141621678</v>
          </cell>
        </row>
        <row r="321">
          <cell r="B321" t="str">
            <v>D-RNGA</v>
          </cell>
          <cell r="C321" t="str">
            <v>VAR_fout</v>
          </cell>
          <cell r="D321" t="str">
            <v>CO2</v>
          </cell>
          <cell r="E321">
            <v>2686.29232035222</v>
          </cell>
          <cell r="F321">
            <v>2605.0618149319198</v>
          </cell>
          <cell r="G321">
            <v>2636.0764012387099</v>
          </cell>
          <cell r="H321">
            <v>2157.9838635814299</v>
          </cell>
        </row>
        <row r="322">
          <cell r="B322" t="str">
            <v>D-RNGA</v>
          </cell>
          <cell r="C322" t="str">
            <v>VAR_fout</v>
          </cell>
          <cell r="D322" t="str">
            <v>RNGA</v>
          </cell>
          <cell r="E322">
            <v>47.78066398916684</v>
          </cell>
          <cell r="F322">
            <v>48.283682865512411</v>
          </cell>
          <cell r="G322">
            <v>47.460370951729558</v>
          </cell>
          <cell r="H322">
            <v>39.099934607424856</v>
          </cell>
        </row>
        <row r="323">
          <cell r="B323" t="str">
            <v>D-RNGA</v>
          </cell>
          <cell r="C323" t="str">
            <v>VAR_fout</v>
          </cell>
          <cell r="D323" t="str">
            <v>RSH2</v>
          </cell>
          <cell r="E323"/>
          <cell r="F323"/>
          <cell r="G323"/>
          <cell r="H323">
            <v>4.2346506482894543E-2</v>
          </cell>
        </row>
        <row r="324">
          <cell r="B324" t="str">
            <v>D-RNGA</v>
          </cell>
          <cell r="C324" t="str">
            <v>VAR_fin</v>
          </cell>
          <cell r="D324" t="str">
            <v>NGA</v>
          </cell>
          <cell r="E324">
            <v>47.629296460145738</v>
          </cell>
          <cell r="F324">
            <v>46.18903927184266</v>
          </cell>
          <cell r="G324">
            <v>46.738943284374216</v>
          </cell>
          <cell r="H324">
            <v>38.262125240805588</v>
          </cell>
        </row>
        <row r="325">
          <cell r="B325" t="str">
            <v>D-RNGA</v>
          </cell>
          <cell r="C325" t="str">
            <v>VAR_fin</v>
          </cell>
          <cell r="D325" t="str">
            <v>BNGA</v>
          </cell>
          <cell r="E325">
            <v>0.30400857413150201</v>
          </cell>
          <cell r="F325">
            <v>2.2488915927357054</v>
          </cell>
          <cell r="G325">
            <v>0.87304549805444343</v>
          </cell>
          <cell r="H325">
            <v>0.96348454954207119</v>
          </cell>
        </row>
        <row r="326">
          <cell r="B326" t="str">
            <v>D-RNGA</v>
          </cell>
          <cell r="C326" t="str">
            <v>VAR_fin</v>
          </cell>
          <cell r="D326" t="str">
            <v>H2</v>
          </cell>
          <cell r="E326"/>
          <cell r="F326"/>
          <cell r="G326"/>
          <cell r="H326">
            <v>4.232757097861288E-2</v>
          </cell>
        </row>
        <row r="327">
          <cell r="B327" t="str">
            <v>D-RNGA</v>
          </cell>
          <cell r="C327" t="str">
            <v>VAR_ncap</v>
          </cell>
          <cell r="D327" t="str">
            <v>-</v>
          </cell>
          <cell r="E327">
            <v>1.4108689698768901E-5</v>
          </cell>
          <cell r="F327">
            <v>2.00863194670824E-6</v>
          </cell>
          <cell r="G327">
            <v>2.4428176174718799E-6</v>
          </cell>
          <cell r="H327">
            <v>2.0258802884127202E-6</v>
          </cell>
        </row>
        <row r="328">
          <cell r="B328" t="str">
            <v>D-RNGA</v>
          </cell>
          <cell r="C328" t="str">
            <v>VAR_cap</v>
          </cell>
          <cell r="D328" t="str">
            <v>-</v>
          </cell>
          <cell r="E328">
            <v>3.0972541160856188</v>
          </cell>
          <cell r="F328">
            <v>3.0972561247175654</v>
          </cell>
          <cell r="G328">
            <v>3.0972585675351829</v>
          </cell>
          <cell r="H328">
            <v>3.0972605934154713</v>
          </cell>
        </row>
        <row r="329">
          <cell r="B329" t="str">
            <v>ITOT-CHPHFC</v>
          </cell>
          <cell r="C329" t="str">
            <v>VAR_fout</v>
          </cell>
          <cell r="D329" t="str">
            <v>ITOT_LTH_CHP</v>
          </cell>
          <cell r="E329"/>
          <cell r="F329"/>
          <cell r="G329"/>
          <cell r="H329"/>
        </row>
        <row r="330">
          <cell r="B330" t="str">
            <v>ITOT-CHPHFC</v>
          </cell>
          <cell r="C330" t="str">
            <v>VAR_fout</v>
          </cell>
          <cell r="D330" t="str">
            <v>ITOT_KEV_HFC_ELC_CHP</v>
          </cell>
          <cell r="E330"/>
          <cell r="F330"/>
          <cell r="G330"/>
          <cell r="H330"/>
        </row>
        <row r="331">
          <cell r="B331" t="str">
            <v>ITOT-CHPHFC</v>
          </cell>
          <cell r="C331" t="str">
            <v>VAR_fin</v>
          </cell>
          <cell r="D331" t="str">
            <v>IH2</v>
          </cell>
          <cell r="E331"/>
          <cell r="F331"/>
          <cell r="G331"/>
          <cell r="H331"/>
        </row>
        <row r="332">
          <cell r="B332" t="str">
            <v>ITOT-CHPHFC</v>
          </cell>
          <cell r="C332" t="str">
            <v>VAR_ncap</v>
          </cell>
          <cell r="D332" t="str">
            <v>-</v>
          </cell>
          <cell r="E332"/>
          <cell r="F332"/>
          <cell r="G332"/>
          <cell r="H332"/>
        </row>
        <row r="333">
          <cell r="B333" t="str">
            <v>ITOT-CHPHFC</v>
          </cell>
          <cell r="C333" t="str">
            <v>VAR_cap</v>
          </cell>
          <cell r="D333" t="str">
            <v>-</v>
          </cell>
          <cell r="E333"/>
          <cell r="F333"/>
          <cell r="G333"/>
          <cell r="H333"/>
        </row>
        <row r="334">
          <cell r="B334" t="str">
            <v>G-INTC-TRA</v>
          </cell>
          <cell r="C334" t="str">
            <v>VAR_fout</v>
          </cell>
          <cell r="D334" t="str">
            <v>TRAN_ELC</v>
          </cell>
          <cell r="E334">
            <v>10.665638605394875</v>
          </cell>
          <cell r="F334">
            <v>12.35304642969769</v>
          </cell>
          <cell r="G334">
            <v>15.637667288954495</v>
          </cell>
          <cell r="H334">
            <v>35.97432896002811</v>
          </cell>
        </row>
        <row r="335">
          <cell r="B335" t="str">
            <v>G-INTC-TRA</v>
          </cell>
          <cell r="C335" t="str">
            <v>VAR_fin</v>
          </cell>
          <cell r="D335" t="str">
            <v>ELC3</v>
          </cell>
          <cell r="E335">
            <v>9.8452048665183423</v>
          </cell>
          <cell r="F335">
            <v>12.284901901113448</v>
          </cell>
          <cell r="G335">
            <v>15.563116958273007</v>
          </cell>
          <cell r="H335">
            <v>25.28888471447522</v>
          </cell>
        </row>
        <row r="336">
          <cell r="B336" t="str">
            <v>G-INTC-TRA</v>
          </cell>
          <cell r="C336" t="str">
            <v>VAR_fin</v>
          </cell>
          <cell r="D336" t="str">
            <v>ELC5</v>
          </cell>
          <cell r="E336">
            <v>0.82043373887652749</v>
          </cell>
          <cell r="F336">
            <v>6.8144528584240402E-2</v>
          </cell>
          <cell r="G336">
            <v>7.4550330681487698E-2</v>
          </cell>
          <cell r="H336">
            <v>10.685444245552905</v>
          </cell>
        </row>
        <row r="337">
          <cell r="B337" t="str">
            <v>G-INTC-TRA</v>
          </cell>
          <cell r="C337" t="str">
            <v>VAR_ncap</v>
          </cell>
          <cell r="D337" t="str">
            <v>-</v>
          </cell>
          <cell r="E337">
            <v>3.7692181566143303E-5</v>
          </cell>
          <cell r="F337">
            <v>5.5100207584019301E-5</v>
          </cell>
          <cell r="G337">
            <v>7.6574684491305403E-2</v>
          </cell>
          <cell r="H337">
            <v>0.43563079121271803</v>
          </cell>
        </row>
        <row r="338">
          <cell r="B338" t="str">
            <v>G-INTC-TRA</v>
          </cell>
          <cell r="C338" t="str">
            <v>VAR_cap</v>
          </cell>
          <cell r="D338" t="str">
            <v>-</v>
          </cell>
          <cell r="E338">
            <v>0.86351880627381705</v>
          </cell>
          <cell r="F338">
            <v>0.86353106140287694</v>
          </cell>
          <cell r="G338">
            <v>0.86361159866296722</v>
          </cell>
          <cell r="H338">
            <v>1.1798657011997131</v>
          </cell>
        </row>
        <row r="339">
          <cell r="B339" t="str">
            <v>SCOM-SWHSTG-CHPBIO</v>
          </cell>
          <cell r="C339" t="str">
            <v>VAR_fout</v>
          </cell>
          <cell r="D339" t="str">
            <v>AUX_SCOM-CHPBIO_OUT</v>
          </cell>
          <cell r="E339">
            <v>2.4911826794072115E-4</v>
          </cell>
          <cell r="F339">
            <v>1.9371449643385047E-3</v>
          </cell>
          <cell r="G339">
            <v>7.7799432240265984</v>
          </cell>
          <cell r="H339">
            <v>8.8674617432371114</v>
          </cell>
        </row>
        <row r="340">
          <cell r="B340" t="str">
            <v>SCOM-SWHSTG-CHPBIO</v>
          </cell>
          <cell r="C340" t="str">
            <v>VAR_fout</v>
          </cell>
          <cell r="D340" t="str">
            <v>SCOM_LTH_CHPBIO</v>
          </cell>
          <cell r="E340">
            <v>2.4911826794072158E-4</v>
          </cell>
          <cell r="F340">
            <v>1.9387283267614647E-3</v>
          </cell>
          <cell r="G340">
            <v>7.7898792945553756</v>
          </cell>
          <cell r="H340">
            <v>8.8674617432370937</v>
          </cell>
        </row>
        <row r="341">
          <cell r="B341" t="str">
            <v>SCOM-SWHSTG-CHPBIO</v>
          </cell>
          <cell r="C341" t="str">
            <v>VAR_fin</v>
          </cell>
          <cell r="D341" t="str">
            <v>SCOM_LTH_CHPBIO</v>
          </cell>
          <cell r="E341">
            <v>2.0281391209855005E-4</v>
          </cell>
          <cell r="F341">
            <v>2.397827587306224E-3</v>
          </cell>
          <cell r="G341">
            <v>9.2734231368570974</v>
          </cell>
          <cell r="H341">
            <v>10.192434411286341</v>
          </cell>
        </row>
        <row r="342">
          <cell r="B342" t="str">
            <v>SCOM-SWHSTG-CHPBIO</v>
          </cell>
          <cell r="C342" t="str">
            <v>VAR_fin</v>
          </cell>
          <cell r="D342" t="str">
            <v>AUX_SCOM-CHPBIO_IN</v>
          </cell>
          <cell r="E342">
            <v>2.0281391209855005E-4</v>
          </cell>
          <cell r="F342">
            <v>2.397827587306224E-3</v>
          </cell>
          <cell r="G342">
            <v>9.2734231368570974</v>
          </cell>
          <cell r="H342">
            <v>10.192434411286341</v>
          </cell>
        </row>
        <row r="343">
          <cell r="B343" t="str">
            <v>SCOM-SWHSTG-CHPBIO</v>
          </cell>
          <cell r="C343" t="str">
            <v>VAR_ncap</v>
          </cell>
          <cell r="D343" t="str">
            <v>-</v>
          </cell>
          <cell r="E343">
            <v>6.0324867494537297E-2</v>
          </cell>
          <cell r="F343">
            <v>8.7350868152205098E-4</v>
          </cell>
          <cell r="G343">
            <v>0.42990229439920102</v>
          </cell>
          <cell r="H343">
            <v>6.68374648816802E-2</v>
          </cell>
        </row>
        <row r="344">
          <cell r="B344" t="str">
            <v>SCOM-SWHSTG-CHPBIO</v>
          </cell>
          <cell r="C344" t="str">
            <v>VAR_cap</v>
          </cell>
          <cell r="D344" t="str">
            <v>-</v>
          </cell>
          <cell r="E344">
            <v>6.0324867494537297E-2</v>
          </cell>
          <cell r="F344">
            <v>6.1117540822152323E-2</v>
          </cell>
          <cell r="G344">
            <v>0.490661630863864</v>
          </cell>
          <cell r="H344">
            <v>0.55689525979550036</v>
          </cell>
        </row>
        <row r="345">
          <cell r="B345" t="str">
            <v>SCOM-SWHSTG-CHPHFC</v>
          </cell>
          <cell r="C345" t="str">
            <v>VAR_fout</v>
          </cell>
          <cell r="D345" t="str">
            <v>AUX_SCOM-CHPHFC_OUT</v>
          </cell>
          <cell r="E345">
            <v>1.3574239503739913E-3</v>
          </cell>
          <cell r="F345">
            <v>1.0323066755368062E-3</v>
          </cell>
          <cell r="G345">
            <v>2.1088550657524701E-3</v>
          </cell>
          <cell r="H345">
            <v>0.20958740361057995</v>
          </cell>
        </row>
        <row r="346">
          <cell r="B346" t="str">
            <v>SCOM-SWHSTG-CHPHFC</v>
          </cell>
          <cell r="C346" t="str">
            <v>VAR_fout</v>
          </cell>
          <cell r="D346" t="str">
            <v>SCOM_LTH_CHPHFC</v>
          </cell>
          <cell r="E346">
            <v>1.3574239503739937E-3</v>
          </cell>
          <cell r="F346">
            <v>1.0331504511081268E-3</v>
          </cell>
          <cell r="G346">
            <v>2.1115483672412994E-3</v>
          </cell>
          <cell r="H346">
            <v>0.20958740361057956</v>
          </cell>
        </row>
        <row r="347">
          <cell r="B347" t="str">
            <v>SCOM-SWHSTG-CHPHFC</v>
          </cell>
          <cell r="C347" t="str">
            <v>VAR_fin</v>
          </cell>
          <cell r="D347" t="str">
            <v>SCOM_LTH_CHPHFC</v>
          </cell>
          <cell r="E347">
            <v>1.3574239503739937E-3</v>
          </cell>
          <cell r="F347">
            <v>1.0331504511081268E-3</v>
          </cell>
          <cell r="G347">
            <v>2.1115483672412994E-3</v>
          </cell>
          <cell r="H347">
            <v>0.24084482784885469</v>
          </cell>
        </row>
        <row r="348">
          <cell r="B348" t="str">
            <v>SCOM-SWHSTG-CHPHFC</v>
          </cell>
          <cell r="C348" t="str">
            <v>VAR_fin</v>
          </cell>
          <cell r="D348" t="str">
            <v>AUX_SCOM-CHPHFC_IN</v>
          </cell>
          <cell r="E348">
            <v>1.3574239503739937E-3</v>
          </cell>
          <cell r="F348">
            <v>1.0331504511081268E-3</v>
          </cell>
          <cell r="G348">
            <v>2.1115483672412994E-3</v>
          </cell>
          <cell r="H348">
            <v>0.24084482784885469</v>
          </cell>
        </row>
        <row r="349">
          <cell r="B349" t="str">
            <v>SCOM-SWHSTG-CHPHFC</v>
          </cell>
          <cell r="C349" t="str">
            <v>VAR_ncap</v>
          </cell>
          <cell r="D349" t="str">
            <v>-</v>
          </cell>
          <cell r="E349">
            <v>2.5686953925332399E-2</v>
          </cell>
          <cell r="F349">
            <v>1.03471269423694E-3</v>
          </cell>
          <cell r="G349">
            <v>1.1800457365252E-3</v>
          </cell>
          <cell r="H349">
            <v>1.0749498289384001E-3</v>
          </cell>
        </row>
        <row r="350">
          <cell r="B350" t="str">
            <v>SCOM-SWHSTG-CHPHFC</v>
          </cell>
          <cell r="C350" t="str">
            <v>VAR_cap</v>
          </cell>
          <cell r="D350" t="str">
            <v>-</v>
          </cell>
          <cell r="E350">
            <v>2.5686953925332399E-2</v>
          </cell>
          <cell r="F350">
            <v>2.6638977876624712E-2</v>
          </cell>
          <cell r="G350">
            <v>2.7611470872933173E-2</v>
          </cell>
          <cell r="H350">
            <v>2.8171090041334251E-2</v>
          </cell>
        </row>
        <row r="351">
          <cell r="B351" t="str">
            <v>D-IHFO</v>
          </cell>
          <cell r="C351" t="str">
            <v>VAR_fout</v>
          </cell>
          <cell r="D351" t="str">
            <v>CO2</v>
          </cell>
          <cell r="E351">
            <v>213.79241210908199</v>
          </cell>
          <cell r="F351">
            <v>212.85628720739001</v>
          </cell>
          <cell r="G351">
            <v>3.7172709845761398</v>
          </cell>
          <cell r="H351">
            <v>0.355862195401279</v>
          </cell>
        </row>
        <row r="352">
          <cell r="B352" t="str">
            <v>D-IHFO</v>
          </cell>
          <cell r="C352" t="str">
            <v>VAR_fout</v>
          </cell>
          <cell r="D352" t="str">
            <v>IHFO</v>
          </cell>
          <cell r="E352">
            <v>2.7301536321320046</v>
          </cell>
          <cell r="F352">
            <v>2.7181992097309959</v>
          </cell>
          <cell r="G352">
            <v>4.7469976974586547E-2</v>
          </cell>
          <cell r="H352">
            <v>4.5444010651676508E-3</v>
          </cell>
        </row>
        <row r="353">
          <cell r="B353" t="str">
            <v>D-IHFO</v>
          </cell>
          <cell r="C353" t="str">
            <v>VAR_fin</v>
          </cell>
          <cell r="D353" t="str">
            <v>HFO</v>
          </cell>
          <cell r="E353">
            <v>2.7765248325854821</v>
          </cell>
          <cell r="F353">
            <v>2.7643673663297474</v>
          </cell>
          <cell r="G353">
            <v>4.8276246552936893E-2</v>
          </cell>
          <cell r="H353">
            <v>4.6215869532633732E-3</v>
          </cell>
        </row>
        <row r="354">
          <cell r="B354" t="str">
            <v>RHNM-CHPNGA</v>
          </cell>
          <cell r="C354" t="str">
            <v>VAR_fout</v>
          </cell>
          <cell r="D354" t="str">
            <v>CO2_R</v>
          </cell>
          <cell r="E354"/>
          <cell r="F354">
            <v>1.08008994916944</v>
          </cell>
          <cell r="G354">
            <v>5.1095686072255697</v>
          </cell>
          <cell r="H354"/>
        </row>
        <row r="355">
          <cell r="B355" t="str">
            <v>RHNM-CHPNGA</v>
          </cell>
          <cell r="C355" t="str">
            <v>VAR_fout</v>
          </cell>
          <cell r="D355" t="str">
            <v>RHNM_NKEV_GAS_ELC_CHP</v>
          </cell>
          <cell r="E355"/>
          <cell r="F355">
            <v>4.9971412282404978E-3</v>
          </cell>
          <cell r="G355">
            <v>1.2475269824182129E-2</v>
          </cell>
          <cell r="H355"/>
        </row>
        <row r="356">
          <cell r="B356" t="str">
            <v>RHNM-CHPNGA</v>
          </cell>
          <cell r="C356" t="str">
            <v>VAR_fout</v>
          </cell>
          <cell r="D356" t="str">
            <v>RHNM_LTH_CHPNGA</v>
          </cell>
          <cell r="E356"/>
          <cell r="F356">
            <v>1.0750171865258541E-2</v>
          </cell>
          <cell r="G356">
            <v>2.6441836271025136E-2</v>
          </cell>
          <cell r="H356"/>
        </row>
        <row r="357">
          <cell r="B357" t="str">
            <v>RHNM-CHPNGA</v>
          </cell>
          <cell r="C357" t="str">
            <v>VAR_fin</v>
          </cell>
          <cell r="D357" t="str">
            <v>RNGA</v>
          </cell>
          <cell r="E357"/>
          <cell r="F357">
            <v>1.9150531013642592E-2</v>
          </cell>
          <cell r="G357">
            <v>9.0595188071375357E-2</v>
          </cell>
          <cell r="H357"/>
        </row>
        <row r="358">
          <cell r="B358" t="str">
            <v>RHNM-CHPNGA</v>
          </cell>
          <cell r="C358" t="str">
            <v>VAR_ncap</v>
          </cell>
          <cell r="D358" t="str">
            <v>-</v>
          </cell>
          <cell r="E358"/>
          <cell r="F358">
            <v>1.47160414061876E-3</v>
          </cell>
          <cell r="G358"/>
          <cell r="H358"/>
        </row>
        <row r="359">
          <cell r="B359" t="str">
            <v>RHNM-CHPNGA</v>
          </cell>
          <cell r="C359" t="str">
            <v>VAR_cap</v>
          </cell>
          <cell r="D359" t="str">
            <v>-</v>
          </cell>
          <cell r="E359"/>
          <cell r="F359">
            <v>1.47160414061876E-3</v>
          </cell>
          <cell r="G359">
            <v>1.4713865144675917E-3</v>
          </cell>
          <cell r="H359">
            <v>1.4498891717270397E-3</v>
          </cell>
        </row>
        <row r="360">
          <cell r="B360" t="str">
            <v>G-INTC-EXP00-DE</v>
          </cell>
          <cell r="C360" t="str">
            <v>VAR_fout</v>
          </cell>
          <cell r="D360" t="str">
            <v>ELC_E-DE</v>
          </cell>
          <cell r="E360">
            <v>26.493024221127655</v>
          </cell>
          <cell r="F360">
            <v>1.0514877998353319E-2</v>
          </cell>
          <cell r="G360">
            <v>1.2516595336610458E-2</v>
          </cell>
          <cell r="H360">
            <v>9.1876373848008511E-3</v>
          </cell>
        </row>
        <row r="361">
          <cell r="B361" t="str">
            <v>G-INTC-EXP00-DE</v>
          </cell>
          <cell r="C361" t="str">
            <v>VAR_fin</v>
          </cell>
          <cell r="D361" t="str">
            <v>ELC</v>
          </cell>
          <cell r="E361">
            <v>26.493024221127655</v>
          </cell>
          <cell r="F361">
            <v>1.0514877998353319E-2</v>
          </cell>
          <cell r="G361">
            <v>1.2516595336610458E-2</v>
          </cell>
          <cell r="H361">
            <v>9.1876373848008511E-3</v>
          </cell>
        </row>
        <row r="362">
          <cell r="B362" t="str">
            <v>G-INTC-EXP00-DE</v>
          </cell>
          <cell r="C362" t="str">
            <v>VAR_ncap</v>
          </cell>
          <cell r="D362" t="str">
            <v>-</v>
          </cell>
          <cell r="E362">
            <v>2.9647310851364302E-5</v>
          </cell>
          <cell r="F362">
            <v>2.6818609999818801E-5</v>
          </cell>
          <cell r="G362">
            <v>3.8274894036711098E-5</v>
          </cell>
          <cell r="H362">
            <v>2.7552781351220098E-3</v>
          </cell>
        </row>
        <row r="363">
          <cell r="B363" t="str">
            <v>G-INTC-EXP00-DE</v>
          </cell>
          <cell r="C363" t="str">
            <v>VAR_cap</v>
          </cell>
          <cell r="D363" t="str">
            <v>-</v>
          </cell>
          <cell r="E363">
            <v>4.0416624102944976</v>
          </cell>
          <cell r="F363">
            <v>1.5016087388219468E-2</v>
          </cell>
          <cell r="G363">
            <v>1.4865338163779995E-2</v>
          </cell>
          <cell r="H363">
            <v>1.4800028807153254E-2</v>
          </cell>
        </row>
        <row r="364">
          <cell r="B364" t="str">
            <v>CEN-EBAT</v>
          </cell>
          <cell r="C364" t="str">
            <v>VAR_fout</v>
          </cell>
          <cell r="D364" t="str">
            <v>ELC13</v>
          </cell>
          <cell r="E364">
            <v>6.5281552500512124E-2</v>
          </cell>
          <cell r="F364">
            <v>6.1819133058506948E-2</v>
          </cell>
          <cell r="G364">
            <v>6.3527400894878738E-2</v>
          </cell>
          <cell r="H364">
            <v>0.18716294914312429</v>
          </cell>
        </row>
        <row r="365">
          <cell r="B365" t="str">
            <v>CEN-EBAT</v>
          </cell>
          <cell r="C365" t="str">
            <v>VAR_fout</v>
          </cell>
          <cell r="D365" t="str">
            <v>AUX_CEN-EBAT_OUT</v>
          </cell>
          <cell r="E365">
            <v>6.5281552500511875E-2</v>
          </cell>
          <cell r="F365">
            <v>6.1819133058506746E-2</v>
          </cell>
          <cell r="G365">
            <v>6.3527400894878558E-2</v>
          </cell>
          <cell r="H365">
            <v>0.18716294914312365</v>
          </cell>
        </row>
        <row r="366">
          <cell r="B366" t="str">
            <v>CEN-EBAT</v>
          </cell>
          <cell r="C366" t="str">
            <v>VAR_fin</v>
          </cell>
          <cell r="D366" t="str">
            <v>AUX_CEN-EBAT_IN</v>
          </cell>
          <cell r="E366">
            <v>7.568817361514843E-2</v>
          </cell>
          <cell r="F366">
            <v>7.1510951842750053E-2</v>
          </cell>
          <cell r="G366">
            <v>7.3281443349705988E-2</v>
          </cell>
          <cell r="H366">
            <v>0.21589922497023142</v>
          </cell>
        </row>
        <row r="367">
          <cell r="B367" t="str">
            <v>CEN-EBAT</v>
          </cell>
          <cell r="C367" t="str">
            <v>VAR_fin</v>
          </cell>
          <cell r="D367" t="str">
            <v>ELC13</v>
          </cell>
          <cell r="E367">
            <v>7.568817361514843E-2</v>
          </cell>
          <cell r="F367">
            <v>7.1510951842750053E-2</v>
          </cell>
          <cell r="G367">
            <v>7.3281443349705988E-2</v>
          </cell>
          <cell r="H367">
            <v>0.21589922497023142</v>
          </cell>
        </row>
        <row r="368">
          <cell r="B368" t="str">
            <v>CEN-EBAT</v>
          </cell>
          <cell r="C368" t="str">
            <v>VAR_ncap</v>
          </cell>
          <cell r="D368" t="str">
            <v>-</v>
          </cell>
          <cell r="E368">
            <v>1.2706960992768201E-2</v>
          </cell>
          <cell r="F368">
            <v>2.2776678607035101E-5</v>
          </cell>
          <cell r="G368">
            <v>1.65505083251737E-4</v>
          </cell>
          <cell r="H368">
            <v>2.24933384207151E-2</v>
          </cell>
        </row>
        <row r="369">
          <cell r="B369" t="str">
            <v>CEN-EBAT</v>
          </cell>
          <cell r="C369" t="str">
            <v>VAR_cap</v>
          </cell>
          <cell r="D369" t="str">
            <v>-</v>
          </cell>
          <cell r="E369">
            <v>1.2706960992768201E-2</v>
          </cell>
          <cell r="F369">
            <v>1.271593329609862E-2</v>
          </cell>
          <cell r="G369">
            <v>1.2866627606723847E-2</v>
          </cell>
          <cell r="H369">
            <v>3.1949216350766994E-2</v>
          </cell>
        </row>
        <row r="370">
          <cell r="B370" t="str">
            <v>ESOL-PV</v>
          </cell>
          <cell r="C370" t="str">
            <v>VAR_fout</v>
          </cell>
          <cell r="D370" t="str">
            <v>ELC35</v>
          </cell>
          <cell r="E370"/>
          <cell r="F370"/>
          <cell r="G370">
            <v>0.14061592372971998</v>
          </cell>
          <cell r="H370">
            <v>0.23809249862226711</v>
          </cell>
        </row>
        <row r="371">
          <cell r="B371" t="str">
            <v>ESOL-PV</v>
          </cell>
          <cell r="C371" t="str">
            <v>VAR_fin</v>
          </cell>
          <cell r="D371" t="str">
            <v>SOL</v>
          </cell>
          <cell r="E371"/>
          <cell r="F371"/>
          <cell r="G371">
            <v>0.14061592372971998</v>
          </cell>
          <cell r="H371">
            <v>0.23809249862226711</v>
          </cell>
        </row>
        <row r="372">
          <cell r="B372" t="str">
            <v>ESOL-PV</v>
          </cell>
          <cell r="C372" t="str">
            <v>VAR_fin</v>
          </cell>
          <cell r="D372" t="str">
            <v>SOLPVC</v>
          </cell>
          <cell r="E372"/>
          <cell r="F372"/>
          <cell r="G372">
            <v>0.14061592372972001</v>
          </cell>
          <cell r="H372">
            <v>0.238092498622267</v>
          </cell>
        </row>
        <row r="373">
          <cell r="B373" t="str">
            <v>ESOL-PV</v>
          </cell>
          <cell r="C373" t="str">
            <v>VAR_ncap</v>
          </cell>
          <cell r="D373" t="str">
            <v>-</v>
          </cell>
          <cell r="E373"/>
          <cell r="F373"/>
          <cell r="G373">
            <v>4.4864911900832499E-2</v>
          </cell>
          <cell r="H373">
            <v>2.3775703456587E-2</v>
          </cell>
        </row>
        <row r="374">
          <cell r="B374" t="str">
            <v>ESOL-PV</v>
          </cell>
          <cell r="C374" t="str">
            <v>VAR_cap</v>
          </cell>
          <cell r="D374" t="str">
            <v>-</v>
          </cell>
          <cell r="E374"/>
          <cell r="F374"/>
          <cell r="G374">
            <v>4.4864911900832499E-2</v>
          </cell>
          <cell r="H374">
            <v>6.8640615357419499E-2</v>
          </cell>
        </row>
        <row r="375">
          <cell r="B375" t="str">
            <v>RHEM-SHSTG-CHPNGA</v>
          </cell>
          <cell r="C375" t="str">
            <v>VAR_fout</v>
          </cell>
          <cell r="D375" t="str">
            <v>RHEM_LTH_CHPNGA</v>
          </cell>
          <cell r="E375">
            <v>0.12652775082626028</v>
          </cell>
          <cell r="F375">
            <v>2.9111568499291191E-3</v>
          </cell>
          <cell r="G375">
            <v>3.9529643348315026E-2</v>
          </cell>
          <cell r="H375">
            <v>2.0738127455407363E-3</v>
          </cell>
        </row>
        <row r="376">
          <cell r="B376" t="str">
            <v>RHEM-SHSTG-CHPNGA</v>
          </cell>
          <cell r="C376" t="str">
            <v>VAR_fout</v>
          </cell>
          <cell r="D376" t="str">
            <v>AUX_REM-CHPNGA_OUT</v>
          </cell>
          <cell r="E376">
            <v>0.12652775082626053</v>
          </cell>
          <cell r="F376">
            <v>2.9092173716813354E-3</v>
          </cell>
          <cell r="G376">
            <v>3.9488509484268963E-2</v>
          </cell>
          <cell r="H376">
            <v>2.0738127455407363E-3</v>
          </cell>
        </row>
        <row r="377">
          <cell r="B377" t="str">
            <v>RHEM-SHSTG-CHPNGA</v>
          </cell>
          <cell r="C377" t="str">
            <v>VAR_fin</v>
          </cell>
          <cell r="D377" t="str">
            <v>AUX_REM-CHPNGA_IN</v>
          </cell>
          <cell r="E377">
            <v>0.16886659588298764</v>
          </cell>
          <cell r="F377">
            <v>3.8675647811319317E-3</v>
          </cell>
          <cell r="G377">
            <v>5.1058361168600727E-2</v>
          </cell>
          <cell r="H377">
            <v>1.6226759256274836E-3</v>
          </cell>
        </row>
        <row r="378">
          <cell r="B378" t="str">
            <v>RHEM-SHSTG-CHPNGA</v>
          </cell>
          <cell r="C378" t="str">
            <v>VAR_fin</v>
          </cell>
          <cell r="D378" t="str">
            <v>RHEM_LTH_CHPNGA</v>
          </cell>
          <cell r="E378">
            <v>0.16886659588298764</v>
          </cell>
          <cell r="F378">
            <v>3.8675647811319317E-3</v>
          </cell>
          <cell r="G378">
            <v>5.1058361168600727E-2</v>
          </cell>
          <cell r="H378">
            <v>1.6226759256274836E-3</v>
          </cell>
        </row>
        <row r="379">
          <cell r="B379" t="str">
            <v>RHEM-SHSTG-CHPNGA</v>
          </cell>
          <cell r="C379" t="str">
            <v>VAR_ncap</v>
          </cell>
          <cell r="D379" t="str">
            <v>-</v>
          </cell>
          <cell r="E379">
            <v>6.3957863596810396E-2</v>
          </cell>
          <cell r="F379">
            <v>1.5261410273712901E-3</v>
          </cell>
          <cell r="G379">
            <v>8.2676954518363303E-4</v>
          </cell>
          <cell r="H379">
            <v>4.6823914326539099E-4</v>
          </cell>
        </row>
        <row r="380">
          <cell r="B380" t="str">
            <v>RHEM-SHSTG-CHPNGA</v>
          </cell>
          <cell r="C380" t="str">
            <v>VAR_cap</v>
          </cell>
          <cell r="D380" t="str">
            <v>-</v>
          </cell>
          <cell r="E380">
            <v>6.3957863596810396E-2</v>
          </cell>
          <cell r="F380">
            <v>6.5364323090651724E-2</v>
          </cell>
          <cell r="G380">
            <v>6.5764127514762336E-2</v>
          </cell>
          <cell r="H380">
            <v>6.2779681015615332E-2</v>
          </cell>
        </row>
        <row r="381">
          <cell r="B381" t="str">
            <v>RHNS-ESOLPV</v>
          </cell>
          <cell r="C381" t="str">
            <v>VAR_fout</v>
          </cell>
          <cell r="D381" t="str">
            <v>RHNS_SOL_ELC</v>
          </cell>
          <cell r="E381"/>
          <cell r="F381">
            <v>8.1350450122781083E-4</v>
          </cell>
          <cell r="G381">
            <v>0.62075657762579195</v>
          </cell>
          <cell r="H381">
            <v>6.8335370280027172</v>
          </cell>
        </row>
        <row r="382">
          <cell r="B382" t="str">
            <v>RHNS-ESOLPV</v>
          </cell>
          <cell r="C382" t="str">
            <v>VAR_fin</v>
          </cell>
          <cell r="D382" t="str">
            <v>SOL</v>
          </cell>
          <cell r="E382"/>
          <cell r="F382">
            <v>8.1350450122781083E-4</v>
          </cell>
          <cell r="G382">
            <v>0.62075657762579195</v>
          </cell>
          <cell r="H382">
            <v>6.8335370280027172</v>
          </cell>
        </row>
        <row r="383">
          <cell r="B383" t="str">
            <v>RHNS-ESOLPV</v>
          </cell>
          <cell r="C383" t="str">
            <v>VAR_fin</v>
          </cell>
          <cell r="D383" t="str">
            <v>SOLPVC</v>
          </cell>
          <cell r="E383"/>
          <cell r="F383">
            <v>8.1350450122780996E-4</v>
          </cell>
          <cell r="G383">
            <v>0.62075657762579195</v>
          </cell>
          <cell r="H383">
            <v>6.8335370280027199</v>
          </cell>
        </row>
        <row r="384">
          <cell r="B384" t="str">
            <v>RHNS-ESOLPV</v>
          </cell>
          <cell r="C384" t="str">
            <v>VAR_ncap</v>
          </cell>
          <cell r="D384" t="str">
            <v>-</v>
          </cell>
          <cell r="E384"/>
          <cell r="F384">
            <v>2.7732900317598502E-4</v>
          </cell>
          <cell r="G384">
            <v>0.19778559602894899</v>
          </cell>
          <cell r="H384">
            <v>1.77185359766256</v>
          </cell>
        </row>
        <row r="385">
          <cell r="B385" t="str">
            <v>RHNS-ESOLPV</v>
          </cell>
          <cell r="C385" t="str">
            <v>VAR_cap</v>
          </cell>
          <cell r="D385" t="str">
            <v>-</v>
          </cell>
          <cell r="E385"/>
          <cell r="F385">
            <v>2.7732900317598502E-4</v>
          </cell>
          <cell r="G385">
            <v>0.198062925032125</v>
          </cell>
          <cell r="H385">
            <v>1.96991652269469</v>
          </cell>
        </row>
        <row r="386">
          <cell r="B386" t="str">
            <v>RHSA-WHSTG-CHP</v>
          </cell>
          <cell r="C386" t="str">
            <v>VAR_fout</v>
          </cell>
          <cell r="D386" t="str">
            <v>AUX_RHSA-CHP_OUT</v>
          </cell>
          <cell r="E386">
            <v>1.0561550153448553</v>
          </cell>
          <cell r="F386">
            <v>1.127467152059968E-2</v>
          </cell>
          <cell r="G386">
            <v>0.14014178290772733</v>
          </cell>
          <cell r="H386">
            <v>2.3172055079226133E-2</v>
          </cell>
        </row>
        <row r="387">
          <cell r="B387" t="str">
            <v>RHSA-WHSTG-CHP</v>
          </cell>
          <cell r="C387" t="str">
            <v>VAR_fout</v>
          </cell>
          <cell r="D387" t="str">
            <v>RHSA_LTH</v>
          </cell>
          <cell r="E387">
            <v>1.0561550153448531</v>
          </cell>
          <cell r="F387">
            <v>1.1282187968280059E-2</v>
          </cell>
          <cell r="G387">
            <v>0.14028776393158934</v>
          </cell>
          <cell r="H387">
            <v>2.3172055079226133E-2</v>
          </cell>
        </row>
        <row r="388">
          <cell r="B388" t="str">
            <v>RHSA-WHSTG-CHP</v>
          </cell>
          <cell r="C388" t="str">
            <v>VAR_fin</v>
          </cell>
          <cell r="D388" t="str">
            <v>RHSA_LTH</v>
          </cell>
          <cell r="E388">
            <v>1.4080670344567208</v>
          </cell>
          <cell r="F388">
            <v>1.4594045778002707E-2</v>
          </cell>
          <cell r="G388">
            <v>0.18106883934042708</v>
          </cell>
          <cell r="H388">
            <v>2.9029419622968119E-2</v>
          </cell>
        </row>
        <row r="389">
          <cell r="B389" t="str">
            <v>RHSA-WHSTG-CHP</v>
          </cell>
          <cell r="C389" t="str">
            <v>VAR_fin</v>
          </cell>
          <cell r="D389" t="str">
            <v>AUX_RHSA-CHP_IN</v>
          </cell>
          <cell r="E389">
            <v>1.4080670344567208</v>
          </cell>
          <cell r="F389">
            <v>1.4594045778002707E-2</v>
          </cell>
          <cell r="G389">
            <v>0.18106883934042708</v>
          </cell>
          <cell r="H389">
            <v>2.9029419622968119E-2</v>
          </cell>
        </row>
        <row r="390">
          <cell r="B390" t="str">
            <v>RHSA-WHSTG-CHP</v>
          </cell>
          <cell r="C390" t="str">
            <v>VAR_ncap</v>
          </cell>
          <cell r="D390" t="str">
            <v>-</v>
          </cell>
          <cell r="E390">
            <v>9.0311371527360004E-2</v>
          </cell>
          <cell r="F390">
            <v>6.6229726707255597E-4</v>
          </cell>
          <cell r="G390">
            <v>6.9364995719086505E-4</v>
          </cell>
          <cell r="H390">
            <v>5.0496705811243798E-4</v>
          </cell>
        </row>
        <row r="391">
          <cell r="B391" t="str">
            <v>RHSA-WHSTG-CHP</v>
          </cell>
          <cell r="C391" t="str">
            <v>VAR_cap</v>
          </cell>
          <cell r="D391" t="str">
            <v>-</v>
          </cell>
          <cell r="E391">
            <v>9.0967199381981348E-2</v>
          </cell>
          <cell r="F391">
            <v>9.1231409757943499E-2</v>
          </cell>
          <cell r="G391">
            <v>9.1001686465789197E-2</v>
          </cell>
          <cell r="H391">
            <v>8.3189091875644397E-2</v>
          </cell>
        </row>
        <row r="392">
          <cell r="B392" t="str">
            <v>G-INTC-SER</v>
          </cell>
          <cell r="C392" t="str">
            <v>VAR_fout</v>
          </cell>
          <cell r="D392" t="str">
            <v>ELC35</v>
          </cell>
          <cell r="E392">
            <v>7.3894809929289748E-2</v>
          </cell>
          <cell r="F392">
            <v>2.3736543045713314E-2</v>
          </cell>
          <cell r="G392">
            <v>2.743243754876671E-2</v>
          </cell>
          <cell r="H392">
            <v>1.8654741948713215E-2</v>
          </cell>
        </row>
        <row r="393">
          <cell r="B393" t="str">
            <v>G-INTC-SER</v>
          </cell>
          <cell r="C393" t="str">
            <v>VAR_fout</v>
          </cell>
          <cell r="D393" t="str">
            <v>SCOM_ELC</v>
          </cell>
          <cell r="E393">
            <v>57.709176493181189</v>
          </cell>
          <cell r="F393">
            <v>56.909587543598427</v>
          </cell>
          <cell r="G393">
            <v>50.840384641491987</v>
          </cell>
          <cell r="H393">
            <v>41.531000547426551</v>
          </cell>
        </row>
        <row r="394">
          <cell r="B394" t="str">
            <v>G-INTC-SER</v>
          </cell>
          <cell r="C394" t="str">
            <v>VAR_fin</v>
          </cell>
          <cell r="D394" t="str">
            <v>ELC5</v>
          </cell>
          <cell r="E394">
            <v>57.782977776089808</v>
          </cell>
          <cell r="F394">
            <v>56.933324086644149</v>
          </cell>
          <cell r="G394">
            <v>50.867817079040748</v>
          </cell>
          <cell r="H394">
            <v>41.549525457009942</v>
          </cell>
        </row>
        <row r="395">
          <cell r="B395" t="str">
            <v>G-INTC-SER</v>
          </cell>
          <cell r="C395" t="str">
            <v>VAR_ncap</v>
          </cell>
          <cell r="D395" t="str">
            <v>-</v>
          </cell>
          <cell r="E395">
            <v>2.7809683374703501E-6</v>
          </cell>
          <cell r="F395">
            <v>3.5643725460207801E-6</v>
          </cell>
          <cell r="G395">
            <v>3.8051445373120502E-6</v>
          </cell>
          <cell r="H395">
            <v>5.0526969267354999E-6</v>
          </cell>
        </row>
        <row r="396">
          <cell r="B396" t="str">
            <v>G-INTC-SER</v>
          </cell>
          <cell r="C396" t="str">
            <v>VAR_cap</v>
          </cell>
          <cell r="D396" t="str">
            <v>-</v>
          </cell>
          <cell r="E396">
            <v>4.3683888589490198</v>
          </cell>
          <cell r="F396">
            <v>4.3683897631451813</v>
          </cell>
          <cell r="G396">
            <v>4.3683952042899037</v>
          </cell>
          <cell r="H396">
            <v>4.3684017893744347</v>
          </cell>
        </row>
        <row r="397">
          <cell r="B397" t="str">
            <v>CHPWOD</v>
          </cell>
          <cell r="C397" t="str">
            <v>VAR_fout</v>
          </cell>
          <cell r="D397" t="str">
            <v>ELC35</v>
          </cell>
          <cell r="E397">
            <v>3.5079983935050367E-3</v>
          </cell>
          <cell r="F397">
            <v>6.8108258539394759E-3</v>
          </cell>
          <cell r="G397">
            <v>8.6760319546774801E-3</v>
          </cell>
          <cell r="H397">
            <v>5.5797107946290385E-2</v>
          </cell>
        </row>
        <row r="398">
          <cell r="B398" t="str">
            <v>CHPWOD</v>
          </cell>
          <cell r="C398" t="str">
            <v>VAR_fout</v>
          </cell>
          <cell r="D398" t="str">
            <v>LTH</v>
          </cell>
          <cell r="E398">
            <v>9.1740638507770561E-3</v>
          </cell>
          <cell r="F398">
            <v>1.7811567809224011E-2</v>
          </cell>
          <cell r="G398">
            <v>2.268942633239519E-2</v>
          </cell>
          <cell r="H398">
            <v>0.14591974498497803</v>
          </cell>
        </row>
        <row r="399">
          <cell r="B399" t="str">
            <v>CHPWOD</v>
          </cell>
          <cell r="C399" t="str">
            <v>VAR_fin</v>
          </cell>
          <cell r="D399" t="str">
            <v>EWOD</v>
          </cell>
          <cell r="E399">
            <v>1.4503910075075148E-2</v>
          </cell>
          <cell r="F399">
            <v>3.3081899380229367E-2</v>
          </cell>
          <cell r="G399">
            <v>4.4179269800994389E-2</v>
          </cell>
          <cell r="H399">
            <v>0.21209323772649974</v>
          </cell>
        </row>
        <row r="400">
          <cell r="B400" t="str">
            <v>CHPWOD</v>
          </cell>
          <cell r="C400" t="str">
            <v>VAR_ncap</v>
          </cell>
          <cell r="D400" t="str">
            <v>-</v>
          </cell>
          <cell r="E400"/>
          <cell r="F400">
            <v>6.7366484568596205E-4</v>
          </cell>
          <cell r="G400">
            <v>3.2804993034795098E-4</v>
          </cell>
          <cell r="H400">
            <v>2.33579354156465E-3</v>
          </cell>
        </row>
        <row r="401">
          <cell r="B401" t="str">
            <v>CHPWOD</v>
          </cell>
          <cell r="C401" t="str">
            <v>VAR_cap</v>
          </cell>
          <cell r="D401" t="str">
            <v>-</v>
          </cell>
          <cell r="E401">
            <v>6.3088220311879883E-4</v>
          </cell>
          <cell r="F401">
            <v>1.2370814708184685E-3</v>
          </cell>
          <cell r="G401">
            <v>1.5587230261404142E-3</v>
          </cell>
          <cell r="H401">
            <v>3.8329771409397612E-3</v>
          </cell>
        </row>
        <row r="402">
          <cell r="B402" t="str">
            <v>D-EH2R</v>
          </cell>
          <cell r="C402" t="str">
            <v>VAR_fout</v>
          </cell>
          <cell r="D402" t="str">
            <v>EH2</v>
          </cell>
          <cell r="E402"/>
          <cell r="F402"/>
          <cell r="G402"/>
          <cell r="H402"/>
        </row>
        <row r="403">
          <cell r="B403" t="str">
            <v>D-EH2R</v>
          </cell>
          <cell r="C403" t="str">
            <v>VAR_fin</v>
          </cell>
          <cell r="D403" t="str">
            <v>H2</v>
          </cell>
          <cell r="E403"/>
          <cell r="F403"/>
          <cell r="G403"/>
          <cell r="H403"/>
        </row>
        <row r="404">
          <cell r="B404" t="str">
            <v>D-EH2R</v>
          </cell>
          <cell r="C404" t="str">
            <v>VAR_ncap</v>
          </cell>
          <cell r="D404" t="str">
            <v>-</v>
          </cell>
          <cell r="E404"/>
          <cell r="F404"/>
          <cell r="G404"/>
          <cell r="H404"/>
        </row>
        <row r="405">
          <cell r="B405" t="str">
            <v>D-EH2R</v>
          </cell>
          <cell r="C405" t="str">
            <v>VAR_cap</v>
          </cell>
          <cell r="D405" t="str">
            <v>-</v>
          </cell>
          <cell r="E405"/>
          <cell r="F405"/>
          <cell r="G405"/>
          <cell r="H405"/>
        </row>
        <row r="406">
          <cell r="B406" t="str">
            <v>G-INTC1</v>
          </cell>
          <cell r="C406" t="str">
            <v>VAR_fout</v>
          </cell>
          <cell r="D406" t="str">
            <v>ELC13</v>
          </cell>
          <cell r="E406">
            <v>125.44520487688679</v>
          </cell>
          <cell r="F406">
            <v>140.3547347852936</v>
          </cell>
          <cell r="G406">
            <v>120.16449265238711</v>
          </cell>
          <cell r="H406">
            <v>125.29278317884307</v>
          </cell>
        </row>
        <row r="407">
          <cell r="B407" t="str">
            <v>G-INTC1</v>
          </cell>
          <cell r="C407" t="str">
            <v>VAR_fin</v>
          </cell>
          <cell r="D407" t="str">
            <v>ELC</v>
          </cell>
          <cell r="E407">
            <v>126.76627301808452</v>
          </cell>
          <cell r="F407">
            <v>143.99270633828942</v>
          </cell>
          <cell r="G407">
            <v>123.0115261809606</v>
          </cell>
          <cell r="H407">
            <v>127.79895070369028</v>
          </cell>
        </row>
        <row r="408">
          <cell r="B408" t="str">
            <v>G-INTC1</v>
          </cell>
          <cell r="C408" t="str">
            <v>VAR_ncap</v>
          </cell>
          <cell r="D408" t="str">
            <v>-</v>
          </cell>
          <cell r="E408">
            <v>3.23823306265013E-6</v>
          </cell>
          <cell r="F408">
            <v>3.1594913484714801E-6</v>
          </cell>
          <cell r="G408">
            <v>3.8788899871928699E-6</v>
          </cell>
          <cell r="H408">
            <v>5.5107860571022999E-6</v>
          </cell>
        </row>
        <row r="409">
          <cell r="B409" t="str">
            <v>G-INTC1</v>
          </cell>
          <cell r="C409" t="str">
            <v>VAR_cap</v>
          </cell>
          <cell r="D409" t="str">
            <v>-</v>
          </cell>
          <cell r="E409">
            <v>15.305609183965201</v>
          </cell>
          <cell r="F409">
            <v>15.305609183965201</v>
          </cell>
          <cell r="G409">
            <v>15.305609183965201</v>
          </cell>
          <cell r="H409">
            <v>15.305612253119003</v>
          </cell>
        </row>
        <row r="410">
          <cell r="B410" t="str">
            <v>EHYD-RUNS00</v>
          </cell>
          <cell r="C410" t="str">
            <v>VAR_fout</v>
          </cell>
          <cell r="D410" t="str">
            <v>ELC35</v>
          </cell>
          <cell r="E410">
            <v>12.240003337819086</v>
          </cell>
          <cell r="F410">
            <v>12.206073307031321</v>
          </cell>
          <cell r="G410">
            <v>12.148221363443831</v>
          </cell>
          <cell r="H410">
            <v>12.158310744388105</v>
          </cell>
        </row>
        <row r="411">
          <cell r="B411" t="str">
            <v>EHYD-RUNS00</v>
          </cell>
          <cell r="C411" t="str">
            <v>VAR_fin</v>
          </cell>
          <cell r="D411" t="str">
            <v>HYDR</v>
          </cell>
          <cell r="E411">
            <v>12.240003337819086</v>
          </cell>
          <cell r="F411">
            <v>12.206073307031321</v>
          </cell>
          <cell r="G411">
            <v>12.148221363443831</v>
          </cell>
          <cell r="H411">
            <v>12.158310744388105</v>
          </cell>
        </row>
        <row r="412">
          <cell r="B412" t="str">
            <v>EHYD-RUNS00</v>
          </cell>
          <cell r="C412" t="str">
            <v>VAR_cap</v>
          </cell>
          <cell r="D412" t="str">
            <v>-</v>
          </cell>
          <cell r="E412">
            <v>0.85785999999999896</v>
          </cell>
          <cell r="F412">
            <v>0.88297936593724102</v>
          </cell>
          <cell r="G412">
            <v>0.89707999999999899</v>
          </cell>
          <cell r="H412">
            <v>0.89707999999999899</v>
          </cell>
        </row>
        <row r="413">
          <cell r="B413" t="str">
            <v>RHNS-SHSTG-CHPWOD</v>
          </cell>
          <cell r="C413" t="str">
            <v>VAR_fout</v>
          </cell>
          <cell r="D413" t="str">
            <v>AUX_RNS-CHPWOD_OUT</v>
          </cell>
          <cell r="E413">
            <v>3.9052745678225375E-3</v>
          </cell>
          <cell r="F413">
            <v>2.1303750726874597E-3</v>
          </cell>
          <cell r="G413">
            <v>1.1656153025775258E-3</v>
          </cell>
          <cell r="H413">
            <v>2.0736708439514804E-3</v>
          </cell>
        </row>
        <row r="414">
          <cell r="B414" t="str">
            <v>RHNS-SHSTG-CHPWOD</v>
          </cell>
          <cell r="C414" t="str">
            <v>VAR_fout</v>
          </cell>
          <cell r="D414" t="str">
            <v>RHNS_LTH_CHPWOD</v>
          </cell>
          <cell r="E414">
            <v>3.9052745678225275E-3</v>
          </cell>
          <cell r="F414">
            <v>2.1317953227359115E-3</v>
          </cell>
          <cell r="G414">
            <v>1.1668294851843778E-3</v>
          </cell>
          <cell r="H414">
            <v>2.0736708439514804E-3</v>
          </cell>
        </row>
        <row r="415">
          <cell r="B415" t="str">
            <v>RHNS-SHSTG-CHPWOD</v>
          </cell>
          <cell r="C415" t="str">
            <v>VAR_fin</v>
          </cell>
          <cell r="D415" t="str">
            <v>AUX_RNS-CHPWOD_IN</v>
          </cell>
          <cell r="E415">
            <v>2.9725900404390633E-3</v>
          </cell>
          <cell r="F415">
            <v>1.5682752810215553E-3</v>
          </cell>
          <cell r="G415">
            <v>9.2529580256919884E-4</v>
          </cell>
          <cell r="H415">
            <v>1.6225510583802003E-3</v>
          </cell>
        </row>
        <row r="416">
          <cell r="B416" t="str">
            <v>RHNS-SHSTG-CHPWOD</v>
          </cell>
          <cell r="C416" t="str">
            <v>VAR_fin</v>
          </cell>
          <cell r="D416" t="str">
            <v>RHNS_LTH_CHPWOD</v>
          </cell>
          <cell r="E416">
            <v>2.9725900404390633E-3</v>
          </cell>
          <cell r="F416">
            <v>1.5682752810215553E-3</v>
          </cell>
          <cell r="G416">
            <v>9.2529580256919884E-4</v>
          </cell>
          <cell r="H416">
            <v>1.6225510583802003E-3</v>
          </cell>
        </row>
        <row r="417">
          <cell r="B417" t="str">
            <v>RHNS-SHSTG-CHPWOD</v>
          </cell>
          <cell r="C417" t="str">
            <v>VAR_ncap</v>
          </cell>
          <cell r="D417" t="str">
            <v>-</v>
          </cell>
          <cell r="E417">
            <v>2.43886534949538E-2</v>
          </cell>
          <cell r="F417">
            <v>6.0621435099557895E-4</v>
          </cell>
          <cell r="G417">
            <v>6.0527245585379602E-4</v>
          </cell>
          <cell r="H417">
            <v>3.9373889784413701E-4</v>
          </cell>
        </row>
        <row r="418">
          <cell r="B418" t="str">
            <v>RHNS-SHSTG-CHPWOD</v>
          </cell>
          <cell r="C418" t="str">
            <v>VAR_cap</v>
          </cell>
          <cell r="D418" t="str">
            <v>-</v>
          </cell>
          <cell r="E418">
            <v>2.43886534949538E-2</v>
          </cell>
          <cell r="F418">
            <v>2.4913565274836937E-2</v>
          </cell>
          <cell r="G418">
            <v>2.5257061607116004E-2</v>
          </cell>
          <cell r="H418">
            <v>2.5056350094158932E-2</v>
          </cell>
        </row>
        <row r="419">
          <cell r="B419" t="str">
            <v>HPLOIL</v>
          </cell>
          <cell r="C419" t="str">
            <v>VAR_fout</v>
          </cell>
          <cell r="D419" t="str">
            <v>LTH</v>
          </cell>
          <cell r="E419">
            <v>0.18434257993190098</v>
          </cell>
          <cell r="F419">
            <v>0.18378174247741455</v>
          </cell>
          <cell r="G419">
            <v>7.1846489861079567E-3</v>
          </cell>
          <cell r="H419">
            <v>8.9284904955794931E-3</v>
          </cell>
        </row>
        <row r="420">
          <cell r="B420" t="str">
            <v>HPLOIL</v>
          </cell>
          <cell r="C420" t="str">
            <v>VAR_fout</v>
          </cell>
          <cell r="D420" t="str">
            <v>CO2_E</v>
          </cell>
          <cell r="E420">
            <v>15.9002498251029</v>
          </cell>
          <cell r="F420">
            <v>15.8518754579821</v>
          </cell>
          <cell r="G420">
            <v>0.61970334703457797</v>
          </cell>
          <cell r="H420">
            <v>0.77011632089132298</v>
          </cell>
        </row>
        <row r="421">
          <cell r="B421" t="str">
            <v>HPLOIL</v>
          </cell>
          <cell r="C421" t="str">
            <v>VAR_fin</v>
          </cell>
          <cell r="D421" t="str">
            <v>ELFO</v>
          </cell>
          <cell r="E421">
            <v>0.21574287415336313</v>
          </cell>
          <cell r="F421">
            <v>0.2150865055357141</v>
          </cell>
          <cell r="G421">
            <v>8.4084578973484207E-3</v>
          </cell>
          <cell r="H421">
            <v>1.0449339496490144E-2</v>
          </cell>
        </row>
        <row r="422">
          <cell r="B422" t="str">
            <v>HPLOIL</v>
          </cell>
          <cell r="C422" t="str">
            <v>VAR_ncap</v>
          </cell>
          <cell r="D422" t="str">
            <v>-</v>
          </cell>
          <cell r="E422">
            <v>1.1150005054051399E-3</v>
          </cell>
          <cell r="F422">
            <v>4.4468914188027701E-4</v>
          </cell>
          <cell r="G422">
            <v>2.6384825446306901E-4</v>
          </cell>
          <cell r="H422">
            <v>4.1108453825696801E-4</v>
          </cell>
        </row>
        <row r="423">
          <cell r="B423" t="str">
            <v>HPLOIL</v>
          </cell>
          <cell r="C423" t="str">
            <v>VAR_cap</v>
          </cell>
          <cell r="D423" t="str">
            <v>-</v>
          </cell>
          <cell r="E423">
            <v>4.0478888804078704E-2</v>
          </cell>
          <cell r="F423">
            <v>3.8748935727254602E-2</v>
          </cell>
          <cell r="G423">
            <v>3.632708147144878E-2</v>
          </cell>
          <cell r="H423">
            <v>1.6885119942226821E-2</v>
          </cell>
        </row>
        <row r="424">
          <cell r="B424" t="str">
            <v>V2G</v>
          </cell>
          <cell r="C424" t="str">
            <v>VAR_fout</v>
          </cell>
          <cell r="D424" t="str">
            <v>ELC35</v>
          </cell>
          <cell r="E424"/>
          <cell r="F424"/>
          <cell r="G424"/>
          <cell r="H424">
            <v>0.33398412994859022</v>
          </cell>
        </row>
        <row r="425">
          <cell r="B425" t="str">
            <v>V2G</v>
          </cell>
          <cell r="C425" t="str">
            <v>VAR_fin</v>
          </cell>
          <cell r="D425" t="str">
            <v>T-ELC-Bus_c_BatSTGout_S1</v>
          </cell>
          <cell r="E425"/>
          <cell r="F425"/>
          <cell r="G425"/>
          <cell r="H425">
            <v>5.3602866127695718E-3</v>
          </cell>
        </row>
        <row r="426">
          <cell r="B426" t="str">
            <v>V2G</v>
          </cell>
          <cell r="C426" t="str">
            <v>VAR_fin</v>
          </cell>
          <cell r="D426" t="str">
            <v>T-ELC-Bus_c_BatSTGout_S2</v>
          </cell>
          <cell r="E426"/>
          <cell r="F426"/>
          <cell r="G426"/>
          <cell r="H426">
            <v>5.8897202003707454E-3</v>
          </cell>
        </row>
        <row r="427">
          <cell r="B427" t="str">
            <v>V2G</v>
          </cell>
          <cell r="C427" t="str">
            <v>VAR_fin</v>
          </cell>
          <cell r="D427" t="str">
            <v>T-ELC-Bus_c_BatSTGout_S3</v>
          </cell>
          <cell r="E427"/>
          <cell r="F427"/>
          <cell r="G427"/>
          <cell r="H427">
            <v>3.9071031133796731E-3</v>
          </cell>
        </row>
        <row r="428">
          <cell r="B428" t="str">
            <v>V2G</v>
          </cell>
          <cell r="C428" t="str">
            <v>VAR_fin</v>
          </cell>
          <cell r="D428" t="str">
            <v>T-ELC-Bus_c_BatSTGout_S4</v>
          </cell>
          <cell r="E428"/>
          <cell r="F428"/>
          <cell r="G428"/>
          <cell r="H428">
            <v>3.1386465613616056E-4</v>
          </cell>
        </row>
        <row r="429">
          <cell r="B429" t="str">
            <v>V2G</v>
          </cell>
          <cell r="C429" t="str">
            <v>VAR_fin</v>
          </cell>
          <cell r="D429" t="str">
            <v>T-ELC-car-BatSTGOut_S1</v>
          </cell>
          <cell r="E429"/>
          <cell r="F429"/>
          <cell r="H429">
            <v>2.9630255323443901E-2</v>
          </cell>
        </row>
        <row r="430">
          <cell r="B430" t="str">
            <v>V2G</v>
          </cell>
          <cell r="C430" t="str">
            <v>VAR_fin</v>
          </cell>
          <cell r="D430" t="str">
            <v>T-ELC-car-BatSTGOut_S2</v>
          </cell>
          <cell r="E430"/>
          <cell r="F430"/>
          <cell r="H430">
            <v>1.553689952724714E-2</v>
          </cell>
        </row>
        <row r="431">
          <cell r="B431" t="str">
            <v>V2G</v>
          </cell>
          <cell r="C431" t="str">
            <v>VAR_fin</v>
          </cell>
          <cell r="D431" t="str">
            <v>T-ELC-car-BatSTGOut_S3</v>
          </cell>
          <cell r="E431"/>
          <cell r="F431"/>
          <cell r="H431">
            <v>1.8345551839801195E-2</v>
          </cell>
        </row>
        <row r="432">
          <cell r="B432" t="str">
            <v>V2G</v>
          </cell>
          <cell r="C432" t="str">
            <v>VAR_fin</v>
          </cell>
          <cell r="D432" t="str">
            <v>T-ELC-car-BatSTGOut_S4</v>
          </cell>
          <cell r="E432"/>
          <cell r="F432"/>
          <cell r="H432">
            <v>1.3580642891104257E-2</v>
          </cell>
        </row>
        <row r="433">
          <cell r="B433" t="str">
            <v>V2G</v>
          </cell>
          <cell r="C433" t="str">
            <v>VAR_fin</v>
          </cell>
          <cell r="D433" t="str">
            <v>T-ELC-car-PlgSTGOut_S1</v>
          </cell>
          <cell r="E433"/>
          <cell r="F433"/>
          <cell r="H433">
            <v>1.6656985557266919E-2</v>
          </cell>
        </row>
        <row r="434">
          <cell r="B434" t="str">
            <v>V2G</v>
          </cell>
          <cell r="C434" t="str">
            <v>VAR_fin</v>
          </cell>
          <cell r="D434" t="str">
            <v>T-ELC-car-PlgSTGOut_S2</v>
          </cell>
          <cell r="E434"/>
          <cell r="F434"/>
          <cell r="H434">
            <v>7.9802061584521855E-3</v>
          </cell>
        </row>
        <row r="435">
          <cell r="B435" t="str">
            <v>V2G</v>
          </cell>
          <cell r="C435" t="str">
            <v>VAR_fin</v>
          </cell>
          <cell r="D435" t="str">
            <v>T-ELC-car-PlgSTGOut_S3</v>
          </cell>
          <cell r="E435"/>
          <cell r="F435"/>
          <cell r="H435">
            <v>1.2393493091106373E-2</v>
          </cell>
        </row>
        <row r="436">
          <cell r="B436" t="str">
            <v>V2G</v>
          </cell>
          <cell r="C436" t="str">
            <v>VAR_fin</v>
          </cell>
          <cell r="D436" t="str">
            <v>T-ELC-TWSTGout_S1</v>
          </cell>
          <cell r="E436"/>
          <cell r="F436"/>
          <cell r="G436"/>
          <cell r="H436">
            <v>2.4366208336898877E-2</v>
          </cell>
        </row>
        <row r="437">
          <cell r="B437" t="str">
            <v>V2G</v>
          </cell>
          <cell r="C437" t="str">
            <v>VAR_fin</v>
          </cell>
          <cell r="D437" t="str">
            <v>T-ELC-car-PlgSTGOut_S4</v>
          </cell>
          <cell r="E437"/>
          <cell r="F437"/>
          <cell r="G437"/>
          <cell r="H437">
            <v>4.955939579320277E-3</v>
          </cell>
        </row>
        <row r="438">
          <cell r="B438" t="str">
            <v>V2G</v>
          </cell>
          <cell r="C438" t="str">
            <v>VAR_fin</v>
          </cell>
          <cell r="D438" t="str">
            <v>T-ELC-TWSTGout_S2</v>
          </cell>
          <cell r="E438"/>
          <cell r="F438"/>
          <cell r="G438"/>
          <cell r="H438">
            <v>3.8529338781174899E-2</v>
          </cell>
        </row>
        <row r="439">
          <cell r="B439" t="str">
            <v>V2G</v>
          </cell>
          <cell r="C439" t="str">
            <v>VAR_fin</v>
          </cell>
          <cell r="D439" t="str">
            <v>T-ELC-TWSTGout_S3</v>
          </cell>
          <cell r="E439"/>
          <cell r="F439"/>
          <cell r="G439"/>
          <cell r="H439">
            <v>4.4210748439268074E-2</v>
          </cell>
        </row>
        <row r="440">
          <cell r="B440" t="str">
            <v>V2G</v>
          </cell>
          <cell r="C440" t="str">
            <v>VAR_fin</v>
          </cell>
          <cell r="D440" t="str">
            <v>T-ELC-TWSTGout_S4</v>
          </cell>
          <cell r="E440"/>
          <cell r="F440"/>
          <cell r="G440"/>
          <cell r="H440">
            <v>4.4236925766140314E-2</v>
          </cell>
        </row>
        <row r="441">
          <cell r="B441" t="str">
            <v>V2G</v>
          </cell>
          <cell r="C441" t="str">
            <v>VAR_fin</v>
          </cell>
          <cell r="D441" t="str">
            <v>T-ELC-Bus_u_BatSTGout_S1</v>
          </cell>
          <cell r="E441"/>
          <cell r="F441"/>
          <cell r="G441"/>
          <cell r="H441">
            <v>5.554519345295536E-3</v>
          </cell>
        </row>
        <row r="442">
          <cell r="B442" t="str">
            <v>V2G</v>
          </cell>
          <cell r="C442" t="str">
            <v>VAR_fin</v>
          </cell>
          <cell r="D442" t="str">
            <v>T-ELC-Bus_u_BatSTGout_S2</v>
          </cell>
          <cell r="E442"/>
          <cell r="F442"/>
          <cell r="G442"/>
          <cell r="H442">
            <v>4.6917842242124265E-3</v>
          </cell>
        </row>
        <row r="443">
          <cell r="B443" t="str">
            <v>V2G</v>
          </cell>
          <cell r="C443" t="str">
            <v>VAR_fin</v>
          </cell>
          <cell r="D443" t="str">
            <v>T-ELC-Bus_u_BatSTGout_S3</v>
          </cell>
          <cell r="E443"/>
          <cell r="F443"/>
          <cell r="G443"/>
          <cell r="H443">
            <v>1.8898175329798838E-3</v>
          </cell>
        </row>
        <row r="444">
          <cell r="B444" t="str">
            <v>V2G</v>
          </cell>
          <cell r="C444" t="str">
            <v>VAR_fin</v>
          </cell>
          <cell r="D444" t="str">
            <v>T-ELC-Bus_u_BatSTGout_S4</v>
          </cell>
          <cell r="E444"/>
          <cell r="F444"/>
          <cell r="G444"/>
          <cell r="H444">
            <v>2.5668248014014887E-3</v>
          </cell>
        </row>
        <row r="445">
          <cell r="B445" t="str">
            <v>V2G</v>
          </cell>
          <cell r="C445" t="str">
            <v>VAR_fin</v>
          </cell>
          <cell r="D445" t="str">
            <v>T-ELC-LGV_BatSTGout</v>
          </cell>
          <cell r="E445"/>
          <cell r="F445"/>
          <cell r="G445"/>
          <cell r="H445">
            <v>1.5848750095060937E-2</v>
          </cell>
        </row>
        <row r="446">
          <cell r="B446" t="str">
            <v>V2G</v>
          </cell>
          <cell r="C446" t="str">
            <v>VAR_fin</v>
          </cell>
          <cell r="D446" t="str">
            <v>T-ELC-HGV_BatSTGout</v>
          </cell>
          <cell r="E446"/>
          <cell r="F446"/>
          <cell r="G446"/>
          <cell r="H446">
            <v>1.9643835486026356E-2</v>
          </cell>
        </row>
        <row r="447">
          <cell r="B447" t="str">
            <v>V2G</v>
          </cell>
          <cell r="C447" t="str">
            <v>VAR_ncap</v>
          </cell>
          <cell r="D447" t="str">
            <v>-</v>
          </cell>
          <cell r="H447">
            <v>0.104299787365392</v>
          </cell>
        </row>
        <row r="448">
          <cell r="B448" t="str">
            <v>V2G</v>
          </cell>
          <cell r="C448" t="str">
            <v>VAR_cap</v>
          </cell>
          <cell r="D448" t="str">
            <v>-</v>
          </cell>
          <cell r="H448">
            <v>0.104299787365392</v>
          </cell>
        </row>
        <row r="449">
          <cell r="B449" t="str">
            <v>D-EBIO</v>
          </cell>
          <cell r="C449" t="str">
            <v>VAR_fout</v>
          </cell>
          <cell r="D449" t="str">
            <v>EBIO</v>
          </cell>
          <cell r="E449">
            <v>1.1840860449880417</v>
          </cell>
          <cell r="F449">
            <v>1.1840191929471144</v>
          </cell>
          <cell r="G449">
            <v>1.1840291827246885</v>
          </cell>
          <cell r="H449">
            <v>1.1840199951870698</v>
          </cell>
        </row>
        <row r="450">
          <cell r="B450" t="str">
            <v>D-EBIO</v>
          </cell>
          <cell r="C450" t="str">
            <v>VAR_fin</v>
          </cell>
          <cell r="D450" t="str">
            <v>BIO</v>
          </cell>
          <cell r="E450">
            <v>1.1840860449880417</v>
          </cell>
          <cell r="F450">
            <v>1.1840191929471144</v>
          </cell>
          <cell r="G450">
            <v>1.1840291827246885</v>
          </cell>
          <cell r="H450">
            <v>1.1840199951870698</v>
          </cell>
        </row>
        <row r="451">
          <cell r="B451" t="str">
            <v>G-INTC3</v>
          </cell>
          <cell r="C451" t="str">
            <v>VAR_fout</v>
          </cell>
          <cell r="D451" t="str">
            <v>ELC35</v>
          </cell>
          <cell r="E451">
            <v>154.0680542102005</v>
          </cell>
          <cell r="F451">
            <v>106.74454188129475</v>
          </cell>
          <cell r="G451">
            <v>97.051307406224723</v>
          </cell>
          <cell r="H451">
            <v>121.50215420257061</v>
          </cell>
        </row>
        <row r="452">
          <cell r="B452" t="str">
            <v>G-INTC3</v>
          </cell>
          <cell r="C452" t="str">
            <v>VAR_fout</v>
          </cell>
          <cell r="D452" t="str">
            <v>ELC3</v>
          </cell>
          <cell r="E452">
            <v>35.744846334344388</v>
          </cell>
          <cell r="F452">
            <v>68.830937032408272</v>
          </cell>
          <cell r="G452">
            <v>69.147971347547454</v>
          </cell>
          <cell r="H452">
            <v>49.734625670912891</v>
          </cell>
        </row>
        <row r="453">
          <cell r="B453" t="str">
            <v>G-INTC3</v>
          </cell>
          <cell r="C453" t="str">
            <v>VAR_fout</v>
          </cell>
          <cell r="D453" t="str">
            <v>ELC</v>
          </cell>
          <cell r="E453">
            <v>0.48105636536437174</v>
          </cell>
          <cell r="F453">
            <v>5.2071408804863363E-2</v>
          </cell>
          <cell r="G453">
            <v>6.0150099689221068E-2</v>
          </cell>
          <cell r="H453">
            <v>9.2789527884374237E-2</v>
          </cell>
        </row>
        <row r="454">
          <cell r="B454" t="str">
            <v>G-INTC3</v>
          </cell>
          <cell r="C454" t="str">
            <v>VAR_fin</v>
          </cell>
          <cell r="D454" t="str">
            <v>ELC13</v>
          </cell>
          <cell r="E454">
            <v>194.28026472484586</v>
          </cell>
          <cell r="F454">
            <v>183.90430744661418</v>
          </cell>
          <cell r="G454">
            <v>173.5225856749166</v>
          </cell>
          <cell r="H454">
            <v>177.84039617761269</v>
          </cell>
        </row>
        <row r="455">
          <cell r="B455" t="str">
            <v>G-INTC3</v>
          </cell>
          <cell r="C455" t="str">
            <v>VAR_ncap</v>
          </cell>
          <cell r="D455" t="str">
            <v>-</v>
          </cell>
          <cell r="E455">
            <v>1.30913276475336E-5</v>
          </cell>
          <cell r="F455">
            <v>1.28281350038763E-5</v>
          </cell>
          <cell r="G455">
            <v>1.15879455289294E-5</v>
          </cell>
          <cell r="H455">
            <v>8.1837412369978804E-6</v>
          </cell>
        </row>
        <row r="456">
          <cell r="B456" t="str">
            <v>G-INTC3</v>
          </cell>
          <cell r="C456" t="str">
            <v>VAR_cap</v>
          </cell>
          <cell r="D456" t="str">
            <v>-</v>
          </cell>
          <cell r="E456">
            <v>13.914190167241101</v>
          </cell>
          <cell r="F456">
            <v>13.914190167241101</v>
          </cell>
          <cell r="G456">
            <v>13.914190167241101</v>
          </cell>
          <cell r="H456">
            <v>13.91420259749529</v>
          </cell>
        </row>
        <row r="457">
          <cell r="B457" t="str">
            <v>HPLBIO</v>
          </cell>
          <cell r="C457" t="str">
            <v>VAR_fout</v>
          </cell>
          <cell r="D457" t="str">
            <v>LTH</v>
          </cell>
          <cell r="E457">
            <v>0.90187791691648245</v>
          </cell>
          <cell r="F457">
            <v>0.90182699799917021</v>
          </cell>
          <cell r="G457">
            <v>0.90183460687170802</v>
          </cell>
          <cell r="H457">
            <v>0.90182760903795767</v>
          </cell>
        </row>
        <row r="458">
          <cell r="B458" t="str">
            <v>HPLBIO</v>
          </cell>
          <cell r="C458" t="str">
            <v>VAR_fin</v>
          </cell>
          <cell r="D458" t="str">
            <v>EBIO</v>
          </cell>
          <cell r="E458">
            <v>1.1840860449880417</v>
          </cell>
          <cell r="F458">
            <v>1.1840191929471144</v>
          </cell>
          <cell r="G458">
            <v>1.1840291827246885</v>
          </cell>
          <cell r="H458">
            <v>1.1840199951870698</v>
          </cell>
        </row>
        <row r="459">
          <cell r="B459" t="str">
            <v>HPLBIO</v>
          </cell>
          <cell r="C459" t="str">
            <v>VAR_ncap</v>
          </cell>
          <cell r="D459" t="str">
            <v>-</v>
          </cell>
          <cell r="E459">
            <v>1.5089989884693501E-3</v>
          </cell>
          <cell r="F459">
            <v>3.9204302327460502E-4</v>
          </cell>
          <cell r="G459">
            <v>2.2615877246638099E-4</v>
          </cell>
          <cell r="H459">
            <v>6.1483539196504497E-2</v>
          </cell>
        </row>
        <row r="460">
          <cell r="B460" t="str">
            <v>HPLBIO</v>
          </cell>
          <cell r="C460" t="str">
            <v>VAR_cap</v>
          </cell>
          <cell r="D460" t="str">
            <v>-</v>
          </cell>
          <cell r="E460">
            <v>0.11585053691373044</v>
          </cell>
          <cell r="F460">
            <v>0.11615473269838682</v>
          </cell>
          <cell r="G460">
            <v>0.11626105394686093</v>
          </cell>
          <cell r="H460">
            <v>0.11461881875541899</v>
          </cell>
        </row>
        <row r="461">
          <cell r="B461" t="str">
            <v>G-INTC5</v>
          </cell>
          <cell r="C461" t="str">
            <v>VAR_fout</v>
          </cell>
          <cell r="D461" t="str">
            <v>ELC5</v>
          </cell>
          <cell r="E461">
            <v>153.89792328346465</v>
          </cell>
          <cell r="F461">
            <v>120.59470784181894</v>
          </cell>
          <cell r="G461">
            <v>110.88105930998775</v>
          </cell>
          <cell r="H461">
            <v>131.11045331063224</v>
          </cell>
        </row>
        <row r="462">
          <cell r="B462" t="str">
            <v>G-INTC5</v>
          </cell>
          <cell r="C462" t="str">
            <v>VAR_fout</v>
          </cell>
          <cell r="D462" t="str">
            <v>ELC13</v>
          </cell>
          <cell r="E462">
            <v>14.426721831838719</v>
          </cell>
          <cell r="F462">
            <v>4.6439007007962926E-2</v>
          </cell>
          <cell r="G462">
            <v>5.0580548061576046E-2</v>
          </cell>
          <cell r="H462">
            <v>0.13915785599850045</v>
          </cell>
        </row>
        <row r="463">
          <cell r="B463" t="str">
            <v>G-INTC5</v>
          </cell>
          <cell r="C463" t="str">
            <v>VAR_fin</v>
          </cell>
          <cell r="D463" t="str">
            <v>ELC35</v>
          </cell>
          <cell r="E463">
            <v>173.64095687884006</v>
          </cell>
          <cell r="F463">
            <v>126.34662675030435</v>
          </cell>
          <cell r="G463">
            <v>115.92570766619637</v>
          </cell>
          <cell r="H463">
            <v>136.66399112143117</v>
          </cell>
        </row>
        <row r="464">
          <cell r="B464" t="str">
            <v>G-INTC5</v>
          </cell>
          <cell r="C464" t="str">
            <v>VAR_ncap</v>
          </cell>
          <cell r="D464" t="str">
            <v>-</v>
          </cell>
          <cell r="E464">
            <v>8.4832294474486005E-5</v>
          </cell>
          <cell r="F464">
            <v>7.8564853356731106E-5</v>
          </cell>
          <cell r="G464">
            <v>9.3596414338689501E-5</v>
          </cell>
          <cell r="H464">
            <v>2.04188827632772</v>
          </cell>
        </row>
        <row r="465">
          <cell r="B465" t="str">
            <v>G-INTC5</v>
          </cell>
          <cell r="C465" t="str">
            <v>VAR_cap</v>
          </cell>
          <cell r="D465" t="str">
            <v>-</v>
          </cell>
          <cell r="E465">
            <v>12.649263788401001</v>
          </cell>
          <cell r="F465">
            <v>12.649263788401001</v>
          </cell>
          <cell r="G465">
            <v>12.649263788401001</v>
          </cell>
          <cell r="H465">
            <v>12.649342477894383</v>
          </cell>
        </row>
        <row r="466">
          <cell r="B466" t="str">
            <v>D-SLFO</v>
          </cell>
          <cell r="C466" t="str">
            <v>VAR_fout</v>
          </cell>
          <cell r="D466" t="str">
            <v>CO2</v>
          </cell>
          <cell r="E466">
            <v>2267.7920244305801</v>
          </cell>
          <cell r="F466">
            <v>1933.6967713973099</v>
          </cell>
          <cell r="G466">
            <v>1957.23968949714</v>
          </cell>
          <cell r="H466">
            <v>1160.40081782383</v>
          </cell>
        </row>
        <row r="467">
          <cell r="B467" t="str">
            <v>D-SLFO</v>
          </cell>
          <cell r="C467" t="str">
            <v>VAR_fout</v>
          </cell>
          <cell r="D467" t="str">
            <v>SLFO</v>
          </cell>
          <cell r="E467">
            <v>30.256679168903222</v>
          </cell>
          <cell r="F467">
            <v>25.799210065042509</v>
          </cell>
          <cell r="G467">
            <v>26.114252197428314</v>
          </cell>
          <cell r="H467">
            <v>15.489299762393747</v>
          </cell>
        </row>
        <row r="468">
          <cell r="B468" t="str">
            <v>D-SLFO</v>
          </cell>
          <cell r="C468" t="str">
            <v>VAR_fin</v>
          </cell>
          <cell r="D468" t="str">
            <v>LFO</v>
          </cell>
          <cell r="E468">
            <v>30.770583777891158</v>
          </cell>
          <cell r="F468">
            <v>26.237405310682689</v>
          </cell>
          <cell r="G468">
            <v>26.556847890056115</v>
          </cell>
          <cell r="H468">
            <v>15.744922901273103</v>
          </cell>
        </row>
        <row r="469">
          <cell r="B469" t="str">
            <v>D-SLFO</v>
          </cell>
          <cell r="C469" t="str">
            <v>VAR_fin</v>
          </cell>
          <cell r="D469" t="str">
            <v>BDS</v>
          </cell>
          <cell r="G469">
            <v>9.5317539077009793E-4</v>
          </cell>
          <cell r="H469">
            <v>7.4854263886987692E-3</v>
          </cell>
        </row>
        <row r="470">
          <cell r="B470" t="str">
            <v>D-RCOA</v>
          </cell>
          <cell r="C470" t="str">
            <v>VAR_fout</v>
          </cell>
          <cell r="D470" t="str">
            <v>CO2</v>
          </cell>
          <cell r="E470">
            <v>9.2728601039877496</v>
          </cell>
          <cell r="F470">
            <v>9.2711067197275501</v>
          </cell>
          <cell r="G470">
            <v>2.5001913696749498</v>
          </cell>
          <cell r="H470">
            <v>2.2053707618221001E-2</v>
          </cell>
        </row>
        <row r="471">
          <cell r="B471" t="str">
            <v>D-RCOA</v>
          </cell>
          <cell r="C471" t="str">
            <v>VAR_fout</v>
          </cell>
          <cell r="D471" t="str">
            <v>RCOA</v>
          </cell>
          <cell r="E471">
            <v>0.10003085333320115</v>
          </cell>
          <cell r="F471">
            <v>0.10001193872413756</v>
          </cell>
          <cell r="G471">
            <v>2.6970780686892657E-2</v>
          </cell>
          <cell r="H471">
            <v>2.3790407355146724E-4</v>
          </cell>
        </row>
        <row r="472">
          <cell r="B472" t="str">
            <v>D-RCOA</v>
          </cell>
          <cell r="C472" t="str">
            <v>VAR_fin</v>
          </cell>
          <cell r="D472" t="str">
            <v>COA</v>
          </cell>
          <cell r="E472">
            <v>0.10003085333320115</v>
          </cell>
          <cell r="F472">
            <v>0.10001193872413756</v>
          </cell>
          <cell r="G472">
            <v>2.6970780686892657E-2</v>
          </cell>
          <cell r="H472">
            <v>2.3790407355146724E-4</v>
          </cell>
        </row>
        <row r="473">
          <cell r="B473" t="str">
            <v>EHYD-RUN00</v>
          </cell>
          <cell r="C473" t="str">
            <v>VAR_fout</v>
          </cell>
          <cell r="D473" t="str">
            <v>ELC13</v>
          </cell>
          <cell r="E473">
            <v>54.392427528838581</v>
          </cell>
          <cell r="F473">
            <v>43.446291626133736</v>
          </cell>
          <cell r="G473">
            <v>53.243279841655301</v>
          </cell>
          <cell r="H473">
            <v>52.150433417890838</v>
          </cell>
        </row>
        <row r="474">
          <cell r="B474" t="str">
            <v>EHYD-RUN00</v>
          </cell>
          <cell r="C474" t="str">
            <v>VAR_fin</v>
          </cell>
          <cell r="D474" t="str">
            <v>HYDR</v>
          </cell>
          <cell r="E474">
            <v>54.392427528838581</v>
          </cell>
          <cell r="F474">
            <v>43.446291626133736</v>
          </cell>
          <cell r="G474">
            <v>53.243279841655301</v>
          </cell>
          <cell r="H474">
            <v>52.150433417890838</v>
          </cell>
        </row>
        <row r="475">
          <cell r="B475" t="str">
            <v>EHYD-RUN00</v>
          </cell>
          <cell r="C475" t="str">
            <v>VAR_cap</v>
          </cell>
          <cell r="D475" t="str">
            <v>-</v>
          </cell>
          <cell r="E475">
            <v>3.86687</v>
          </cell>
          <cell r="F475">
            <v>3.9240852000672399</v>
          </cell>
          <cell r="G475">
            <v>3.9610124303882599</v>
          </cell>
          <cell r="H475">
            <v>3.9647700000000001</v>
          </cell>
        </row>
        <row r="476">
          <cell r="B476" t="str">
            <v>HPLELCHP</v>
          </cell>
          <cell r="C476" t="str">
            <v>VAR_fout</v>
          </cell>
          <cell r="D476" t="str">
            <v>LTH</v>
          </cell>
          <cell r="F476">
            <v>4.1398524482292398</v>
          </cell>
          <cell r="G476">
            <v>4.2653255612942047</v>
          </cell>
          <cell r="H476">
            <v>11.51943336264898</v>
          </cell>
        </row>
        <row r="477">
          <cell r="B477" t="str">
            <v>HPLELCHP</v>
          </cell>
          <cell r="C477" t="str">
            <v>VAR_fin</v>
          </cell>
          <cell r="D477" t="str">
            <v>ELC35</v>
          </cell>
          <cell r="F477">
            <v>1.3799508160764142</v>
          </cell>
          <cell r="G477">
            <v>1.4217751870980675</v>
          </cell>
          <cell r="H477">
            <v>3.8398111208829926</v>
          </cell>
        </row>
        <row r="478">
          <cell r="B478" t="str">
            <v>HPLELCHP</v>
          </cell>
          <cell r="C478" t="str">
            <v>VAR_fin</v>
          </cell>
          <cell r="D478" t="str">
            <v>WWTPCC</v>
          </cell>
          <cell r="F478">
            <v>8.2797048964584796</v>
          </cell>
          <cell r="G478">
            <v>8.5306511225884094</v>
          </cell>
          <cell r="H478">
            <v>23.038866725298</v>
          </cell>
        </row>
        <row r="479">
          <cell r="B479" t="str">
            <v>HPLELCHP</v>
          </cell>
          <cell r="C479" t="str">
            <v>VAR_ncap</v>
          </cell>
          <cell r="D479" t="str">
            <v>-</v>
          </cell>
          <cell r="F479">
            <v>0.25602297966626397</v>
          </cell>
          <cell r="G479">
            <v>7.8034785782144902E-3</v>
          </cell>
          <cell r="H479">
            <v>0.44619696356321298</v>
          </cell>
        </row>
        <row r="480">
          <cell r="B480" t="str">
            <v>HPLELCHP</v>
          </cell>
          <cell r="C480" t="str">
            <v>VAR_cap</v>
          </cell>
          <cell r="D480" t="str">
            <v>-</v>
          </cell>
          <cell r="F480">
            <v>0.25602297966626397</v>
          </cell>
          <cell r="G480">
            <v>0.26381878566234018</v>
          </cell>
          <cell r="H480">
            <v>0.71000311833732888</v>
          </cell>
        </row>
        <row r="481">
          <cell r="B481" t="str">
            <v>D-ITOT_LTH</v>
          </cell>
          <cell r="C481" t="str">
            <v>VAR_fout</v>
          </cell>
          <cell r="D481" t="str">
            <v>ITOT_LTH_DH</v>
          </cell>
          <cell r="E481">
            <v>7.1202094790041857</v>
          </cell>
          <cell r="F481">
            <v>7.6289546232497099</v>
          </cell>
          <cell r="G481">
            <v>7.6289456009858734</v>
          </cell>
          <cell r="H481">
            <v>7.6290252733156585</v>
          </cell>
        </row>
        <row r="482">
          <cell r="B482" t="str">
            <v>D-ITOT_LTH</v>
          </cell>
          <cell r="C482" t="str">
            <v>VAR_fin</v>
          </cell>
          <cell r="D482" t="str">
            <v>LTH</v>
          </cell>
          <cell r="E482">
            <v>7.7405634205725988</v>
          </cell>
          <cell r="F482">
            <v>8.2914537249965665</v>
          </cell>
          <cell r="G482">
            <v>8.2881765697366596</v>
          </cell>
          <cell r="H482">
            <v>8.282823206030379</v>
          </cell>
        </row>
        <row r="483">
          <cell r="B483" t="str">
            <v>D-ITOT_LTH</v>
          </cell>
          <cell r="C483" t="str">
            <v>VAR_ncap</v>
          </cell>
          <cell r="D483" t="str">
            <v>-</v>
          </cell>
          <cell r="E483">
            <v>0.79547978136727204</v>
          </cell>
          <cell r="F483">
            <v>2.0011936391865699E-6</v>
          </cell>
          <cell r="G483">
            <v>2.2673591661852101E-6</v>
          </cell>
          <cell r="H483">
            <v>2.5860812663031202E-6</v>
          </cell>
        </row>
        <row r="484">
          <cell r="B484" t="str">
            <v>D-ITOT_LTH</v>
          </cell>
          <cell r="C484" t="str">
            <v>VAR_cap</v>
          </cell>
          <cell r="D484" t="str">
            <v>-</v>
          </cell>
          <cell r="E484">
            <v>0.79547978136727204</v>
          </cell>
          <cell r="F484">
            <v>0.79548178256091195</v>
          </cell>
          <cell r="G484">
            <v>0.79548404992007804</v>
          </cell>
          <cell r="H484">
            <v>0.79548663600134395</v>
          </cell>
        </row>
        <row r="485">
          <cell r="B485" t="str">
            <v>D-IH2</v>
          </cell>
          <cell r="C485" t="str">
            <v>VAR_fout</v>
          </cell>
          <cell r="D485" t="str">
            <v>IH2</v>
          </cell>
        </row>
        <row r="486">
          <cell r="B486" t="str">
            <v>D-IH2</v>
          </cell>
          <cell r="C486" t="str">
            <v>VAR_fin</v>
          </cell>
          <cell r="D486" t="str">
            <v>H2</v>
          </cell>
        </row>
        <row r="487">
          <cell r="B487" t="str">
            <v>D-IH2</v>
          </cell>
          <cell r="C487" t="str">
            <v>VAR_ncap</v>
          </cell>
          <cell r="D487" t="str">
            <v>-</v>
          </cell>
          <cell r="H487">
            <v>1.4036171507022399E-5</v>
          </cell>
        </row>
        <row r="488">
          <cell r="B488" t="str">
            <v>D-IH2</v>
          </cell>
          <cell r="C488" t="str">
            <v>VAR_cap</v>
          </cell>
          <cell r="D488" t="str">
            <v>-</v>
          </cell>
          <cell r="H488">
            <v>1.4036171507022399E-5</v>
          </cell>
        </row>
        <row r="489">
          <cell r="B489" t="str">
            <v>RHEM-ESOLPV</v>
          </cell>
          <cell r="C489" t="str">
            <v>VAR_fout</v>
          </cell>
          <cell r="D489" t="str">
            <v>RHEM_SOL_ELC</v>
          </cell>
          <cell r="E489">
            <v>0.86248322578584768</v>
          </cell>
          <cell r="F489">
            <v>1.2875876906677814</v>
          </cell>
          <cell r="G489">
            <v>1.5483453381811019</v>
          </cell>
          <cell r="H489">
            <v>1.6856708968477607</v>
          </cell>
        </row>
        <row r="490">
          <cell r="B490" t="str">
            <v>RHEM-ESOLPV</v>
          </cell>
          <cell r="C490" t="str">
            <v>VAR_fin</v>
          </cell>
          <cell r="D490" t="str">
            <v>SOL</v>
          </cell>
          <cell r="E490">
            <v>0.86248322578584768</v>
          </cell>
          <cell r="F490">
            <v>1.2875876906677814</v>
          </cell>
          <cell r="G490">
            <v>1.5483453381811019</v>
          </cell>
          <cell r="H490">
            <v>1.6856708968477607</v>
          </cell>
        </row>
        <row r="491">
          <cell r="B491" t="str">
            <v>RHEM-ESOLPV</v>
          </cell>
          <cell r="C491" t="str">
            <v>VAR_fin</v>
          </cell>
          <cell r="D491" t="str">
            <v>SOLPVC</v>
          </cell>
          <cell r="E491">
            <v>0.86248322578584802</v>
          </cell>
          <cell r="F491">
            <v>1.2875876906677799</v>
          </cell>
          <cell r="G491">
            <v>1.5483453381811001</v>
          </cell>
          <cell r="H491">
            <v>1.6856708968477601</v>
          </cell>
        </row>
        <row r="492">
          <cell r="B492" t="str">
            <v>RHEM-ESOLPV</v>
          </cell>
          <cell r="C492" t="str">
            <v>VAR_ncap</v>
          </cell>
          <cell r="D492" t="str">
            <v>-</v>
          </cell>
          <cell r="F492">
            <v>1.74454428910271E-6</v>
          </cell>
          <cell r="G492">
            <v>1.08696162921615E-2</v>
          </cell>
          <cell r="H492">
            <v>3.6423291917216001E-3</v>
          </cell>
        </row>
        <row r="493">
          <cell r="B493" t="str">
            <v>RHEM-ESOLPV</v>
          </cell>
          <cell r="C493" t="str">
            <v>VAR_cap</v>
          </cell>
          <cell r="D493" t="str">
            <v>-</v>
          </cell>
          <cell r="E493">
            <v>0.27424799999999999</v>
          </cell>
          <cell r="F493">
            <v>0.43894706202070211</v>
          </cell>
          <cell r="G493">
            <v>0.49401936083645059</v>
          </cell>
          <cell r="H493">
            <v>0.48593690228765424</v>
          </cell>
        </row>
        <row r="494">
          <cell r="B494" t="str">
            <v>HPLNUC</v>
          </cell>
          <cell r="C494" t="str">
            <v>VAR_fout</v>
          </cell>
          <cell r="D494" t="str">
            <v>LTH</v>
          </cell>
          <cell r="E494">
            <v>1.4503484521851611</v>
          </cell>
          <cell r="F494">
            <v>3.8005723339729314</v>
          </cell>
          <cell r="G494">
            <v>3.7610156438209685</v>
          </cell>
          <cell r="H494">
            <v>1.0653320352998967</v>
          </cell>
        </row>
        <row r="495">
          <cell r="B495" t="str">
            <v>HPLNUC</v>
          </cell>
          <cell r="C495" t="str">
            <v>VAR_fin</v>
          </cell>
          <cell r="D495" t="str">
            <v>URN</v>
          </cell>
          <cell r="E495">
            <v>1.4503484521851611</v>
          </cell>
          <cell r="F495">
            <v>3.8005723339729314</v>
          </cell>
          <cell r="G495">
            <v>3.7610156438209685</v>
          </cell>
          <cell r="H495">
            <v>1.0653320352998967</v>
          </cell>
        </row>
        <row r="496">
          <cell r="B496" t="str">
            <v>HPLNUC</v>
          </cell>
          <cell r="C496" t="str">
            <v>VAR_cap</v>
          </cell>
          <cell r="D496" t="str">
            <v>-</v>
          </cell>
          <cell r="E496">
            <v>0.120558721922211</v>
          </cell>
          <cell r="F496">
            <v>0.120558721922211</v>
          </cell>
          <cell r="G496">
            <v>0.120558721922211</v>
          </cell>
          <cell r="H496">
            <v>0.11197225056919</v>
          </cell>
        </row>
        <row r="497">
          <cell r="B497" t="str">
            <v>ITOT-CHPWODCCS</v>
          </cell>
          <cell r="C497" t="str">
            <v>VAR_fout</v>
          </cell>
          <cell r="D497" t="str">
            <v>CO2_O</v>
          </cell>
        </row>
        <row r="498">
          <cell r="B498" t="str">
            <v>ITOT-CHPWODCCS</v>
          </cell>
          <cell r="C498" t="str">
            <v>VAR_fout</v>
          </cell>
          <cell r="D498" t="str">
            <v>CO2</v>
          </cell>
        </row>
        <row r="499">
          <cell r="B499" t="str">
            <v>ITOT-CHPWODCCS</v>
          </cell>
          <cell r="C499" t="str">
            <v>VAR_fout</v>
          </cell>
          <cell r="D499" t="str">
            <v>ITOT_LTH_CHP</v>
          </cell>
        </row>
        <row r="500">
          <cell r="B500" t="str">
            <v>ITOT-CHPWODCCS</v>
          </cell>
          <cell r="C500" t="str">
            <v>VAR_fout</v>
          </cell>
          <cell r="D500" t="str">
            <v>ITOT_KEV_WOD_ELC_CHP</v>
          </cell>
        </row>
        <row r="501">
          <cell r="B501" t="str">
            <v>ITOT-CHPWODCCS</v>
          </cell>
          <cell r="C501" t="str">
            <v>VAR_fin</v>
          </cell>
          <cell r="D501" t="str">
            <v>IWOD</v>
          </cell>
        </row>
        <row r="502">
          <cell r="B502" t="str">
            <v>ITOT-CHPWODCCS</v>
          </cell>
          <cell r="C502" t="str">
            <v>VAR_ncap</v>
          </cell>
          <cell r="D502" t="str">
            <v>-</v>
          </cell>
        </row>
        <row r="503">
          <cell r="B503" t="str">
            <v>ITOT-CHPWODCCS</v>
          </cell>
          <cell r="C503" t="str">
            <v>VAR_cap</v>
          </cell>
          <cell r="D503" t="str">
            <v>-</v>
          </cell>
        </row>
        <row r="504">
          <cell r="B504" t="str">
            <v>SUP_WODBIO</v>
          </cell>
          <cell r="C504" t="str">
            <v>VAR_fout</v>
          </cell>
          <cell r="D504" t="str">
            <v>ELC35</v>
          </cell>
          <cell r="F504">
            <v>1.8328472478563364E-4</v>
          </cell>
          <cell r="G504">
            <v>8.2850718410027737E-5</v>
          </cell>
          <cell r="H504">
            <v>2.7061888861310462E-4</v>
          </cell>
        </row>
        <row r="505">
          <cell r="B505" t="str">
            <v>SUP_WODBIO</v>
          </cell>
          <cell r="C505" t="str">
            <v>VAR_fout</v>
          </cell>
          <cell r="D505" t="str">
            <v>BIO</v>
          </cell>
          <cell r="F505">
            <v>4.5821181196408333E-3</v>
          </cell>
          <cell r="G505">
            <v>2.0712679602506927E-3</v>
          </cell>
          <cell r="H505">
            <v>6.7654722153275993E-3</v>
          </cell>
        </row>
        <row r="506">
          <cell r="B506" t="str">
            <v>SUP_WODBIO</v>
          </cell>
          <cell r="C506" t="str">
            <v>VAR_fout</v>
          </cell>
          <cell r="D506" t="str">
            <v>LTH</v>
          </cell>
          <cell r="F506">
            <v>5.4985417435690089E-4</v>
          </cell>
          <cell r="G506">
            <v>2.4855215523008283E-4</v>
          </cell>
          <cell r="H506">
            <v>8.1185666583931209E-4</v>
          </cell>
        </row>
        <row r="507">
          <cell r="B507" t="str">
            <v>SUP_WODBIO</v>
          </cell>
          <cell r="C507" t="str">
            <v>VAR_fin</v>
          </cell>
          <cell r="D507" t="str">
            <v>CWOD</v>
          </cell>
          <cell r="F507">
            <v>6.1858594615151257E-3</v>
          </cell>
          <cell r="G507">
            <v>2.7962117463384306E-3</v>
          </cell>
          <cell r="H507">
            <v>9.1333874906922713E-3</v>
          </cell>
        </row>
        <row r="508">
          <cell r="B508" t="str">
            <v>SUP_WODBIO</v>
          </cell>
          <cell r="C508" t="str">
            <v>VAR_ncap</v>
          </cell>
          <cell r="D508" t="str">
            <v>-</v>
          </cell>
          <cell r="E508">
            <v>1.6210554757487498E-5</v>
          </cell>
          <cell r="F508">
            <v>6.2400521432721696E-4</v>
          </cell>
          <cell r="G508">
            <v>2.9688482860222198E-5</v>
          </cell>
          <cell r="H508">
            <v>1.06869260853491E-5</v>
          </cell>
        </row>
        <row r="509">
          <cell r="B509" t="str">
            <v>SUP_WODBIO</v>
          </cell>
          <cell r="C509" t="str">
            <v>VAR_cap</v>
          </cell>
          <cell r="D509" t="str">
            <v>-</v>
          </cell>
          <cell r="E509">
            <v>1.6210554757487498E-5</v>
          </cell>
          <cell r="F509">
            <v>6.3860374680141071E-4</v>
          </cell>
          <cell r="G509">
            <v>6.6402033593582742E-4</v>
          </cell>
          <cell r="H509">
            <v>6.7125995242248832E-4</v>
          </cell>
        </row>
        <row r="510">
          <cell r="B510" t="str">
            <v>D-RLFO</v>
          </cell>
          <cell r="C510" t="str">
            <v>VAR_fout</v>
          </cell>
          <cell r="D510" t="str">
            <v>CO2</v>
          </cell>
          <cell r="E510">
            <v>4514.5291404127502</v>
          </cell>
          <cell r="F510">
            <v>3846.57266256306</v>
          </cell>
          <cell r="G510">
            <v>3706.0219843080899</v>
          </cell>
          <cell r="H510">
            <v>1823.5811585651199</v>
          </cell>
        </row>
        <row r="511">
          <cell r="B511" t="str">
            <v>D-RLFO</v>
          </cell>
          <cell r="C511" t="str">
            <v>VAR_fout</v>
          </cell>
          <cell r="D511" t="str">
            <v>RLFO</v>
          </cell>
          <cell r="E511">
            <v>60.232445624916004</v>
          </cell>
          <cell r="F511">
            <v>51.320629800815738</v>
          </cell>
          <cell r="G511">
            <v>49.44635418167627</v>
          </cell>
          <cell r="H511">
            <v>24.33745865641847</v>
          </cell>
        </row>
        <row r="512">
          <cell r="B512" t="str">
            <v>D-RLFO</v>
          </cell>
          <cell r="C512" t="str">
            <v>VAR_fin</v>
          </cell>
          <cell r="D512" t="str">
            <v>LFO</v>
          </cell>
          <cell r="E512">
            <v>61.25548358768993</v>
          </cell>
          <cell r="F512">
            <v>52.192302070055007</v>
          </cell>
          <cell r="G512">
            <v>50.285237236201965</v>
          </cell>
          <cell r="H512">
            <v>24.743299302104791</v>
          </cell>
        </row>
        <row r="513">
          <cell r="B513" t="str">
            <v>D-RLFO</v>
          </cell>
          <cell r="C513" t="str">
            <v>VAR_fin</v>
          </cell>
          <cell r="D513" t="str">
            <v>BDS</v>
          </cell>
          <cell r="G513">
            <v>9.5434524827599904E-4</v>
          </cell>
          <cell r="H513">
            <v>7.5287058467960605E-3</v>
          </cell>
        </row>
        <row r="514">
          <cell r="B514" t="str">
            <v>G-INTC-EXP00-IT</v>
          </cell>
          <cell r="C514" t="str">
            <v>VAR_fout</v>
          </cell>
          <cell r="D514" t="str">
            <v>ELC_E-IT</v>
          </cell>
          <cell r="E514">
            <v>71.694131784294385</v>
          </cell>
          <cell r="F514">
            <v>34.86251306640257</v>
          </cell>
          <cell r="G514">
            <v>71.904851705876354</v>
          </cell>
          <cell r="H514">
            <v>52.680973523479118</v>
          </cell>
        </row>
        <row r="515">
          <cell r="B515" t="str">
            <v>G-INTC-EXP00-IT</v>
          </cell>
          <cell r="C515" t="str">
            <v>VAR_fin</v>
          </cell>
          <cell r="D515" t="str">
            <v>ELC</v>
          </cell>
          <cell r="E515">
            <v>71.694131784294385</v>
          </cell>
          <cell r="F515">
            <v>34.86251306640257</v>
          </cell>
          <cell r="G515">
            <v>71.904851705876354</v>
          </cell>
          <cell r="H515">
            <v>52.680973523479118</v>
          </cell>
        </row>
        <row r="516">
          <cell r="B516" t="str">
            <v>G-INTC-EXP00-IT</v>
          </cell>
          <cell r="C516" t="str">
            <v>VAR_ncap</v>
          </cell>
          <cell r="D516" t="str">
            <v>-</v>
          </cell>
          <cell r="E516">
            <v>3.5351282395219399E-5</v>
          </cell>
          <cell r="F516">
            <v>3.1963122217864801E-5</v>
          </cell>
          <cell r="G516">
            <v>3.83722600089321E-5</v>
          </cell>
          <cell r="H516">
            <v>4.0053802249792298E-5</v>
          </cell>
        </row>
        <row r="517">
          <cell r="B517" t="str">
            <v>G-INTC-EXP00-IT</v>
          </cell>
          <cell r="C517" t="str">
            <v>VAR_cap</v>
          </cell>
          <cell r="D517" t="str">
            <v>-</v>
          </cell>
          <cell r="E517">
            <v>3.7498913733083028</v>
          </cell>
          <cell r="F517">
            <v>3.7497952684715536</v>
          </cell>
          <cell r="G517">
            <v>3.7497759004375069</v>
          </cell>
          <cell r="H517">
            <v>3.7497891893365791</v>
          </cell>
        </row>
        <row r="518">
          <cell r="B518" t="str">
            <v>EWOD-CCS</v>
          </cell>
          <cell r="C518" t="str">
            <v>VAR_fout</v>
          </cell>
          <cell r="D518" t="str">
            <v>CO2_O</v>
          </cell>
        </row>
        <row r="519">
          <cell r="B519" t="str">
            <v>EWOD-CCS</v>
          </cell>
          <cell r="C519" t="str">
            <v>VAR_fout</v>
          </cell>
          <cell r="D519" t="str">
            <v>CO2</v>
          </cell>
        </row>
        <row r="520">
          <cell r="B520" t="str">
            <v>EWOD-CCS</v>
          </cell>
          <cell r="C520" t="str">
            <v>VAR_fout</v>
          </cell>
          <cell r="D520" t="str">
            <v>ELC13</v>
          </cell>
        </row>
        <row r="521">
          <cell r="B521" t="str">
            <v>EWOD-CCS</v>
          </cell>
          <cell r="C521" t="str">
            <v>VAR_fin</v>
          </cell>
          <cell r="D521" t="str">
            <v>EWOD</v>
          </cell>
        </row>
        <row r="522">
          <cell r="B522" t="str">
            <v>EWOD-CCS</v>
          </cell>
          <cell r="C522" t="str">
            <v>VAR_ncap</v>
          </cell>
          <cell r="D522" t="str">
            <v>-</v>
          </cell>
        </row>
        <row r="523">
          <cell r="B523" t="str">
            <v>EWOD-CCS</v>
          </cell>
          <cell r="C523" t="str">
            <v>VAR_cap</v>
          </cell>
          <cell r="D523" t="str">
            <v>-</v>
          </cell>
        </row>
        <row r="524">
          <cell r="B524" t="str">
            <v>EOIL-ENG</v>
          </cell>
          <cell r="C524" t="str">
            <v>VAR_fout</v>
          </cell>
          <cell r="D524" t="str">
            <v>ELC35</v>
          </cell>
          <cell r="E524">
            <v>3.9634894610343877E-2</v>
          </cell>
          <cell r="F524">
            <v>2.5645816070054618E-3</v>
          </cell>
          <cell r="G524">
            <v>3.759870426523073E-2</v>
          </cell>
          <cell r="H524">
            <v>5.1097582842592843E-3</v>
          </cell>
        </row>
        <row r="525">
          <cell r="B525" t="str">
            <v>EOIL-ENG</v>
          </cell>
          <cell r="C525" t="str">
            <v>VAR_fout</v>
          </cell>
          <cell r="D525" t="str">
            <v>CO2_E</v>
          </cell>
          <cell r="E525">
            <v>17.485520058401502</v>
          </cell>
          <cell r="F525">
            <v>21.5414119086619</v>
          </cell>
          <cell r="G525">
            <v>9.9893658785399406</v>
          </cell>
          <cell r="H525">
            <v>1.30585304251482</v>
          </cell>
        </row>
        <row r="526">
          <cell r="B526" t="str">
            <v>EOIL-ENG</v>
          </cell>
          <cell r="C526" t="str">
            <v>VAR_fin</v>
          </cell>
          <cell r="D526" t="str">
            <v>ELFO</v>
          </cell>
          <cell r="E526">
            <v>0.23725264665402263</v>
          </cell>
          <cell r="F526">
            <v>0.29228510052458495</v>
          </cell>
          <cell r="G526">
            <v>0.13554092101139664</v>
          </cell>
          <cell r="H526">
            <v>1.7718494471028752E-2</v>
          </cell>
        </row>
        <row r="527">
          <cell r="B527" t="str">
            <v>EOIL-ENG</v>
          </cell>
          <cell r="C527" t="str">
            <v>VAR_ncap</v>
          </cell>
          <cell r="D527" t="str">
            <v>-</v>
          </cell>
          <cell r="F527">
            <v>6.8119039490294295E-4</v>
          </cell>
          <cell r="G527">
            <v>1.5747048355054499E-2</v>
          </cell>
          <cell r="H527">
            <v>1.671709355842E-2</v>
          </cell>
        </row>
        <row r="528">
          <cell r="B528" t="str">
            <v>EOIL-ENG</v>
          </cell>
          <cell r="C528" t="str">
            <v>VAR_cap</v>
          </cell>
          <cell r="D528" t="str">
            <v>-</v>
          </cell>
          <cell r="E528">
            <v>8.1232829986476796E-2</v>
          </cell>
          <cell r="F528">
            <v>3.5789385088572843E-2</v>
          </cell>
          <cell r="G528">
            <v>3.26621325943348E-2</v>
          </cell>
          <cell r="H528">
            <v>4.0101408809086622E-2</v>
          </cell>
        </row>
        <row r="529">
          <cell r="B529" t="str">
            <v>D-SWOD</v>
          </cell>
          <cell r="C529" t="str">
            <v>VAR_fout</v>
          </cell>
          <cell r="D529" t="str">
            <v>SWOD</v>
          </cell>
          <cell r="E529">
            <v>8.5744660242739226</v>
          </cell>
          <cell r="F529">
            <v>7.2610711900694813</v>
          </cell>
          <cell r="G529">
            <v>10.069284452655683</v>
          </cell>
          <cell r="H529">
            <v>9.6060666162982002</v>
          </cell>
        </row>
        <row r="530">
          <cell r="B530" t="str">
            <v>D-SWOD</v>
          </cell>
          <cell r="C530" t="str">
            <v>VAR_fin</v>
          </cell>
          <cell r="D530" t="str">
            <v>WOD</v>
          </cell>
          <cell r="E530">
            <v>8.5744660242739226</v>
          </cell>
          <cell r="F530">
            <v>7.2610711900694813</v>
          </cell>
          <cell r="G530">
            <v>10.069284452655683</v>
          </cell>
          <cell r="H530">
            <v>9.6060666162982002</v>
          </cell>
        </row>
        <row r="531">
          <cell r="B531" t="str">
            <v>SCOM-CHPWOD</v>
          </cell>
          <cell r="C531" t="str">
            <v>VAR_ncap</v>
          </cell>
          <cell r="D531" t="str">
            <v>-</v>
          </cell>
          <cell r="H531">
            <v>2.5563926205390602E-4</v>
          </cell>
        </row>
        <row r="532">
          <cell r="B532" t="str">
            <v>SCOM-CHPWOD</v>
          </cell>
          <cell r="C532" t="str">
            <v>VAR_cap</v>
          </cell>
          <cell r="D532" t="str">
            <v>-</v>
          </cell>
          <cell r="H532">
            <v>2.5563926205390602E-4</v>
          </cell>
        </row>
        <row r="533">
          <cell r="B533" t="str">
            <v>ENUC_BMGL</v>
          </cell>
          <cell r="C533" t="str">
            <v>VAR_fout</v>
          </cell>
          <cell r="D533" t="str">
            <v>ELC</v>
          </cell>
          <cell r="E533">
            <v>32.820819532885672</v>
          </cell>
          <cell r="F533">
            <v>32.820660195624974</v>
          </cell>
          <cell r="G533">
            <v>32.820595744857229</v>
          </cell>
          <cell r="H533">
            <v>32.820711319274238</v>
          </cell>
        </row>
        <row r="534">
          <cell r="B534" t="str">
            <v>ENUC_BMGL</v>
          </cell>
          <cell r="C534" t="str">
            <v>VAR_fin</v>
          </cell>
          <cell r="D534" t="str">
            <v>URN</v>
          </cell>
          <cell r="E534">
            <v>98.945558292830725</v>
          </cell>
          <cell r="F534">
            <v>98.945077935714565</v>
          </cell>
          <cell r="G534">
            <v>98.944883634740719</v>
          </cell>
          <cell r="H534">
            <v>98.945232059166912</v>
          </cell>
        </row>
        <row r="535">
          <cell r="B535" t="str">
            <v>ENUC_BMGL</v>
          </cell>
          <cell r="C535" t="str">
            <v>VAR_cap</v>
          </cell>
          <cell r="D535" t="str">
            <v>-</v>
          </cell>
          <cell r="E535">
            <v>1.219999664491805</v>
          </cell>
          <cell r="F535">
            <v>1.2199988067618708</v>
          </cell>
          <cell r="G535">
            <v>1.2199989241095346</v>
          </cell>
          <cell r="H535">
            <v>1.219999066194585</v>
          </cell>
        </row>
        <row r="536">
          <cell r="B536" t="str">
            <v>D-RSH2R</v>
          </cell>
          <cell r="C536" t="str">
            <v>VAR_fout</v>
          </cell>
          <cell r="D536" t="str">
            <v>RSH2</v>
          </cell>
          <cell r="H536">
            <v>4.949715505839546E-3</v>
          </cell>
        </row>
        <row r="537">
          <cell r="B537" t="str">
            <v>D-RSH2R</v>
          </cell>
          <cell r="C537" t="str">
            <v>VAR_fin</v>
          </cell>
          <cell r="D537" t="str">
            <v>H2</v>
          </cell>
          <cell r="H537">
            <v>4.949715505839546E-3</v>
          </cell>
        </row>
        <row r="538">
          <cell r="B538" t="str">
            <v>D-RSH2R</v>
          </cell>
          <cell r="C538" t="str">
            <v>VAR_ncap</v>
          </cell>
          <cell r="D538" t="str">
            <v>-</v>
          </cell>
          <cell r="H538">
            <v>9.2706046910049603E-4</v>
          </cell>
        </row>
        <row r="539">
          <cell r="B539" t="str">
            <v>D-RSH2R</v>
          </cell>
          <cell r="C539" t="str">
            <v>VAR_cap</v>
          </cell>
          <cell r="D539" t="str">
            <v>-</v>
          </cell>
          <cell r="H539">
            <v>9.2706046910049603E-4</v>
          </cell>
        </row>
        <row r="540">
          <cell r="B540" t="str">
            <v>ENGA-GTOC</v>
          </cell>
          <cell r="C540" t="str">
            <v>VAR_fout</v>
          </cell>
          <cell r="D540" t="str">
            <v>ELC13</v>
          </cell>
        </row>
        <row r="541">
          <cell r="B541" t="str">
            <v>ENGA-GTOC</v>
          </cell>
          <cell r="C541" t="str">
            <v>VAR_fout</v>
          </cell>
          <cell r="D541" t="str">
            <v>CO2_E</v>
          </cell>
        </row>
        <row r="542">
          <cell r="B542" t="str">
            <v>ENGA-GTOC</v>
          </cell>
          <cell r="C542" t="str">
            <v>VAR_fin</v>
          </cell>
          <cell r="D542" t="str">
            <v>ENGA</v>
          </cell>
        </row>
        <row r="543">
          <cell r="B543" t="str">
            <v>ENGA-GTOC</v>
          </cell>
          <cell r="C543" t="str">
            <v>VAR_fin</v>
          </cell>
          <cell r="D543" t="str">
            <v>GTC</v>
          </cell>
        </row>
        <row r="544">
          <cell r="B544" t="str">
            <v>ENGA-GTOC</v>
          </cell>
          <cell r="C544" t="str">
            <v>VAR_ncap</v>
          </cell>
          <cell r="D544" t="str">
            <v>-</v>
          </cell>
        </row>
        <row r="545">
          <cell r="B545" t="str">
            <v>ENGA-GTOC</v>
          </cell>
          <cell r="C545" t="str">
            <v>VAR_cap</v>
          </cell>
          <cell r="D545" t="str">
            <v>-</v>
          </cell>
        </row>
        <row r="546">
          <cell r="B546" t="str">
            <v>D-RSH2</v>
          </cell>
          <cell r="C546" t="str">
            <v>VAR_fout</v>
          </cell>
          <cell r="D546" t="str">
            <v>RSH2</v>
          </cell>
          <cell r="H546">
            <v>4.6824012189241671E-3</v>
          </cell>
        </row>
        <row r="547">
          <cell r="B547" t="str">
            <v>D-RSH2</v>
          </cell>
          <cell r="C547" t="str">
            <v>VAR_fin</v>
          </cell>
          <cell r="D547" t="str">
            <v>H2</v>
          </cell>
          <cell r="H547">
            <v>4.7180735682675352E-3</v>
          </cell>
        </row>
        <row r="548">
          <cell r="B548" t="str">
            <v>D-RSH2</v>
          </cell>
          <cell r="C548" t="str">
            <v>VAR_ncap</v>
          </cell>
          <cell r="D548" t="str">
            <v>-</v>
          </cell>
          <cell r="H548">
            <v>1.2126009950502001E-3</v>
          </cell>
        </row>
        <row r="549">
          <cell r="B549" t="str">
            <v>D-RSH2</v>
          </cell>
          <cell r="C549" t="str">
            <v>VAR_cap</v>
          </cell>
          <cell r="D549" t="str">
            <v>-</v>
          </cell>
          <cell r="H549">
            <v>1.2126009950502001E-3</v>
          </cell>
        </row>
        <row r="550">
          <cell r="B550" t="str">
            <v>D-RWOD</v>
          </cell>
          <cell r="C550" t="str">
            <v>VAR_fout</v>
          </cell>
          <cell r="D550" t="str">
            <v>RWOD</v>
          </cell>
          <cell r="E550">
            <v>13.723481082941639</v>
          </cell>
          <cell r="F550">
            <v>15.204634650354425</v>
          </cell>
          <cell r="G550">
            <v>16.945578762872383</v>
          </cell>
          <cell r="H550">
            <v>15.000448781571004</v>
          </cell>
        </row>
        <row r="551">
          <cell r="B551" t="str">
            <v>D-RWOD</v>
          </cell>
          <cell r="C551" t="str">
            <v>VAR_fin</v>
          </cell>
          <cell r="D551" t="str">
            <v>WOD</v>
          </cell>
          <cell r="E551">
            <v>13.723481082941639</v>
          </cell>
          <cell r="F551">
            <v>15.204634650354425</v>
          </cell>
          <cell r="G551">
            <v>16.945578762872383</v>
          </cell>
          <cell r="H551">
            <v>15.000448781571004</v>
          </cell>
        </row>
        <row r="552">
          <cell r="B552" t="str">
            <v>CHPOIL</v>
          </cell>
          <cell r="C552" t="str">
            <v>VAR_fout</v>
          </cell>
          <cell r="D552" t="str">
            <v>ELC35</v>
          </cell>
          <cell r="E552">
            <v>1.8349123239430553E-3</v>
          </cell>
          <cell r="F552">
            <v>2.4504348226983604E-3</v>
          </cell>
          <cell r="G552">
            <v>8.458607703420223E-3</v>
          </cell>
          <cell r="H552">
            <v>1.9039403292679326E-3</v>
          </cell>
        </row>
        <row r="553">
          <cell r="B553" t="str">
            <v>CHPOIL</v>
          </cell>
          <cell r="C553" t="str">
            <v>VAR_fout</v>
          </cell>
          <cell r="D553" t="str">
            <v>LTH</v>
          </cell>
          <cell r="E553">
            <v>9.436691951707139E-3</v>
          </cell>
          <cell r="F553">
            <v>1.2602236231020103E-2</v>
          </cell>
          <cell r="G553">
            <v>4.3501411046161162E-2</v>
          </cell>
          <cell r="H553">
            <v>9.7916931219493644E-3</v>
          </cell>
        </row>
        <row r="554">
          <cell r="B554" t="str">
            <v>CHPOIL</v>
          </cell>
          <cell r="C554" t="str">
            <v>VAR_fout</v>
          </cell>
          <cell r="D554" t="str">
            <v>CO2_E</v>
          </cell>
          <cell r="E554">
            <v>10.030526384494101</v>
          </cell>
          <cell r="F554">
            <v>23.123564367005699</v>
          </cell>
          <cell r="G554">
            <v>7.2147431585767601</v>
          </cell>
          <cell r="H554">
            <v>1.44625881774772</v>
          </cell>
        </row>
        <row r="555">
          <cell r="B555" t="str">
            <v>CHPOIL</v>
          </cell>
          <cell r="C555" t="str">
            <v>VAR_fin</v>
          </cell>
          <cell r="D555" t="str">
            <v>ELFO</v>
          </cell>
          <cell r="E555">
            <v>0.1360994082020909</v>
          </cell>
          <cell r="F555">
            <v>0.31375256943019902</v>
          </cell>
          <cell r="G555">
            <v>9.7893394281909907E-2</v>
          </cell>
          <cell r="H555">
            <v>1.9623593185179356E-2</v>
          </cell>
        </row>
        <row r="556">
          <cell r="B556" t="str">
            <v>CHPOIL</v>
          </cell>
          <cell r="C556" t="str">
            <v>VAR_ncap</v>
          </cell>
          <cell r="D556" t="str">
            <v>-</v>
          </cell>
          <cell r="F556">
            <v>4.3320247787038599E-4</v>
          </cell>
          <cell r="G556">
            <v>1.4826461404456501E-4</v>
          </cell>
          <cell r="H556">
            <v>1.24311930833582E-4</v>
          </cell>
        </row>
        <row r="557">
          <cell r="B557" t="str">
            <v>CHPOIL</v>
          </cell>
          <cell r="C557" t="str">
            <v>VAR_cap</v>
          </cell>
          <cell r="D557" t="str">
            <v>-</v>
          </cell>
          <cell r="E557">
            <v>1.0757283737330673E-2</v>
          </cell>
          <cell r="F557">
            <v>1.0406777987479129E-2</v>
          </cell>
          <cell r="G557">
            <v>1.0067985908567135E-2</v>
          </cell>
          <cell r="H557">
            <v>5.9965843477021719E-3</v>
          </cell>
        </row>
        <row r="558">
          <cell r="B558" t="str">
            <v>CHPHFC</v>
          </cell>
          <cell r="C558" t="str">
            <v>VAR_fout</v>
          </cell>
          <cell r="D558" t="str">
            <v>ELC35</v>
          </cell>
        </row>
        <row r="559">
          <cell r="B559" t="str">
            <v>CHPHFC</v>
          </cell>
          <cell r="C559" t="str">
            <v>VAR_fout</v>
          </cell>
          <cell r="D559" t="str">
            <v>LTH</v>
          </cell>
        </row>
        <row r="560">
          <cell r="B560" t="str">
            <v>CHPHFC</v>
          </cell>
          <cell r="C560" t="str">
            <v>VAR_fin</v>
          </cell>
          <cell r="D560" t="str">
            <v>EH2</v>
          </cell>
        </row>
        <row r="561">
          <cell r="B561" t="str">
            <v>CHPHFC</v>
          </cell>
          <cell r="C561" t="str">
            <v>VAR_ncap</v>
          </cell>
          <cell r="D561" t="str">
            <v>-</v>
          </cell>
        </row>
        <row r="562">
          <cell r="B562" t="str">
            <v>CHPHFC</v>
          </cell>
          <cell r="C562" t="str">
            <v>VAR_cap</v>
          </cell>
          <cell r="D562" t="str">
            <v>-</v>
          </cell>
        </row>
        <row r="563">
          <cell r="B563" t="str">
            <v>ITOT-ESOLPV</v>
          </cell>
          <cell r="C563" t="str">
            <v>VAR_fout</v>
          </cell>
          <cell r="D563" t="str">
            <v>ITOT_SOL_ELC</v>
          </cell>
          <cell r="E563">
            <v>3.517953999707534</v>
          </cell>
          <cell r="F563">
            <v>4.8486281142671022</v>
          </cell>
          <cell r="G563">
            <v>11.161305651766572</v>
          </cell>
          <cell r="H563">
            <v>19.477151131911679</v>
          </cell>
        </row>
        <row r="564">
          <cell r="B564" t="str">
            <v>ITOT-ESOLPV</v>
          </cell>
          <cell r="C564" t="str">
            <v>VAR_fin</v>
          </cell>
          <cell r="D564" t="str">
            <v>SOL</v>
          </cell>
          <cell r="E564">
            <v>3.517953999707534</v>
          </cell>
          <cell r="F564">
            <v>4.8486281142671022</v>
          </cell>
          <cell r="G564">
            <v>11.161305651766572</v>
          </cell>
          <cell r="H564">
            <v>19.477151131911679</v>
          </cell>
        </row>
        <row r="565">
          <cell r="B565" t="str">
            <v>ITOT-ESOLPV</v>
          </cell>
          <cell r="C565" t="str">
            <v>VAR_fin</v>
          </cell>
          <cell r="D565" t="str">
            <v>SOLPVC</v>
          </cell>
          <cell r="E565">
            <v>3.51795399970753</v>
          </cell>
          <cell r="F565">
            <v>4.8486281142671004</v>
          </cell>
          <cell r="G565">
            <v>11.1613056517666</v>
          </cell>
          <cell r="H565">
            <v>19.4771511319117</v>
          </cell>
        </row>
        <row r="566">
          <cell r="B566" t="str">
            <v>ITOT-ESOLPV</v>
          </cell>
          <cell r="C566" t="str">
            <v>VAR_ncap</v>
          </cell>
          <cell r="D566" t="str">
            <v>-</v>
          </cell>
          <cell r="F566">
            <v>2.0099865908369601E-6</v>
          </cell>
          <cell r="G566">
            <v>1.76790967767338</v>
          </cell>
          <cell r="H566">
            <v>2.1224874166294101</v>
          </cell>
        </row>
        <row r="567">
          <cell r="B567" t="str">
            <v>ITOT-ESOLPV</v>
          </cell>
          <cell r="C567" t="str">
            <v>VAR_cap</v>
          </cell>
          <cell r="D567" t="str">
            <v>-</v>
          </cell>
          <cell r="E567">
            <v>1.1186210000000001</v>
          </cell>
          <cell r="F567">
            <v>1.652929024573641</v>
          </cell>
          <cell r="G567">
            <v>3.56113268765997</v>
          </cell>
          <cell r="H567">
            <v>5.6147042074852802</v>
          </cell>
        </row>
        <row r="568">
          <cell r="B568" t="str">
            <v>RHNS-CHPNGA</v>
          </cell>
          <cell r="C568" t="str">
            <v>VAR_fout</v>
          </cell>
          <cell r="D568" t="str">
            <v>CO2_R</v>
          </cell>
          <cell r="F568">
            <v>0.693017293254791</v>
          </cell>
          <cell r="G568">
            <v>3.7135303848319898</v>
          </cell>
        </row>
        <row r="569">
          <cell r="B569" t="str">
            <v>RHNS-CHPNGA</v>
          </cell>
          <cell r="C569" t="str">
            <v>VAR_fout</v>
          </cell>
          <cell r="D569" t="str">
            <v>RHNS_LTH_CHPNGA</v>
          </cell>
          <cell r="F569">
            <v>6.7622707762953239E-3</v>
          </cell>
          <cell r="G569">
            <v>1.1414786229301949E-2</v>
          </cell>
        </row>
        <row r="570">
          <cell r="B570" t="str">
            <v>RHNS-CHPNGA</v>
          </cell>
          <cell r="C570" t="str">
            <v>VAR_fout</v>
          </cell>
          <cell r="D570" t="str">
            <v>RHNS_NKEV_GAS_ELC_CHP</v>
          </cell>
          <cell r="F570">
            <v>2.8376313870333348E-3</v>
          </cell>
          <cell r="G570">
            <v>4.8644748530734302E-3</v>
          </cell>
        </row>
        <row r="571">
          <cell r="B571" t="str">
            <v>RHNS-CHPNGA</v>
          </cell>
          <cell r="C571" t="str">
            <v>VAR_fin</v>
          </cell>
          <cell r="D571" t="str">
            <v>RNGA</v>
          </cell>
          <cell r="F571">
            <v>1.228754066054594E-2</v>
          </cell>
          <cell r="G571">
            <v>6.5842737319716266E-2</v>
          </cell>
        </row>
        <row r="572">
          <cell r="B572" t="str">
            <v>RHNS-CHPNGA</v>
          </cell>
          <cell r="C572" t="str">
            <v>VAR_ncap</v>
          </cell>
          <cell r="D572" t="str">
            <v>-</v>
          </cell>
          <cell r="F572">
            <v>8.1944519475969202E-4</v>
          </cell>
        </row>
        <row r="573">
          <cell r="B573" t="str">
            <v>RHNS-CHPNGA</v>
          </cell>
          <cell r="C573" t="str">
            <v>VAR_cap</v>
          </cell>
          <cell r="D573" t="str">
            <v>-</v>
          </cell>
          <cell r="F573">
            <v>8.1944519475969202E-4</v>
          </cell>
          <cell r="G573">
            <v>8.1936981760555078E-4</v>
          </cell>
          <cell r="H573">
            <v>8.1845212527702769E-4</v>
          </cell>
        </row>
        <row r="574">
          <cell r="B574" t="str">
            <v>ENUC_BEZ</v>
          </cell>
          <cell r="C574" t="str">
            <v>VAR_fout</v>
          </cell>
          <cell r="D574" t="str">
            <v>ELC</v>
          </cell>
          <cell r="E574">
            <v>20.224825435548158</v>
          </cell>
          <cell r="F574">
            <v>20.224546329288522</v>
          </cell>
          <cell r="G574">
            <v>13.566215158609351</v>
          </cell>
          <cell r="H574">
            <v>7.3988410261024553</v>
          </cell>
        </row>
        <row r="575">
          <cell r="B575" t="str">
            <v>ENUC_BEZ</v>
          </cell>
          <cell r="C575" t="str">
            <v>VAR_fin</v>
          </cell>
          <cell r="D575" t="str">
            <v>URN</v>
          </cell>
          <cell r="E575">
            <v>60.972171706140479</v>
          </cell>
          <cell r="F575">
            <v>60.971330279110965</v>
          </cell>
          <cell r="G575">
            <v>40.898330751439516</v>
          </cell>
          <cell r="H575">
            <v>22.305428885286606</v>
          </cell>
        </row>
        <row r="576">
          <cell r="B576" t="str">
            <v>ENUC_BEZ</v>
          </cell>
          <cell r="C576" t="str">
            <v>VAR_cap</v>
          </cell>
          <cell r="D576" t="str">
            <v>-</v>
          </cell>
          <cell r="E576">
            <v>0.72999936923762698</v>
          </cell>
          <cell r="F576">
            <v>0.72999495896604605</v>
          </cell>
          <cell r="G576">
            <v>0.48967780183493492</v>
          </cell>
          <cell r="H576">
            <v>0.26706591318493578</v>
          </cell>
        </row>
        <row r="577">
          <cell r="B577" t="str">
            <v>RHNM-CHPWOD</v>
          </cell>
          <cell r="C577" t="str">
            <v>VAR_ncap</v>
          </cell>
          <cell r="D577" t="str">
            <v>-</v>
          </cell>
          <cell r="H577">
            <v>1.2309834003820799E-4</v>
          </cell>
        </row>
        <row r="578">
          <cell r="B578" t="str">
            <v>RHNM-CHPWOD</v>
          </cell>
          <cell r="C578" t="str">
            <v>VAR_cap</v>
          </cell>
          <cell r="D578" t="str">
            <v>-</v>
          </cell>
          <cell r="H578">
            <v>1.2309834003820799E-4</v>
          </cell>
        </row>
        <row r="579">
          <cell r="B579" t="str">
            <v>RHNM-SHSTG-CHPNGA</v>
          </cell>
          <cell r="C579" t="str">
            <v>VAR_fout</v>
          </cell>
          <cell r="D579" t="str">
            <v>AUX_RNM-CHPNGA_OUT</v>
          </cell>
          <cell r="E579">
            <v>3.9056059625537857E-3</v>
          </cell>
          <cell r="F579">
            <v>5.9457915194215073E-3</v>
          </cell>
          <cell r="G579">
            <v>3.3695645132567981E-2</v>
          </cell>
          <cell r="H579">
            <v>2.0738225255054459E-3</v>
          </cell>
        </row>
        <row r="580">
          <cell r="B580" t="str">
            <v>RHNM-SHSTG-CHPNGA</v>
          </cell>
          <cell r="C580" t="str">
            <v>VAR_fout</v>
          </cell>
          <cell r="D580" t="str">
            <v>RHNM_LTH_CHPNGA</v>
          </cell>
          <cell r="E580">
            <v>3.9056059625537745E-3</v>
          </cell>
          <cell r="F580">
            <v>5.9497553804344471E-3</v>
          </cell>
          <cell r="G580">
            <v>3.373074476291435E-2</v>
          </cell>
          <cell r="H580">
            <v>2.0738225255054459E-3</v>
          </cell>
        </row>
        <row r="581">
          <cell r="B581" t="str">
            <v>RHNM-SHSTG-CHPNGA</v>
          </cell>
          <cell r="C581" t="str">
            <v>VAR_fin</v>
          </cell>
          <cell r="D581" t="str">
            <v>AUX_RNM-CHPNGA_IN</v>
          </cell>
          <cell r="E581">
            <v>2.9730319000925384E-3</v>
          </cell>
          <cell r="F581">
            <v>7.8344443617102393E-3</v>
          </cell>
          <cell r="G581">
            <v>4.3575911380758559E-2</v>
          </cell>
          <cell r="H581">
            <v>1.6226877489335159E-3</v>
          </cell>
        </row>
        <row r="582">
          <cell r="B582" t="str">
            <v>RHNM-SHSTG-CHPNGA</v>
          </cell>
          <cell r="C582" t="str">
            <v>VAR_fin</v>
          </cell>
          <cell r="D582" t="str">
            <v>RHNM_LTH_CHPNGA</v>
          </cell>
          <cell r="E582">
            <v>2.9730319000925384E-3</v>
          </cell>
          <cell r="F582">
            <v>7.8344443617102393E-3</v>
          </cell>
          <cell r="G582">
            <v>4.3575911380758559E-2</v>
          </cell>
          <cell r="H582">
            <v>1.6226877489335159E-3</v>
          </cell>
        </row>
        <row r="583">
          <cell r="B583" t="str">
            <v>RHNM-SHSTG-CHPNGA</v>
          </cell>
          <cell r="C583" t="str">
            <v>VAR_ncap</v>
          </cell>
          <cell r="D583" t="str">
            <v>-</v>
          </cell>
          <cell r="E583">
            <v>5.5193987800917901E-2</v>
          </cell>
          <cell r="F583">
            <v>1.9909067828594801E-3</v>
          </cell>
          <cell r="G583">
            <v>1.0182548413253301E-3</v>
          </cell>
          <cell r="H583">
            <v>4.9472694493353498E-4</v>
          </cell>
        </row>
        <row r="584">
          <cell r="B584" t="str">
            <v>RHNM-SHSTG-CHPNGA</v>
          </cell>
          <cell r="C584" t="str">
            <v>VAR_cap</v>
          </cell>
          <cell r="D584" t="str">
            <v>-</v>
          </cell>
          <cell r="E584">
            <v>5.5193987800917901E-2</v>
          </cell>
          <cell r="F584">
            <v>5.7084225168616651E-2</v>
          </cell>
          <cell r="G584">
            <v>5.7731645915013258E-2</v>
          </cell>
          <cell r="H584">
            <v>5.5565768723573321E-2</v>
          </cell>
        </row>
        <row r="585">
          <cell r="B585" t="str">
            <v>CT_CWODBDS</v>
          </cell>
          <cell r="C585" t="str">
            <v>VAR_fout</v>
          </cell>
          <cell r="D585" t="str">
            <v>BDS</v>
          </cell>
          <cell r="E585">
            <v>0.13920514596278311</v>
          </cell>
          <cell r="F585">
            <v>1.2028627611103246</v>
          </cell>
          <cell r="G585">
            <v>1.2012468494261463</v>
          </cell>
          <cell r="H585">
            <v>2.0055232869130191E-2</v>
          </cell>
        </row>
        <row r="586">
          <cell r="B586" t="str">
            <v>CT_CWODBDS</v>
          </cell>
          <cell r="C586" t="str">
            <v>VAR_fout</v>
          </cell>
          <cell r="D586" t="str">
            <v>LTH</v>
          </cell>
          <cell r="E586">
            <v>5.429000692548535E-2</v>
          </cell>
          <cell r="F586">
            <v>0.46911647683302599</v>
          </cell>
          <cell r="G586">
            <v>0.46848627127619663</v>
          </cell>
          <cell r="H586">
            <v>7.8215408189607639E-3</v>
          </cell>
        </row>
        <row r="587">
          <cell r="B587" t="str">
            <v>CT_CWODBDS</v>
          </cell>
          <cell r="C587" t="str">
            <v>VAR_fin</v>
          </cell>
          <cell r="D587" t="str">
            <v>CWOD</v>
          </cell>
          <cell r="E587">
            <v>0.39666506342095031</v>
          </cell>
          <cell r="F587">
            <v>3.4275574377838676</v>
          </cell>
          <cell r="G587">
            <v>3.4229528974398034</v>
          </cell>
          <cell r="H587">
            <v>5.7147386060586461E-2</v>
          </cell>
        </row>
        <row r="588">
          <cell r="B588" t="str">
            <v>CT_CWODBDS</v>
          </cell>
          <cell r="C588" t="str">
            <v>VAR_fin</v>
          </cell>
          <cell r="D588" t="str">
            <v>CELC</v>
          </cell>
          <cell r="E588">
            <v>9.6747576444134228E-3</v>
          </cell>
          <cell r="F588">
            <v>8.3598961897167479E-2</v>
          </cell>
          <cell r="G588">
            <v>8.3486656035117041E-2</v>
          </cell>
          <cell r="H588">
            <v>1.3938386844045481E-3</v>
          </cell>
        </row>
        <row r="589">
          <cell r="B589" t="str">
            <v>CT_CWODBDS</v>
          </cell>
          <cell r="C589" t="str">
            <v>VAR_ncap</v>
          </cell>
          <cell r="D589" t="str">
            <v>-</v>
          </cell>
          <cell r="E589">
            <v>1.5317256403648201E-5</v>
          </cell>
          <cell r="F589">
            <v>4.8524294647227398E-6</v>
          </cell>
          <cell r="G589">
            <v>2.0768275224184099E-5</v>
          </cell>
          <cell r="H589">
            <v>7.6793403797711493E-6</v>
          </cell>
        </row>
        <row r="590">
          <cell r="B590" t="str">
            <v>CT_CWODBDS</v>
          </cell>
          <cell r="C590" t="str">
            <v>VAR_cap</v>
          </cell>
          <cell r="D590" t="str">
            <v>-</v>
          </cell>
          <cell r="E590">
            <v>6.2414620691383371E-2</v>
          </cell>
          <cell r="F590">
            <v>6.2409584697077226E-2</v>
          </cell>
          <cell r="G590">
            <v>6.2309309925621462E-2</v>
          </cell>
          <cell r="H590">
            <v>1.5724493680443277E-3</v>
          </cell>
        </row>
        <row r="591">
          <cell r="B591" t="str">
            <v>RHNS-EBAT</v>
          </cell>
          <cell r="C591" t="str">
            <v>VAR_fout</v>
          </cell>
          <cell r="D591" t="str">
            <v>RHNS_ELC</v>
          </cell>
          <cell r="E591">
            <v>2.5626986746444574E-2</v>
          </cell>
          <cell r="F591">
            <v>2.5690899291793832E-2</v>
          </cell>
          <cell r="G591">
            <v>0.14283220307770636</v>
          </cell>
          <cell r="H591">
            <v>0.40899024431534775</v>
          </cell>
        </row>
        <row r="592">
          <cell r="B592" t="str">
            <v>RHNS-EBAT</v>
          </cell>
          <cell r="C592" t="str">
            <v>VAR_fout</v>
          </cell>
          <cell r="D592" t="str">
            <v>AUX_RHNS-EBAT_OUT</v>
          </cell>
          <cell r="E592">
            <v>2.5626986746444601E-2</v>
          </cell>
          <cell r="F592">
            <v>2.5690899291793853E-2</v>
          </cell>
          <cell r="G592">
            <v>0.14283220307770658</v>
          </cell>
          <cell r="H592">
            <v>0.40899024431534797</v>
          </cell>
        </row>
        <row r="593">
          <cell r="B593" t="str">
            <v>RHNS-EBAT</v>
          </cell>
          <cell r="C593" t="str">
            <v>VAR_fin</v>
          </cell>
          <cell r="D593" t="str">
            <v>RHNS_ELC</v>
          </cell>
          <cell r="E593">
            <v>2.8456359704548351E-2</v>
          </cell>
          <cell r="F593">
            <v>2.8514309579530592E-2</v>
          </cell>
          <cell r="G593">
            <v>0.1579707069950162</v>
          </cell>
          <cell r="H593">
            <v>0.45230207593171767</v>
          </cell>
        </row>
        <row r="594">
          <cell r="B594" t="str">
            <v>RHNS-EBAT</v>
          </cell>
          <cell r="C594" t="str">
            <v>VAR_fin</v>
          </cell>
          <cell r="D594" t="str">
            <v>AUX_RHNS-EBAT_IN</v>
          </cell>
          <cell r="E594">
            <v>2.8456359704548351E-2</v>
          </cell>
          <cell r="F594">
            <v>2.8514309579530592E-2</v>
          </cell>
          <cell r="G594">
            <v>0.1579707069950162</v>
          </cell>
          <cell r="H594">
            <v>0.45230207593171767</v>
          </cell>
        </row>
        <row r="595">
          <cell r="B595" t="str">
            <v>RHNS-EBAT</v>
          </cell>
          <cell r="C595" t="str">
            <v>VAR_ncap</v>
          </cell>
          <cell r="D595" t="str">
            <v>-</v>
          </cell>
          <cell r="E595">
            <v>1.05880932235865E-2</v>
          </cell>
          <cell r="F595">
            <v>2.1620006733737299E-5</v>
          </cell>
          <cell r="G595">
            <v>6.5961929170929107E-2</v>
          </cell>
          <cell r="H595">
            <v>9.3813264764814802E-2</v>
          </cell>
        </row>
        <row r="596">
          <cell r="B596" t="str">
            <v>RHNS-EBAT</v>
          </cell>
          <cell r="C596" t="str">
            <v>VAR_cap</v>
          </cell>
          <cell r="D596" t="str">
            <v>-</v>
          </cell>
          <cell r="E596">
            <v>1.0590198734133891E-2</v>
          </cell>
          <cell r="F596">
            <v>1.0606440465077574E-2</v>
          </cell>
          <cell r="G596">
            <v>7.6558514931930888E-2</v>
          </cell>
          <cell r="H596">
            <v>0.16752439834944019</v>
          </cell>
        </row>
        <row r="597">
          <cell r="B597" t="str">
            <v>G-INTC-EXP00-AT</v>
          </cell>
          <cell r="C597" t="str">
            <v>VAR_fout</v>
          </cell>
          <cell r="D597" t="str">
            <v>ELC_E-AT</v>
          </cell>
          <cell r="E597">
            <v>6.2296562858476987</v>
          </cell>
          <cell r="F597">
            <v>1.5931736788436374E-2</v>
          </cell>
          <cell r="G597">
            <v>2.0913411592458787E-2</v>
          </cell>
          <cell r="H597">
            <v>3.8060721036487187E-3</v>
          </cell>
        </row>
        <row r="598">
          <cell r="B598" t="str">
            <v>G-INTC-EXP00-AT</v>
          </cell>
          <cell r="C598" t="str">
            <v>VAR_fin</v>
          </cell>
          <cell r="D598" t="str">
            <v>ELC</v>
          </cell>
          <cell r="E598">
            <v>6.2296562858476987</v>
          </cell>
          <cell r="F598">
            <v>1.5931736788436374E-2</v>
          </cell>
          <cell r="G598">
            <v>2.0913411592458787E-2</v>
          </cell>
          <cell r="H598">
            <v>3.8060721036487187E-3</v>
          </cell>
        </row>
        <row r="599">
          <cell r="B599" t="str">
            <v>G-INTC-EXP00-AT</v>
          </cell>
          <cell r="C599" t="str">
            <v>VAR_ncap</v>
          </cell>
          <cell r="D599" t="str">
            <v>-</v>
          </cell>
          <cell r="E599">
            <v>2.3199192767342202E-5</v>
          </cell>
          <cell r="F599">
            <v>2.57349684696265E-5</v>
          </cell>
          <cell r="G599">
            <v>4.8132935711398399E-5</v>
          </cell>
          <cell r="H599">
            <v>3.1005336534215201E-5</v>
          </cell>
        </row>
        <row r="600">
          <cell r="B600" t="str">
            <v>G-INTC-EXP00-AT</v>
          </cell>
          <cell r="C600" t="str">
            <v>VAR_cap</v>
          </cell>
          <cell r="D600" t="str">
            <v>-</v>
          </cell>
          <cell r="E600">
            <v>0.25054161891014093</v>
          </cell>
          <cell r="F600">
            <v>9.680136813069895E-3</v>
          </cell>
          <cell r="G600">
            <v>9.54947133923989E-3</v>
          </cell>
          <cell r="H600">
            <v>9.5007772504103194E-3</v>
          </cell>
        </row>
        <row r="601">
          <cell r="B601" t="str">
            <v>G-INTC-IMP00-DE</v>
          </cell>
          <cell r="C601" t="str">
            <v>VAR_fout</v>
          </cell>
          <cell r="D601" t="str">
            <v>ELC</v>
          </cell>
          <cell r="E601">
            <v>46.3985156408202</v>
          </cell>
          <cell r="F601">
            <v>28.265630226990357</v>
          </cell>
          <cell r="G601">
            <v>23.333218548066622</v>
          </cell>
          <cell r="H601">
            <v>32.107053704417403</v>
          </cell>
        </row>
        <row r="602">
          <cell r="B602" t="str">
            <v>G-INTC-IMP00-DE</v>
          </cell>
          <cell r="C602" t="str">
            <v>VAR_fin</v>
          </cell>
          <cell r="D602" t="str">
            <v>ELC_I-DE</v>
          </cell>
          <cell r="E602">
            <v>46.3985156408202</v>
          </cell>
          <cell r="F602">
            <v>28.265630226990357</v>
          </cell>
          <cell r="G602">
            <v>23.333218548066622</v>
          </cell>
          <cell r="H602">
            <v>32.107053704417403</v>
          </cell>
        </row>
        <row r="603">
          <cell r="B603" t="str">
            <v>G-INTC-IMP00-DE</v>
          </cell>
          <cell r="C603" t="str">
            <v>VAR_ncap</v>
          </cell>
          <cell r="D603" t="str">
            <v>-</v>
          </cell>
          <cell r="E603">
            <v>3.3563640771879401E-5</v>
          </cell>
          <cell r="F603">
            <v>2.9490123997003201E-5</v>
          </cell>
          <cell r="G603">
            <v>3.5879279221236701E-5</v>
          </cell>
          <cell r="H603">
            <v>4.1808408458532402E-5</v>
          </cell>
        </row>
        <row r="604">
          <cell r="B604" t="str">
            <v>G-INTC-IMP00-DE</v>
          </cell>
          <cell r="C604" t="str">
            <v>VAR_cap</v>
          </cell>
          <cell r="D604" t="str">
            <v>-</v>
          </cell>
          <cell r="E604">
            <v>2.1429703146066901</v>
          </cell>
          <cell r="F604">
            <v>2.1409727207526501</v>
          </cell>
          <cell r="G604">
            <v>2.1408115064498503</v>
          </cell>
          <cell r="H604">
            <v>2.1407520302579668</v>
          </cell>
        </row>
        <row r="605">
          <cell r="B605" t="str">
            <v>RHEM-SHSTG-CHPWOD</v>
          </cell>
          <cell r="C605" t="str">
            <v>VAR_fout</v>
          </cell>
          <cell r="D605" t="str">
            <v>AUX_REM-CHPWOD_OUT</v>
          </cell>
          <cell r="E605">
            <v>3.9054481809102969E-3</v>
          </cell>
          <cell r="F605">
            <v>2.1301813033081794E-3</v>
          </cell>
          <cell r="G605">
            <v>1.1657336845527239E-3</v>
          </cell>
          <cell r="H605">
            <v>2.0737959937284409E-3</v>
          </cell>
        </row>
        <row r="606">
          <cell r="B606" t="str">
            <v>RHEM-SHSTG-CHPWOD</v>
          </cell>
          <cell r="C606" t="str">
            <v>VAR_fout</v>
          </cell>
          <cell r="D606" t="str">
            <v>RHEM_LTH_CHPWOD</v>
          </cell>
          <cell r="E606">
            <v>3.9054481809102874E-3</v>
          </cell>
          <cell r="F606">
            <v>2.1316014241770475E-3</v>
          </cell>
          <cell r="G606">
            <v>1.1669479904741317E-3</v>
          </cell>
          <cell r="H606">
            <v>2.0737959937284409E-3</v>
          </cell>
        </row>
        <row r="607">
          <cell r="B607" t="str">
            <v>RHEM-SHSTG-CHPWOD</v>
          </cell>
          <cell r="C607" t="str">
            <v>VAR_fin</v>
          </cell>
          <cell r="D607" t="str">
            <v>AUX_REM-CHPWOD_IN</v>
          </cell>
          <cell r="E607">
            <v>2.972821524552631E-3</v>
          </cell>
          <cell r="F607">
            <v>1.5680201513993256E-3</v>
          </cell>
          <cell r="G607">
            <v>9.2539181328800705E-4</v>
          </cell>
          <cell r="H607">
            <v>1.6226539740501781E-3</v>
          </cell>
        </row>
        <row r="608">
          <cell r="B608" t="str">
            <v>RHEM-SHSTG-CHPWOD</v>
          </cell>
          <cell r="C608" t="str">
            <v>VAR_fin</v>
          </cell>
          <cell r="D608" t="str">
            <v>RHEM_LTH_CHPWOD</v>
          </cell>
          <cell r="E608">
            <v>2.972821524552631E-3</v>
          </cell>
          <cell r="F608">
            <v>1.5680201513993256E-3</v>
          </cell>
          <cell r="G608">
            <v>9.2539181328800705E-4</v>
          </cell>
          <cell r="H608">
            <v>1.6226539740501781E-3</v>
          </cell>
        </row>
        <row r="609">
          <cell r="B609" t="str">
            <v>RHEM-SHSTG-CHPWOD</v>
          </cell>
          <cell r="C609" t="str">
            <v>VAR_ncap</v>
          </cell>
          <cell r="D609" t="str">
            <v>-</v>
          </cell>
          <cell r="E609">
            <v>3.8323682551677798E-2</v>
          </cell>
          <cell r="F609">
            <v>9.5992135195716998E-4</v>
          </cell>
          <cell r="G609">
            <v>9.5894178819439695E-4</v>
          </cell>
          <cell r="H609">
            <v>6.8084826936904905E-4</v>
          </cell>
        </row>
        <row r="610">
          <cell r="B610" t="str">
            <v>RHEM-SHSTG-CHPWOD</v>
          </cell>
          <cell r="C610" t="str">
            <v>VAR_cap</v>
          </cell>
          <cell r="D610" t="str">
            <v>-</v>
          </cell>
          <cell r="E610">
            <v>3.8323682551677798E-2</v>
          </cell>
          <cell r="F610">
            <v>3.9153601989167688E-2</v>
          </cell>
          <cell r="G610">
            <v>3.9674672685921938E-2</v>
          </cell>
          <cell r="H610">
            <v>3.9442672628832269E-2</v>
          </cell>
        </row>
        <row r="611">
          <cell r="B611" t="str">
            <v>G-INTC-EXP00-FR</v>
          </cell>
          <cell r="C611" t="str">
            <v>VAR_fout</v>
          </cell>
          <cell r="D611" t="str">
            <v>ELC_E-FR</v>
          </cell>
          <cell r="E611">
            <v>12.753444394505104</v>
          </cell>
          <cell r="F611">
            <v>1.3559253697069708E-2</v>
          </cell>
          <cell r="G611">
            <v>1.4263996112231685E-2</v>
          </cell>
          <cell r="H611">
            <v>6.9464090622277999E-3</v>
          </cell>
        </row>
        <row r="612">
          <cell r="B612" t="str">
            <v>G-INTC-EXP00-FR</v>
          </cell>
          <cell r="C612" t="str">
            <v>VAR_fin</v>
          </cell>
          <cell r="D612" t="str">
            <v>ELC</v>
          </cell>
          <cell r="E612">
            <v>12.753444394505104</v>
          </cell>
          <cell r="F612">
            <v>1.3559253697069708E-2</v>
          </cell>
          <cell r="G612">
            <v>1.4263996112231685E-2</v>
          </cell>
          <cell r="H612">
            <v>6.9464090622277999E-3</v>
          </cell>
        </row>
        <row r="613">
          <cell r="B613" t="str">
            <v>G-INTC-EXP00-FR</v>
          </cell>
          <cell r="C613" t="str">
            <v>VAR_ncap</v>
          </cell>
          <cell r="D613" t="str">
            <v>-</v>
          </cell>
          <cell r="E613">
            <v>3.0503017133107002E-5</v>
          </cell>
          <cell r="F613">
            <v>2.69062636087893E-5</v>
          </cell>
          <cell r="G613">
            <v>4.9393620365216303E-5</v>
          </cell>
          <cell r="H613">
            <v>8.8588504146535805E-4</v>
          </cell>
        </row>
        <row r="614">
          <cell r="B614" t="str">
            <v>G-INTC-EXP00-FR</v>
          </cell>
          <cell r="C614" t="str">
            <v>VAR_cap</v>
          </cell>
          <cell r="D614" t="str">
            <v>-</v>
          </cell>
          <cell r="E614">
            <v>1.2998903917557967</v>
          </cell>
          <cell r="F614">
            <v>2.1275577114650002E-2</v>
          </cell>
          <cell r="G614">
            <v>2.1220686531170152E-2</v>
          </cell>
          <cell r="H614">
            <v>2.1188615974602421E-2</v>
          </cell>
        </row>
        <row r="615">
          <cell r="B615" t="str">
            <v>RHNM-EBAT</v>
          </cell>
          <cell r="C615" t="str">
            <v>VAR_fout</v>
          </cell>
          <cell r="D615" t="str">
            <v>RHNM_ELC</v>
          </cell>
          <cell r="E615">
            <v>2.3255840946931929E-2</v>
          </cell>
          <cell r="F615">
            <v>2.331568338757049E-2</v>
          </cell>
          <cell r="G615">
            <v>4.4670522325057908E-2</v>
          </cell>
          <cell r="H615">
            <v>4.5858800303196987E-2</v>
          </cell>
        </row>
        <row r="616">
          <cell r="B616" t="str">
            <v>RHNM-EBAT</v>
          </cell>
          <cell r="C616" t="str">
            <v>VAR_fout</v>
          </cell>
          <cell r="D616" t="str">
            <v>AUX_RHNM-EBAT_OUT</v>
          </cell>
          <cell r="E616">
            <v>2.3255840946931949E-2</v>
          </cell>
          <cell r="F616">
            <v>2.3315683387570518E-2</v>
          </cell>
          <cell r="G616">
            <v>4.4670522325057957E-2</v>
          </cell>
          <cell r="H616">
            <v>4.5858800303197049E-2</v>
          </cell>
        </row>
        <row r="617">
          <cell r="B617" t="str">
            <v>RHNM-EBAT</v>
          </cell>
          <cell r="C617" t="str">
            <v>VAR_fin</v>
          </cell>
          <cell r="D617" t="str">
            <v>RHNM_ELC</v>
          </cell>
          <cell r="E617">
            <v>2.5834193037824818E-2</v>
          </cell>
          <cell r="F617">
            <v>2.5887641927292388E-2</v>
          </cell>
          <cell r="G617">
            <v>4.9417058574872857E-2</v>
          </cell>
          <cell r="H617">
            <v>5.0727795546664442E-2</v>
          </cell>
        </row>
        <row r="618">
          <cell r="B618" t="str">
            <v>RHNM-EBAT</v>
          </cell>
          <cell r="C618" t="str">
            <v>VAR_fin</v>
          </cell>
          <cell r="D618" t="str">
            <v>AUX_RHNM-EBAT_IN</v>
          </cell>
          <cell r="E618">
            <v>2.5834193037824818E-2</v>
          </cell>
          <cell r="F618">
            <v>2.5887641927292388E-2</v>
          </cell>
          <cell r="G618">
            <v>4.9417058574872857E-2</v>
          </cell>
          <cell r="H618">
            <v>5.0727795546664442E-2</v>
          </cell>
        </row>
        <row r="619">
          <cell r="B619" t="str">
            <v>RHNM-EBAT</v>
          </cell>
          <cell r="C619" t="str">
            <v>VAR_ncap</v>
          </cell>
          <cell r="D619" t="str">
            <v>-</v>
          </cell>
          <cell r="E619">
            <v>9.5987165957651093E-3</v>
          </cell>
          <cell r="F619">
            <v>1.7474198470808201E-5</v>
          </cell>
          <cell r="G619">
            <v>8.7641741502133708E-3</v>
          </cell>
          <cell r="H619">
            <v>2.98465487247449E-3</v>
          </cell>
        </row>
        <row r="620">
          <cell r="B620" t="str">
            <v>RHNM-EBAT</v>
          </cell>
          <cell r="C620" t="str">
            <v>VAR_cap</v>
          </cell>
          <cell r="D620" t="str">
            <v>-</v>
          </cell>
          <cell r="E620">
            <v>9.60082019317904E-3</v>
          </cell>
          <cell r="F620">
            <v>9.6128173699019624E-3</v>
          </cell>
          <cell r="G620">
            <v>1.8364964742929427E-2</v>
          </cell>
          <cell r="H620">
            <v>1.8769142708727607E-2</v>
          </cell>
        </row>
        <row r="621">
          <cell r="B621" t="str">
            <v>ITOT-CHPWST</v>
          </cell>
          <cell r="C621" t="str">
            <v>VAR_fout</v>
          </cell>
          <cell r="D621" t="str">
            <v>ITOT_LTH_CHP</v>
          </cell>
          <cell r="E621">
            <v>1.9356600170775753</v>
          </cell>
          <cell r="F621">
            <v>1.9671878820404487</v>
          </cell>
          <cell r="G621">
            <v>9.6382372040252254E-2</v>
          </cell>
          <cell r="H621">
            <v>9.748796287784349E-2</v>
          </cell>
        </row>
        <row r="622">
          <cell r="B622" t="str">
            <v>ITOT-CHPWST</v>
          </cell>
          <cell r="C622" t="str">
            <v>VAR_fout</v>
          </cell>
          <cell r="D622" t="str">
            <v>ITOT_KEV_WST_ELC_CHP</v>
          </cell>
          <cell r="E622">
            <v>0.23014468712349984</v>
          </cell>
          <cell r="F622">
            <v>0.24358250636368389</v>
          </cell>
          <cell r="G622">
            <v>1.2725045049717524E-2</v>
          </cell>
          <cell r="H622">
            <v>1.446874655622681E-2</v>
          </cell>
        </row>
        <row r="623">
          <cell r="B623" t="str">
            <v>ITOT-CHPWST</v>
          </cell>
          <cell r="C623" t="str">
            <v>VAR_fout</v>
          </cell>
          <cell r="D623" t="str">
            <v>CO2_I</v>
          </cell>
          <cell r="E623">
            <v>344.47952911212599</v>
          </cell>
          <cell r="F623">
            <v>364.70545803169802</v>
          </cell>
          <cell r="G623">
            <v>19.054924548214</v>
          </cell>
          <cell r="H623">
            <v>21.666003763362099</v>
          </cell>
        </row>
        <row r="624">
          <cell r="B624" t="str">
            <v>ITOT-CHPWST</v>
          </cell>
          <cell r="C624" t="str">
            <v>VAR_fin</v>
          </cell>
          <cell r="D624" t="str">
            <v>IWST</v>
          </cell>
          <cell r="E624">
            <v>3.7120638912944655</v>
          </cell>
          <cell r="F624">
            <v>3.9300157115484753</v>
          </cell>
          <cell r="G624">
            <v>0.20533323866609896</v>
          </cell>
          <cell r="H624">
            <v>0.23346986813967852</v>
          </cell>
        </row>
        <row r="625">
          <cell r="B625" t="str">
            <v>ITOT-CHPWST</v>
          </cell>
          <cell r="C625" t="str">
            <v>VAR_ncap</v>
          </cell>
          <cell r="D625" t="str">
            <v>-</v>
          </cell>
          <cell r="F625">
            <v>6.5538495284263599E-6</v>
          </cell>
          <cell r="G625">
            <v>2.8977592202434901E-6</v>
          </cell>
          <cell r="H625">
            <v>1.1165389637362701E-5</v>
          </cell>
        </row>
        <row r="626">
          <cell r="B626" t="str">
            <v>ITOT-CHPWST</v>
          </cell>
          <cell r="C626" t="str">
            <v>VAR_cap</v>
          </cell>
          <cell r="D626" t="str">
            <v>-</v>
          </cell>
          <cell r="E626">
            <v>4.0001951834753802E-2</v>
          </cell>
          <cell r="F626">
            <v>1.0543202720331026E-2</v>
          </cell>
          <cell r="G626">
            <v>4.779181618425471E-3</v>
          </cell>
          <cell r="H626">
            <v>4.287235883088731E-3</v>
          </cell>
        </row>
        <row r="627">
          <cell r="B627" t="str">
            <v>CAES-EBAT</v>
          </cell>
          <cell r="C627" t="str">
            <v>VAR_fout</v>
          </cell>
          <cell r="D627" t="str">
            <v>ELC13</v>
          </cell>
          <cell r="E627">
            <v>9.9717135625453548E-2</v>
          </cell>
          <cell r="F627">
            <v>4.6896170324756133E-2</v>
          </cell>
          <cell r="G627">
            <v>6.7124356785342967E-2</v>
          </cell>
          <cell r="H627">
            <v>9.463092686678605E-2</v>
          </cell>
        </row>
        <row r="628">
          <cell r="B628" t="str">
            <v>CAES-EBAT</v>
          </cell>
          <cell r="C628" t="str">
            <v>VAR_fout</v>
          </cell>
          <cell r="D628" t="str">
            <v>AUX_CAES_OUT</v>
          </cell>
          <cell r="E628">
            <v>9.9717135625453451E-2</v>
          </cell>
          <cell r="F628">
            <v>4.6896170324756077E-2</v>
          </cell>
          <cell r="G628">
            <v>6.7124356785342898E-2</v>
          </cell>
          <cell r="H628">
            <v>9.4630926866785939E-2</v>
          </cell>
        </row>
        <row r="629">
          <cell r="B629" t="str">
            <v>CAES-EBAT</v>
          </cell>
          <cell r="C629" t="str">
            <v>VAR_fin</v>
          </cell>
          <cell r="D629" t="str">
            <v>ELC13</v>
          </cell>
          <cell r="E629">
            <v>0.14259270360686971</v>
          </cell>
          <cell r="F629">
            <v>6.7111088028825455E-2</v>
          </cell>
          <cell r="G629">
            <v>9.591150856597179E-2</v>
          </cell>
          <cell r="H629">
            <v>0.13523474292896367</v>
          </cell>
        </row>
        <row r="630">
          <cell r="B630" t="str">
            <v>CAES-EBAT</v>
          </cell>
          <cell r="C630" t="str">
            <v>VAR_fin</v>
          </cell>
          <cell r="D630" t="str">
            <v>AUX_CAES_IN</v>
          </cell>
          <cell r="E630">
            <v>0.14259270360686971</v>
          </cell>
          <cell r="F630">
            <v>6.7111088028825455E-2</v>
          </cell>
          <cell r="G630">
            <v>9.591150856597179E-2</v>
          </cell>
          <cell r="H630">
            <v>0.13523474292896367</v>
          </cell>
        </row>
        <row r="631">
          <cell r="B631" t="str">
            <v>CAES-EBAT</v>
          </cell>
          <cell r="C631" t="str">
            <v>VAR_ncap</v>
          </cell>
          <cell r="D631" t="str">
            <v>-</v>
          </cell>
          <cell r="F631">
            <v>9.8710089689859603E-6</v>
          </cell>
          <cell r="G631">
            <v>1.01942253928081E-5</v>
          </cell>
          <cell r="H631">
            <v>9.7242591239973706E-6</v>
          </cell>
        </row>
        <row r="632">
          <cell r="B632" t="str">
            <v>CAES-EBAT</v>
          </cell>
          <cell r="C632" t="str">
            <v>VAR_cap</v>
          </cell>
          <cell r="D632" t="str">
            <v>-</v>
          </cell>
          <cell r="E632">
            <v>0.1</v>
          </cell>
          <cell r="F632">
            <v>9.997276009901121E-2</v>
          </cell>
          <cell r="G632">
            <v>9.9969443633639521E-2</v>
          </cell>
          <cell r="H632">
            <v>9.997017813003288E-2</v>
          </cell>
        </row>
        <row r="633">
          <cell r="B633" t="str">
            <v>HPLSOL</v>
          </cell>
          <cell r="C633" t="str">
            <v>VAR_fout</v>
          </cell>
          <cell r="D633" t="str">
            <v>LTH</v>
          </cell>
          <cell r="H633">
            <v>1.2798217833901015E-3</v>
          </cell>
        </row>
        <row r="634">
          <cell r="B634" t="str">
            <v>HPLSOL</v>
          </cell>
          <cell r="C634" t="str">
            <v>VAR_fin</v>
          </cell>
          <cell r="D634" t="str">
            <v>SOL</v>
          </cell>
          <cell r="H634">
            <v>1.2798217833901015E-3</v>
          </cell>
        </row>
        <row r="635">
          <cell r="B635" t="str">
            <v>HPLSOL</v>
          </cell>
          <cell r="C635" t="str">
            <v>VAR_fin</v>
          </cell>
          <cell r="D635" t="str">
            <v>SOLPVC</v>
          </cell>
          <cell r="H635">
            <v>1.2798217833901E-3</v>
          </cell>
        </row>
        <row r="636">
          <cell r="B636" t="str">
            <v>HPLSOL</v>
          </cell>
          <cell r="C636" t="str">
            <v>VAR_ncap</v>
          </cell>
          <cell r="D636" t="str">
            <v>-</v>
          </cell>
          <cell r="H636">
            <v>2.64029368580119E-4</v>
          </cell>
        </row>
        <row r="637">
          <cell r="B637" t="str">
            <v>HPLSOL</v>
          </cell>
          <cell r="C637" t="str">
            <v>VAR_cap</v>
          </cell>
          <cell r="D637" t="str">
            <v>-</v>
          </cell>
          <cell r="H637">
            <v>2.64029368580119E-4</v>
          </cell>
        </row>
        <row r="638">
          <cell r="B638" t="str">
            <v>RHEM-CHPNGA</v>
          </cell>
          <cell r="C638" t="str">
            <v>VAR_fout</v>
          </cell>
          <cell r="D638" t="str">
            <v>CO2_R</v>
          </cell>
          <cell r="E638">
            <v>23.080205764433298</v>
          </cell>
          <cell r="F638">
            <v>2.3539809106699998</v>
          </cell>
          <cell r="G638">
            <v>7.79838475670996</v>
          </cell>
        </row>
        <row r="639">
          <cell r="B639" t="str">
            <v>RHEM-CHPNGA</v>
          </cell>
          <cell r="C639" t="str">
            <v>VAR_fout</v>
          </cell>
          <cell r="D639" t="str">
            <v>RHEM_LTH_CHPNGA</v>
          </cell>
          <cell r="E639">
            <v>0.11441667339215134</v>
          </cell>
          <cell r="F639">
            <v>2.4640826792749652E-2</v>
          </cell>
          <cell r="G639">
            <v>5.5667914655761805E-2</v>
          </cell>
        </row>
        <row r="640">
          <cell r="B640" t="str">
            <v>RHEM-CHPNGA</v>
          </cell>
          <cell r="C640" t="str">
            <v>VAR_fout</v>
          </cell>
          <cell r="D640" t="str">
            <v>RHEM_NKEV_GAS_ELC_CHP</v>
          </cell>
          <cell r="E640">
            <v>5.2667992513847454E-2</v>
          </cell>
          <cell r="F640">
            <v>1.1454113758117206E-2</v>
          </cell>
          <cell r="G640">
            <v>2.6264146285527507E-2</v>
          </cell>
        </row>
        <row r="641">
          <cell r="B641" t="str">
            <v>RHEM-CHPNGA</v>
          </cell>
          <cell r="C641" t="str">
            <v>VAR_fin</v>
          </cell>
          <cell r="D641" t="str">
            <v>RNGA</v>
          </cell>
          <cell r="E641">
            <v>0.40922350646158312</v>
          </cell>
          <cell r="F641">
            <v>4.173725018918438E-2</v>
          </cell>
          <cell r="G641">
            <v>0.13826923327499935</v>
          </cell>
        </row>
        <row r="642">
          <cell r="B642" t="str">
            <v>RHEM-CHPNGA</v>
          </cell>
          <cell r="C642" t="str">
            <v>VAR_ncap</v>
          </cell>
          <cell r="D642" t="str">
            <v>-</v>
          </cell>
          <cell r="F642">
            <v>3.2920601206146901E-6</v>
          </cell>
        </row>
        <row r="643">
          <cell r="B643" t="str">
            <v>RHEM-CHPNGA</v>
          </cell>
          <cell r="C643" t="str">
            <v>VAR_cap</v>
          </cell>
          <cell r="D643" t="str">
            <v>-</v>
          </cell>
          <cell r="E643">
            <v>1.2036453705936865E-2</v>
          </cell>
          <cell r="F643">
            <v>3.4184446638088764E-3</v>
          </cell>
          <cell r="G643">
            <v>3.354731753565706E-3</v>
          </cell>
          <cell r="H643">
            <v>2.0220461491545962E-3</v>
          </cell>
        </row>
        <row r="644">
          <cell r="B644" t="str">
            <v>D-DH2</v>
          </cell>
          <cell r="C644" t="str">
            <v>VAR_fout</v>
          </cell>
          <cell r="D644" t="str">
            <v>H2</v>
          </cell>
          <cell r="H644">
            <v>1.2990698181662011E-4</v>
          </cell>
        </row>
        <row r="645">
          <cell r="B645" t="str">
            <v>D-DH2</v>
          </cell>
          <cell r="C645" t="str">
            <v>VAR_fin</v>
          </cell>
          <cell r="D645" t="str">
            <v>H2_E</v>
          </cell>
          <cell r="H645">
            <v>1.3121917355214154E-4</v>
          </cell>
        </row>
        <row r="646">
          <cell r="B646" t="str">
            <v>D-DH2</v>
          </cell>
          <cell r="C646" t="str">
            <v>VAR_ncap</v>
          </cell>
          <cell r="D646" t="str">
            <v>-</v>
          </cell>
          <cell r="H646">
            <v>7.66403628444295E-4</v>
          </cell>
        </row>
        <row r="647">
          <cell r="B647" t="str">
            <v>D-DH2</v>
          </cell>
          <cell r="C647" t="str">
            <v>VAR_cap</v>
          </cell>
          <cell r="D647" t="str">
            <v>-</v>
          </cell>
          <cell r="H647">
            <v>7.66403628444295E-4</v>
          </cell>
        </row>
        <row r="648">
          <cell r="B648" t="str">
            <v>D-SBIO</v>
          </cell>
          <cell r="C648" t="str">
            <v>VAR_fout</v>
          </cell>
          <cell r="D648" t="str">
            <v>SBIO</v>
          </cell>
          <cell r="E648">
            <v>4.0479078015955148</v>
          </cell>
          <cell r="F648">
            <v>4.5874623138564417</v>
          </cell>
          <cell r="G648">
            <v>3.0613866770378437</v>
          </cell>
          <cell r="H648">
            <v>3.0405769708236456</v>
          </cell>
        </row>
        <row r="649">
          <cell r="B649" t="str">
            <v>D-SBIO</v>
          </cell>
          <cell r="C649" t="str">
            <v>VAR_fin</v>
          </cell>
          <cell r="D649" t="str">
            <v>BIO</v>
          </cell>
          <cell r="E649">
            <v>4.0479078015955148</v>
          </cell>
          <cell r="F649">
            <v>4.5874623138564417</v>
          </cell>
          <cell r="G649">
            <v>3.0613866770378437</v>
          </cell>
          <cell r="H649">
            <v>3.0405769708236456</v>
          </cell>
        </row>
        <row r="650">
          <cell r="B650" t="str">
            <v>SCOM-CHPBIO</v>
          </cell>
          <cell r="C650" t="str">
            <v>VAR_fout</v>
          </cell>
          <cell r="D650" t="str">
            <v>SCOM_LTH_CHPBIO</v>
          </cell>
          <cell r="E650">
            <v>1.4244197113477317</v>
          </cell>
          <cell r="F650">
            <v>1.5790260566022303</v>
          </cell>
          <cell r="G650">
            <v>1.4835438423017189</v>
          </cell>
          <cell r="H650">
            <v>1.3249726680492411</v>
          </cell>
        </row>
        <row r="651">
          <cell r="B651" t="str">
            <v>SCOM-CHPBIO</v>
          </cell>
          <cell r="C651" t="str">
            <v>VAR_fout</v>
          </cell>
          <cell r="D651" t="str">
            <v>SCOM_KEV_BIO_ELC_CHP</v>
          </cell>
          <cell r="E651">
            <v>0.95943960649442961</v>
          </cell>
          <cell r="F651">
            <v>1.1064357631516968</v>
          </cell>
          <cell r="G651">
            <v>1.1064075775951663</v>
          </cell>
          <cell r="H651">
            <v>1.1068242607460734</v>
          </cell>
        </row>
        <row r="652">
          <cell r="B652" t="str">
            <v>SCOM-CHPBIO</v>
          </cell>
          <cell r="C652" t="str">
            <v>VAR_fin</v>
          </cell>
          <cell r="D652" t="str">
            <v>SBIO</v>
          </cell>
          <cell r="E652">
            <v>2.6455257427952419</v>
          </cell>
          <cell r="F652">
            <v>3.0501497583617807</v>
          </cell>
          <cell r="G652">
            <v>3.0613866770378437</v>
          </cell>
          <cell r="H652">
            <v>3.0405769708236456</v>
          </cell>
        </row>
        <row r="653">
          <cell r="B653" t="str">
            <v>SCOM-CHPBIO</v>
          </cell>
          <cell r="C653" t="str">
            <v>VAR_ncap</v>
          </cell>
          <cell r="D653" t="str">
            <v>-</v>
          </cell>
          <cell r="F653">
            <v>2.6269355026159E-2</v>
          </cell>
          <cell r="G653">
            <v>6.6458896458788802E-3</v>
          </cell>
          <cell r="H653">
            <v>1.2345629759013E-2</v>
          </cell>
        </row>
        <row r="654">
          <cell r="B654" t="str">
            <v>SCOM-CHPBIO</v>
          </cell>
          <cell r="C654" t="str">
            <v>VAR_cap</v>
          </cell>
          <cell r="D654" t="str">
            <v>-</v>
          </cell>
          <cell r="E654">
            <v>7.3508874322882001E-2</v>
          </cell>
          <cell r="F654">
            <v>8.4809279494260148E-2</v>
          </cell>
          <cell r="G654">
            <v>8.4799500733820837E-2</v>
          </cell>
          <cell r="H654">
            <v>8.49347801261357E-2</v>
          </cell>
        </row>
        <row r="655">
          <cell r="B655" t="str">
            <v>SCOM-CHPHFC</v>
          </cell>
          <cell r="C655" t="str">
            <v>VAR_fout</v>
          </cell>
          <cell r="D655" t="str">
            <v>SCOM_KEV_HFC_ELC_CHP</v>
          </cell>
          <cell r="H655">
            <v>4.153084339351247E-2</v>
          </cell>
        </row>
        <row r="656">
          <cell r="B656" t="str">
            <v>SCOM-CHPHFC</v>
          </cell>
          <cell r="C656" t="str">
            <v>VAR_fout</v>
          </cell>
          <cell r="D656" t="str">
            <v>SCOM_LTH_CHPHFC</v>
          </cell>
          <cell r="H656">
            <v>3.125742423827519E-2</v>
          </cell>
        </row>
        <row r="657">
          <cell r="B657" t="str">
            <v>SCOM-CHPHFC</v>
          </cell>
          <cell r="C657" t="str">
            <v>VAR_fin</v>
          </cell>
          <cell r="D657" t="str">
            <v>RSH2</v>
          </cell>
          <cell r="H657">
            <v>8.7433354512657865E-2</v>
          </cell>
        </row>
        <row r="658">
          <cell r="B658" t="str">
            <v>SCOM-CHPHFC</v>
          </cell>
          <cell r="C658" t="str">
            <v>VAR_ncap</v>
          </cell>
          <cell r="D658" t="str">
            <v>-</v>
          </cell>
          <cell r="H658">
            <v>2.5823633226281801E-3</v>
          </cell>
        </row>
        <row r="659">
          <cell r="B659" t="str">
            <v>SCOM-CHPHFC</v>
          </cell>
          <cell r="C659" t="str">
            <v>VAR_cap</v>
          </cell>
          <cell r="D659" t="str">
            <v>-</v>
          </cell>
          <cell r="H659">
            <v>2.5823633226281801E-3</v>
          </cell>
        </row>
        <row r="660">
          <cell r="B660" t="str">
            <v>RHES-EBAT</v>
          </cell>
          <cell r="C660" t="str">
            <v>VAR_fout</v>
          </cell>
          <cell r="D660" t="str">
            <v>RHES_ELC</v>
          </cell>
          <cell r="E660">
            <v>2.5639332895894918E-2</v>
          </cell>
          <cell r="F660">
            <v>2.5701559750869827E-2</v>
          </cell>
          <cell r="G660">
            <v>0.143131270577526</v>
          </cell>
          <cell r="H660">
            <v>0.40764841554469172</v>
          </cell>
        </row>
        <row r="661">
          <cell r="B661" t="str">
            <v>RHES-EBAT</v>
          </cell>
          <cell r="C661" t="str">
            <v>VAR_fout</v>
          </cell>
          <cell r="D661" t="str">
            <v>AUX_RHES-EBAT_OUT</v>
          </cell>
          <cell r="E661">
            <v>2.5639332895894946E-2</v>
          </cell>
          <cell r="F661">
            <v>2.5701559750869855E-2</v>
          </cell>
          <cell r="G661">
            <v>0.14313127057752625</v>
          </cell>
          <cell r="H661">
            <v>0.40764841554469211</v>
          </cell>
        </row>
        <row r="662">
          <cell r="B662" t="str">
            <v>RHES-EBAT</v>
          </cell>
          <cell r="C662" t="str">
            <v>VAR_fin</v>
          </cell>
          <cell r="D662" t="str">
            <v>RHES_ELC</v>
          </cell>
          <cell r="E662">
            <v>2.8470012876598613E-2</v>
          </cell>
          <cell r="F662">
            <v>2.8526098605937182E-2</v>
          </cell>
          <cell r="G662">
            <v>0.15830143520096032</v>
          </cell>
          <cell r="H662">
            <v>0.45081819473150281</v>
          </cell>
        </row>
        <row r="663">
          <cell r="B663" t="str">
            <v>RHES-EBAT</v>
          </cell>
          <cell r="C663" t="str">
            <v>VAR_fin</v>
          </cell>
          <cell r="D663" t="str">
            <v>AUX_RHES-EBAT_IN</v>
          </cell>
          <cell r="E663">
            <v>2.8470012876598613E-2</v>
          </cell>
          <cell r="F663">
            <v>2.8526098605937182E-2</v>
          </cell>
          <cell r="G663">
            <v>0.15830143520096032</v>
          </cell>
          <cell r="H663">
            <v>0.45081819473150281</v>
          </cell>
        </row>
        <row r="664">
          <cell r="B664" t="str">
            <v>RHES-EBAT</v>
          </cell>
          <cell r="C664" t="str">
            <v>VAR_ncap</v>
          </cell>
          <cell r="D664" t="str">
            <v>-</v>
          </cell>
          <cell r="E664">
            <v>1.0592596248740699E-2</v>
          </cell>
          <cell r="F664">
            <v>2.1619630692106001E-5</v>
          </cell>
          <cell r="G664">
            <v>6.6132929504846394E-2</v>
          </cell>
          <cell r="H664">
            <v>9.3089377740268001E-2</v>
          </cell>
        </row>
        <row r="665">
          <cell r="B665" t="str">
            <v>RHES-EBAT</v>
          </cell>
          <cell r="C665" t="str">
            <v>VAR_cap</v>
          </cell>
          <cell r="D665" t="str">
            <v>-</v>
          </cell>
          <cell r="E665">
            <v>1.0594701737980439E-2</v>
          </cell>
          <cell r="F665">
            <v>1.0610940962960771E-2</v>
          </cell>
          <cell r="G665">
            <v>7.6734021369247937E-2</v>
          </cell>
          <cell r="H665">
            <v>0.16697480735580122</v>
          </cell>
        </row>
        <row r="666">
          <cell r="B666" t="str">
            <v>D-INGA</v>
          </cell>
          <cell r="C666" t="str">
            <v>VAR_fout</v>
          </cell>
          <cell r="D666" t="str">
            <v>CO2</v>
          </cell>
          <cell r="E666">
            <v>2112.5202690565902</v>
          </cell>
          <cell r="F666">
            <v>1841.5167163055601</v>
          </cell>
          <cell r="G666">
            <v>1915.4340317082499</v>
          </cell>
          <cell r="H666">
            <v>1172.48043042719</v>
          </cell>
        </row>
        <row r="667">
          <cell r="B667" t="str">
            <v>D-INGA</v>
          </cell>
          <cell r="C667" t="str">
            <v>VAR_fout</v>
          </cell>
          <cell r="D667" t="str">
            <v>IH2</v>
          </cell>
        </row>
        <row r="668">
          <cell r="B668" t="str">
            <v>D-INGA</v>
          </cell>
          <cell r="C668" t="str">
            <v>VAR_fout</v>
          </cell>
          <cell r="D668" t="str">
            <v>INGA</v>
          </cell>
          <cell r="E668">
            <v>37.653615154402253</v>
          </cell>
          <cell r="F668">
            <v>32.548930473134021</v>
          </cell>
          <cell r="G668">
            <v>36.221152998557265</v>
          </cell>
          <cell r="H668">
            <v>23.088687101288528</v>
          </cell>
        </row>
        <row r="669">
          <cell r="B669" t="str">
            <v>D-INGA</v>
          </cell>
          <cell r="C669" t="str">
            <v>VAR_fin</v>
          </cell>
          <cell r="D669" t="str">
            <v>NGA</v>
          </cell>
          <cell r="E669">
            <v>37.456033139301184</v>
          </cell>
          <cell r="F669">
            <v>32.651005608254586</v>
          </cell>
          <cell r="G669">
            <v>33.961596306883877</v>
          </cell>
          <cell r="H669">
            <v>20.788660113957238</v>
          </cell>
        </row>
        <row r="670">
          <cell r="B670" t="str">
            <v>D-INGA</v>
          </cell>
          <cell r="C670" t="str">
            <v>VAR_fin</v>
          </cell>
          <cell r="D670" t="str">
            <v>BNGA</v>
          </cell>
          <cell r="E670">
            <v>0.31787099163468469</v>
          </cell>
          <cell r="F670">
            <v>3.424517107988538E-3</v>
          </cell>
          <cell r="G670">
            <v>2.3752694965447527</v>
          </cell>
          <cell r="H670">
            <v>2.3755356612297041</v>
          </cell>
        </row>
        <row r="671">
          <cell r="B671" t="str">
            <v>D-INGA</v>
          </cell>
          <cell r="C671" t="str">
            <v>VAR_fin</v>
          </cell>
          <cell r="D671" t="str">
            <v>H2</v>
          </cell>
        </row>
        <row r="672">
          <cell r="B672" t="str">
            <v>D-INGA</v>
          </cell>
          <cell r="C672" t="str">
            <v>VAR_ncap</v>
          </cell>
          <cell r="D672" t="str">
            <v>-</v>
          </cell>
          <cell r="E672">
            <v>5.5158831164173697E-5</v>
          </cell>
          <cell r="F672">
            <v>1.23665487383722E-5</v>
          </cell>
          <cell r="G672">
            <v>1.49201713848045E-5</v>
          </cell>
          <cell r="H672">
            <v>1.96324156417171E-5</v>
          </cell>
        </row>
        <row r="673">
          <cell r="B673" t="str">
            <v>D-INGA</v>
          </cell>
          <cell r="C673" t="str">
            <v>VAR_cap</v>
          </cell>
          <cell r="D673" t="str">
            <v>-</v>
          </cell>
          <cell r="E673">
            <v>1.9845385290972641</v>
          </cell>
          <cell r="F673">
            <v>1.9845508956460025</v>
          </cell>
          <cell r="G673">
            <v>1.9845658158173873</v>
          </cell>
          <cell r="H673">
            <v>1.984585448233029</v>
          </cell>
        </row>
        <row r="674">
          <cell r="B674" t="str">
            <v>EWIND</v>
          </cell>
          <cell r="C674" t="str">
            <v>VAR_fout</v>
          </cell>
          <cell r="D674" t="str">
            <v>ELC35</v>
          </cell>
          <cell r="E674">
            <v>0.52400000000000047</v>
          </cell>
          <cell r="F674">
            <v>0.54530775595618142</v>
          </cell>
          <cell r="G674">
            <v>0.50318035428973074</v>
          </cell>
          <cell r="H674">
            <v>2.0503052471689203</v>
          </cell>
        </row>
        <row r="675">
          <cell r="B675" t="str">
            <v>EWIND</v>
          </cell>
          <cell r="C675" t="str">
            <v>VAR_fin</v>
          </cell>
          <cell r="D675" t="str">
            <v>WND</v>
          </cell>
          <cell r="E675">
            <v>0.52400000000000047</v>
          </cell>
          <cell r="F675">
            <v>0.54530775595618142</v>
          </cell>
          <cell r="G675">
            <v>0.50318035428973074</v>
          </cell>
          <cell r="H675">
            <v>2.0503052471689203</v>
          </cell>
        </row>
        <row r="676">
          <cell r="B676" t="str">
            <v>EWIND</v>
          </cell>
          <cell r="C676" t="str">
            <v>VAR_ncap</v>
          </cell>
          <cell r="D676" t="str">
            <v>-</v>
          </cell>
          <cell r="F676">
            <v>7.1347297093900097E-3</v>
          </cell>
          <cell r="G676">
            <v>0.29201248831448601</v>
          </cell>
          <cell r="H676">
            <v>0.28589390713535401</v>
          </cell>
        </row>
        <row r="677">
          <cell r="B677" t="str">
            <v>EWIND</v>
          </cell>
          <cell r="C677" t="str">
            <v>VAR_cap</v>
          </cell>
          <cell r="D677" t="str">
            <v>-</v>
          </cell>
          <cell r="E677">
            <v>8.7120000000000003E-2</v>
          </cell>
          <cell r="F677">
            <v>9.0662617745997209E-2</v>
          </cell>
          <cell r="G677">
            <v>8.365853523992621E-2</v>
          </cell>
          <cell r="H677">
            <v>0.34088408587087532</v>
          </cell>
        </row>
        <row r="678">
          <cell r="B678" t="str">
            <v>EGEO</v>
          </cell>
          <cell r="C678" t="str">
            <v>VAR_fout</v>
          </cell>
          <cell r="D678" t="str">
            <v>ELC35</v>
          </cell>
        </row>
        <row r="679">
          <cell r="B679" t="str">
            <v>EGEO</v>
          </cell>
          <cell r="C679" t="str">
            <v>VAR_fin</v>
          </cell>
          <cell r="D679" t="str">
            <v>GEO</v>
          </cell>
        </row>
        <row r="680">
          <cell r="B680" t="str">
            <v>EGEO</v>
          </cell>
          <cell r="C680" t="str">
            <v>VAR_ncap</v>
          </cell>
          <cell r="D680" t="str">
            <v>-</v>
          </cell>
        </row>
        <row r="681">
          <cell r="B681" t="str">
            <v>EGEO</v>
          </cell>
          <cell r="C681" t="str">
            <v>VAR_cap</v>
          </cell>
          <cell r="D681" t="str">
            <v>-</v>
          </cell>
        </row>
        <row r="682">
          <cell r="B682" t="str">
            <v>D-SPLT</v>
          </cell>
          <cell r="C682" t="str">
            <v>VAR_fout</v>
          </cell>
          <cell r="D682" t="str">
            <v>SPLT</v>
          </cell>
          <cell r="E682">
            <v>2.085722942349133</v>
          </cell>
          <cell r="F682">
            <v>2.4001397450892603</v>
          </cell>
          <cell r="G682">
            <v>0.55263559063612044</v>
          </cell>
          <cell r="H682">
            <v>0.71187208479320641</v>
          </cell>
        </row>
        <row r="683">
          <cell r="B683" t="str">
            <v>D-SPLT</v>
          </cell>
          <cell r="C683" t="str">
            <v>VAR_fin</v>
          </cell>
          <cell r="D683" t="str">
            <v>PLT</v>
          </cell>
          <cell r="E683">
            <v>2.085722942349133</v>
          </cell>
          <cell r="F683">
            <v>2.4001397450892603</v>
          </cell>
          <cell r="G683">
            <v>0.55263559063612044</v>
          </cell>
          <cell r="H683">
            <v>0.71187208479320641</v>
          </cell>
        </row>
        <row r="684">
          <cell r="B684" t="str">
            <v>RHES-ESOLPV</v>
          </cell>
          <cell r="C684" t="str">
            <v>VAR_fout</v>
          </cell>
          <cell r="D684" t="str">
            <v>RHES_SOL_ELC</v>
          </cell>
          <cell r="E684">
            <v>2.1349390887346629</v>
          </cell>
          <cell r="F684">
            <v>3.3906692602685045</v>
          </cell>
          <cell r="G684">
            <v>4.0412763601488066</v>
          </cell>
          <cell r="H684">
            <v>4.3534837595851377</v>
          </cell>
        </row>
        <row r="685">
          <cell r="B685" t="str">
            <v>RHES-ESOLPV</v>
          </cell>
          <cell r="C685" t="str">
            <v>VAR_fin</v>
          </cell>
          <cell r="D685" t="str">
            <v>SOL</v>
          </cell>
          <cell r="E685">
            <v>2.1349390887346629</v>
          </cell>
          <cell r="F685">
            <v>3.3906692602685045</v>
          </cell>
          <cell r="G685">
            <v>4.0412763601488066</v>
          </cell>
          <cell r="H685">
            <v>4.3534837595851377</v>
          </cell>
        </row>
        <row r="686">
          <cell r="B686" t="str">
            <v>RHES-ESOLPV</v>
          </cell>
          <cell r="C686" t="str">
            <v>VAR_fin</v>
          </cell>
          <cell r="D686" t="str">
            <v>SOLPVC</v>
          </cell>
          <cell r="E686">
            <v>2.1349390887346602</v>
          </cell>
          <cell r="F686">
            <v>3.3906692602685</v>
          </cell>
          <cell r="G686">
            <v>4.0412763601488004</v>
          </cell>
          <cell r="H686">
            <v>4.3534837595851403</v>
          </cell>
        </row>
        <row r="687">
          <cell r="B687" t="str">
            <v>RHES-ESOLPV</v>
          </cell>
          <cell r="C687" t="str">
            <v>VAR_ncap</v>
          </cell>
          <cell r="D687" t="str">
            <v>-</v>
          </cell>
          <cell r="F687">
            <v>1.40140550392532E-6</v>
          </cell>
          <cell r="G687">
            <v>2.5604936285693298E-4</v>
          </cell>
          <cell r="H687">
            <v>2.45845463530846E-3</v>
          </cell>
        </row>
        <row r="688">
          <cell r="B688" t="str">
            <v>RHES-ESOLPV</v>
          </cell>
          <cell r="C688" t="str">
            <v>VAR_cap</v>
          </cell>
          <cell r="D688" t="str">
            <v>-</v>
          </cell>
          <cell r="E688">
            <v>0.67885700000000004</v>
          </cell>
          <cell r="F688">
            <v>1.1559013190836538</v>
          </cell>
          <cell r="G688">
            <v>1.2894144507683609</v>
          </cell>
          <cell r="H688">
            <v>1.2549900704600494</v>
          </cell>
        </row>
        <row r="689">
          <cell r="B689" t="str">
            <v>SUP_DAC</v>
          </cell>
          <cell r="C689" t="str">
            <v>VAR_fout</v>
          </cell>
          <cell r="D689" t="str">
            <v>CO2_O</v>
          </cell>
        </row>
        <row r="690">
          <cell r="B690" t="str">
            <v>SUP_DAC</v>
          </cell>
          <cell r="C690" t="str">
            <v>VAR_fout</v>
          </cell>
          <cell r="D690" t="str">
            <v>CO2</v>
          </cell>
        </row>
        <row r="691">
          <cell r="B691" t="str">
            <v>SUP_DAC</v>
          </cell>
          <cell r="C691" t="str">
            <v>VAR_fin</v>
          </cell>
          <cell r="D691" t="str">
            <v>CHEAT</v>
          </cell>
        </row>
        <row r="692">
          <cell r="B692" t="str">
            <v>SUP_DAC</v>
          </cell>
          <cell r="C692" t="str">
            <v>VAR_fin</v>
          </cell>
          <cell r="D692" t="str">
            <v>CELC</v>
          </cell>
        </row>
        <row r="693">
          <cell r="B693" t="str">
            <v>SUP_DAC</v>
          </cell>
          <cell r="C693" t="str">
            <v>VAR_ncap</v>
          </cell>
          <cell r="D693" t="str">
            <v>-</v>
          </cell>
        </row>
        <row r="694">
          <cell r="B694" t="str">
            <v>SUP_DAC</v>
          </cell>
          <cell r="C694" t="str">
            <v>VAR_cap</v>
          </cell>
          <cell r="D694" t="str">
            <v>-</v>
          </cell>
        </row>
        <row r="695">
          <cell r="B695" t="str">
            <v>EHYD-DAM10</v>
          </cell>
          <cell r="C695" t="str">
            <v>VAR_fout</v>
          </cell>
          <cell r="D695" t="str">
            <v>ELC</v>
          </cell>
          <cell r="F695">
            <v>0.44540008905421791</v>
          </cell>
          <cell r="G695">
            <v>0.681300169274901</v>
          </cell>
          <cell r="H695">
            <v>0.71718505516123821</v>
          </cell>
        </row>
        <row r="696">
          <cell r="B696" t="str">
            <v>EHYD-DAM10</v>
          </cell>
          <cell r="C696" t="str">
            <v>VAR_fin</v>
          </cell>
          <cell r="D696" t="str">
            <v>HYDD</v>
          </cell>
          <cell r="F696">
            <v>0.44540008905421791</v>
          </cell>
          <cell r="G696">
            <v>0.681300169274901</v>
          </cell>
          <cell r="H696">
            <v>0.71718505516123821</v>
          </cell>
        </row>
        <row r="697">
          <cell r="B697" t="str">
            <v>EHYD-DAM10</v>
          </cell>
          <cell r="C697" t="str">
            <v>VAR_ncap</v>
          </cell>
          <cell r="D697" t="str">
            <v>-</v>
          </cell>
          <cell r="F697">
            <v>5.7164704279135302E-2</v>
          </cell>
          <cell r="G697">
            <v>1.68347915442007E-2</v>
          </cell>
          <cell r="H697">
            <v>9.8922040616506698E-5</v>
          </cell>
        </row>
        <row r="698">
          <cell r="B698" t="str">
            <v>EHYD-DAM10</v>
          </cell>
          <cell r="C698" t="str">
            <v>VAR_cap</v>
          </cell>
          <cell r="D698" t="str">
            <v>-</v>
          </cell>
          <cell r="F698">
            <v>5.7164704279135302E-2</v>
          </cell>
          <cell r="G698">
            <v>7.3999495823335995E-2</v>
          </cell>
          <cell r="H698">
            <v>7.4098417863952507E-2</v>
          </cell>
        </row>
        <row r="699">
          <cell r="B699" t="str">
            <v>DH-EBAT</v>
          </cell>
          <cell r="C699" t="str">
            <v>VAR_fout</v>
          </cell>
          <cell r="D699" t="str">
            <v>ELC35</v>
          </cell>
          <cell r="E699">
            <v>6.6159788967022293E-2</v>
          </cell>
          <cell r="F699">
            <v>5.603376658909813E-2</v>
          </cell>
          <cell r="G699">
            <v>5.776570356781402E-2</v>
          </cell>
          <cell r="H699">
            <v>0.12783120503251952</v>
          </cell>
        </row>
        <row r="700">
          <cell r="B700" t="str">
            <v>DH-EBAT</v>
          </cell>
          <cell r="C700" t="str">
            <v>VAR_fout</v>
          </cell>
          <cell r="D700" t="str">
            <v>AUX_DH-EBAT_OUT</v>
          </cell>
          <cell r="E700">
            <v>6.6159788967022265E-2</v>
          </cell>
          <cell r="F700">
            <v>5.6033766589098116E-2</v>
          </cell>
          <cell r="G700">
            <v>5.7765703567814006E-2</v>
          </cell>
          <cell r="H700">
            <v>0.12783120503251949</v>
          </cell>
        </row>
        <row r="701">
          <cell r="B701" t="str">
            <v>DH-EBAT</v>
          </cell>
          <cell r="C701" t="str">
            <v>VAR_fin</v>
          </cell>
          <cell r="D701" t="str">
            <v>ELC35</v>
          </cell>
          <cell r="E701">
            <v>7.3999378163524338E-2</v>
          </cell>
          <cell r="F701">
            <v>6.2665356006377029E-2</v>
          </cell>
          <cell r="G701">
            <v>6.4617068089746862E-2</v>
          </cell>
          <cell r="H701">
            <v>0.14298741531296721</v>
          </cell>
        </row>
        <row r="702">
          <cell r="B702" t="str">
            <v>DH-EBAT</v>
          </cell>
          <cell r="C702" t="str">
            <v>VAR_fin</v>
          </cell>
          <cell r="D702" t="str">
            <v>AUX_DH-EBAT_IN</v>
          </cell>
          <cell r="E702">
            <v>7.3999378163524338E-2</v>
          </cell>
          <cell r="F702">
            <v>6.2665356006377029E-2</v>
          </cell>
          <cell r="G702">
            <v>6.4617068089746862E-2</v>
          </cell>
          <cell r="H702">
            <v>0.14298741531296721</v>
          </cell>
        </row>
        <row r="703">
          <cell r="B703" t="str">
            <v>DH-EBAT</v>
          </cell>
          <cell r="C703" t="str">
            <v>VAR_ncap</v>
          </cell>
          <cell r="D703" t="str">
            <v>-</v>
          </cell>
          <cell r="E703">
            <v>9.6401009126476107E-3</v>
          </cell>
          <cell r="F703">
            <v>1.6638496562853701E-5</v>
          </cell>
          <cell r="G703">
            <v>1.19894829257338E-4</v>
          </cell>
          <cell r="H703">
            <v>1.0479613311352101E-2</v>
          </cell>
        </row>
        <row r="704">
          <cell r="B704" t="str">
            <v>DH-EBAT</v>
          </cell>
          <cell r="C704" t="str">
            <v>VAR_cap</v>
          </cell>
          <cell r="D704" t="str">
            <v>-</v>
          </cell>
          <cell r="E704">
            <v>9.6401009126476107E-3</v>
          </cell>
          <cell r="F704">
            <v>9.6497167756319675E-3</v>
          </cell>
          <cell r="G704">
            <v>9.7586707475158276E-3</v>
          </cell>
          <cell r="H704">
            <v>1.7650283203251058E-2</v>
          </cell>
        </row>
        <row r="705">
          <cell r="B705" t="str">
            <v>RHEM-EBAT</v>
          </cell>
          <cell r="C705" t="str">
            <v>VAR_fout</v>
          </cell>
          <cell r="D705" t="str">
            <v>RHEM_ELC</v>
          </cell>
          <cell r="E705">
            <v>2.3258903558203873E-2</v>
          </cell>
          <cell r="F705">
            <v>2.3317690584268299E-2</v>
          </cell>
          <cell r="G705">
            <v>4.4667151991188113E-2</v>
          </cell>
          <cell r="H705">
            <v>4.5856530328175868E-2</v>
          </cell>
        </row>
        <row r="706">
          <cell r="B706" t="str">
            <v>RHEM-EBAT</v>
          </cell>
          <cell r="C706" t="str">
            <v>VAR_fout</v>
          </cell>
          <cell r="D706" t="str">
            <v>AUX_RHEM-EBAT_OUT</v>
          </cell>
          <cell r="E706">
            <v>2.325890355820389E-2</v>
          </cell>
          <cell r="F706">
            <v>2.3317690584268316E-2</v>
          </cell>
          <cell r="G706">
            <v>4.4667151991188148E-2</v>
          </cell>
          <cell r="H706">
            <v>4.5856530328175903E-2</v>
          </cell>
        </row>
        <row r="707">
          <cell r="B707" t="str">
            <v>RHEM-EBAT</v>
          </cell>
          <cell r="C707" t="str">
            <v>VAR_fin</v>
          </cell>
          <cell r="D707" t="str">
            <v>RHEM_ELC</v>
          </cell>
          <cell r="E707">
            <v>2.5837579871814533E-2</v>
          </cell>
          <cell r="F707">
            <v>2.5889861615458996E-2</v>
          </cell>
          <cell r="G707">
            <v>4.9413331448544179E-2</v>
          </cell>
          <cell r="H707">
            <v>5.072528526120014E-2</v>
          </cell>
        </row>
        <row r="708">
          <cell r="B708" t="str">
            <v>RHEM-EBAT</v>
          </cell>
          <cell r="C708" t="str">
            <v>VAR_fin</v>
          </cell>
          <cell r="D708" t="str">
            <v>AUX_RHEM-EBAT_IN</v>
          </cell>
          <cell r="E708">
            <v>2.5837579871814533E-2</v>
          </cell>
          <cell r="F708">
            <v>2.5889861615458996E-2</v>
          </cell>
          <cell r="G708">
            <v>4.9413331448544179E-2</v>
          </cell>
          <cell r="H708">
            <v>5.072528526120014E-2</v>
          </cell>
        </row>
        <row r="709">
          <cell r="B709" t="str">
            <v>RHEM-EBAT</v>
          </cell>
          <cell r="C709" t="str">
            <v>VAR_ncap</v>
          </cell>
          <cell r="D709" t="str">
            <v>-</v>
          </cell>
          <cell r="E709">
            <v>9.5996008388939697E-3</v>
          </cell>
          <cell r="F709">
            <v>1.7449451165912401E-5</v>
          </cell>
          <cell r="G709">
            <v>8.7620174661249498E-3</v>
          </cell>
          <cell r="H709">
            <v>2.98526801178182E-3</v>
          </cell>
        </row>
        <row r="710">
          <cell r="B710" t="str">
            <v>RHEM-EBAT</v>
          </cell>
          <cell r="C710" t="str">
            <v>VAR_cap</v>
          </cell>
          <cell r="D710" t="str">
            <v>-</v>
          </cell>
          <cell r="E710">
            <v>9.6017044092716226E-3</v>
          </cell>
          <cell r="F710">
            <v>9.6136730183066562E-3</v>
          </cell>
          <cell r="G710">
            <v>1.8363654557414018E-2</v>
          </cell>
          <cell r="H710">
            <v>1.8768217017734398E-2</v>
          </cell>
        </row>
        <row r="711">
          <cell r="B711" t="str">
            <v>HPLGEO</v>
          </cell>
          <cell r="C711" t="str">
            <v>VAR_fout</v>
          </cell>
          <cell r="D711" t="str">
            <v>LTH</v>
          </cell>
        </row>
        <row r="712">
          <cell r="B712" t="str">
            <v>HPLGEO</v>
          </cell>
          <cell r="C712" t="str">
            <v>VAR_fin</v>
          </cell>
          <cell r="D712" t="str">
            <v>GEO</v>
          </cell>
        </row>
        <row r="713">
          <cell r="B713" t="str">
            <v>HPLGEO</v>
          </cell>
          <cell r="C713" t="str">
            <v>VAR_ncap</v>
          </cell>
          <cell r="D713" t="str">
            <v>-</v>
          </cell>
        </row>
        <row r="714">
          <cell r="B714" t="str">
            <v>HPLGEO</v>
          </cell>
          <cell r="C714" t="str">
            <v>VAR_cap</v>
          </cell>
          <cell r="D714" t="str">
            <v>-</v>
          </cell>
        </row>
        <row r="715">
          <cell r="B715" t="str">
            <v>EHYD-PUM15</v>
          </cell>
          <cell r="C715" t="str">
            <v>VAR_fout</v>
          </cell>
          <cell r="D715" t="str">
            <v>ELC</v>
          </cell>
          <cell r="F715">
            <v>3.7402691272298914E-2</v>
          </cell>
          <cell r="G715">
            <v>3.7583197852108716E-2</v>
          </cell>
          <cell r="H715">
            <v>6.0858070489595288E-2</v>
          </cell>
        </row>
        <row r="716">
          <cell r="B716" t="str">
            <v>EHYD-PUM15</v>
          </cell>
          <cell r="C716" t="str">
            <v>VAR_fout</v>
          </cell>
          <cell r="D716" t="str">
            <v>AUX_PUMP_OUT</v>
          </cell>
          <cell r="F716">
            <v>3.7402691272298914E-2</v>
          </cell>
          <cell r="G716">
            <v>3.7583197852108716E-2</v>
          </cell>
          <cell r="H716">
            <v>6.0858070489595288E-2</v>
          </cell>
        </row>
        <row r="717">
          <cell r="B717" t="str">
            <v>EHYD-PUM15</v>
          </cell>
          <cell r="C717" t="str">
            <v>VAR_fin</v>
          </cell>
          <cell r="D717" t="str">
            <v>AUX_PUMP_IN</v>
          </cell>
          <cell r="F717">
            <v>4.6816428272353668E-2</v>
          </cell>
          <cell r="G717">
            <v>4.7006122791147506E-2</v>
          </cell>
          <cell r="H717">
            <v>7.606337000565988E-2</v>
          </cell>
        </row>
        <row r="718">
          <cell r="B718" t="str">
            <v>EHYD-PUM15</v>
          </cell>
          <cell r="C718" t="str">
            <v>VAR_fin</v>
          </cell>
          <cell r="D718" t="str">
            <v>ELC</v>
          </cell>
          <cell r="F718">
            <v>4.6816428272353668E-2</v>
          </cell>
          <cell r="G718">
            <v>4.7006122791147506E-2</v>
          </cell>
          <cell r="H718">
            <v>7.606337000565988E-2</v>
          </cell>
        </row>
        <row r="719">
          <cell r="B719" t="str">
            <v>EHYD-PUM15</v>
          </cell>
          <cell r="C719" t="str">
            <v>VAR_ncap</v>
          </cell>
          <cell r="D719" t="str">
            <v>-</v>
          </cell>
          <cell r="F719">
            <v>4.8712583636179498E-3</v>
          </cell>
          <cell r="G719">
            <v>2.59622543678957E-6</v>
          </cell>
          <cell r="H719">
            <v>2.5997829062343898E-6</v>
          </cell>
        </row>
        <row r="720">
          <cell r="B720" t="str">
            <v>EHYD-PUM15</v>
          </cell>
          <cell r="C720" t="str">
            <v>VAR_cap</v>
          </cell>
          <cell r="D720" t="str">
            <v>-</v>
          </cell>
          <cell r="F720">
            <v>4.8712583636179498E-3</v>
          </cell>
          <cell r="G720">
            <v>4.8712583636179498E-3</v>
          </cell>
          <cell r="H720">
            <v>4.8712583636179498E-3</v>
          </cell>
        </row>
        <row r="721">
          <cell r="B721" t="str">
            <v>D-EWST</v>
          </cell>
          <cell r="C721" t="str">
            <v>VAR_fout</v>
          </cell>
          <cell r="D721" t="str">
            <v>CO2</v>
          </cell>
          <cell r="E721">
            <v>2266.28862065257</v>
          </cell>
          <cell r="F721">
            <v>2237.5566307754402</v>
          </cell>
          <cell r="G721">
            <v>2312.7769545096098</v>
          </cell>
          <cell r="H721">
            <v>2351.3595117988698</v>
          </cell>
        </row>
        <row r="722">
          <cell r="B722" t="str">
            <v>D-EWST</v>
          </cell>
          <cell r="C722" t="str">
            <v>VAR_fout</v>
          </cell>
          <cell r="D722" t="str">
            <v>EWST</v>
          </cell>
          <cell r="E722">
            <v>48.842427169236437</v>
          </cell>
          <cell r="F722">
            <v>48.223379344993198</v>
          </cell>
          <cell r="G722">
            <v>49.844511657418387</v>
          </cell>
          <cell r="H722">
            <v>50.676089793613762</v>
          </cell>
        </row>
        <row r="723">
          <cell r="B723" t="str">
            <v>D-EWST</v>
          </cell>
          <cell r="C723" t="str">
            <v>VAR_fin</v>
          </cell>
          <cell r="D723" t="str">
            <v>WSTNREN</v>
          </cell>
          <cell r="E723">
            <v>24.421213584618208</v>
          </cell>
          <cell r="F723">
            <v>24.111601624735293</v>
          </cell>
          <cell r="G723">
            <v>24.922165458077693</v>
          </cell>
          <cell r="H723">
            <v>25.337925773694725</v>
          </cell>
        </row>
        <row r="724">
          <cell r="B724" t="str">
            <v>D-EWST</v>
          </cell>
          <cell r="C724" t="str">
            <v>VAR_fin</v>
          </cell>
          <cell r="D724" t="str">
            <v>WSTREN</v>
          </cell>
          <cell r="E724">
            <v>24.421213584618208</v>
          </cell>
          <cell r="F724">
            <v>24.111601624735293</v>
          </cell>
          <cell r="G724">
            <v>24.922165458077693</v>
          </cell>
          <cell r="H724">
            <v>25.337925773694725</v>
          </cell>
        </row>
        <row r="725">
          <cell r="B725"/>
          <cell r="C725"/>
          <cell r="D725"/>
        </row>
        <row r="726">
          <cell r="B726"/>
          <cell r="C726"/>
          <cell r="D726"/>
        </row>
        <row r="727">
          <cell r="B727"/>
          <cell r="C727"/>
          <cell r="D727"/>
        </row>
        <row r="728">
          <cell r="B728"/>
          <cell r="C728"/>
          <cell r="D728"/>
        </row>
        <row r="729">
          <cell r="B729"/>
          <cell r="C729"/>
          <cell r="D729"/>
        </row>
        <row r="730">
          <cell r="B730"/>
          <cell r="C730"/>
          <cell r="D730"/>
        </row>
        <row r="731">
          <cell r="B731"/>
          <cell r="C731"/>
          <cell r="D731"/>
        </row>
        <row r="732">
          <cell r="B732"/>
          <cell r="C732"/>
          <cell r="D732"/>
        </row>
        <row r="733">
          <cell r="B733"/>
          <cell r="C733"/>
          <cell r="D733"/>
        </row>
        <row r="734">
          <cell r="B734"/>
          <cell r="C734"/>
          <cell r="D734"/>
        </row>
        <row r="735">
          <cell r="B735"/>
          <cell r="C735"/>
          <cell r="D735"/>
        </row>
        <row r="736">
          <cell r="B736"/>
          <cell r="C736"/>
          <cell r="D736"/>
        </row>
        <row r="737">
          <cell r="B737"/>
          <cell r="C737"/>
          <cell r="D737"/>
        </row>
        <row r="738">
          <cell r="B738"/>
          <cell r="C738"/>
          <cell r="D738"/>
        </row>
        <row r="739">
          <cell r="B739"/>
          <cell r="C739"/>
          <cell r="D739"/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IMPBDS1</v>
          </cell>
          <cell r="C4" t="str">
            <v>BDS1</v>
          </cell>
          <cell r="G4">
            <v>5.0110853059788303</v>
          </cell>
        </row>
        <row r="5">
          <cell r="A5" t="str">
            <v>EXPELC_DE</v>
          </cell>
          <cell r="C5" t="str">
            <v>ELC_E-DE</v>
          </cell>
          <cell r="D5">
            <v>26.493024221127655</v>
          </cell>
          <cell r="E5">
            <v>1.0514877998353319E-2</v>
          </cell>
          <cell r="F5">
            <v>1.2516595336610458E-2</v>
          </cell>
          <cell r="G5">
            <v>9.1876373848008511E-3</v>
          </cell>
        </row>
        <row r="6">
          <cell r="A6" t="str">
            <v>IMPDSL</v>
          </cell>
          <cell r="C6" t="str">
            <v>DSL</v>
          </cell>
          <cell r="D6">
            <v>121.89424816293706</v>
          </cell>
          <cell r="E6">
            <v>112.68574983712354</v>
          </cell>
          <cell r="F6">
            <v>95.48232651826433</v>
          </cell>
          <cell r="G6">
            <v>56.806864888603791</v>
          </cell>
        </row>
        <row r="7">
          <cell r="A7" t="str">
            <v>IMPH2</v>
          </cell>
          <cell r="C7" t="str">
            <v>H2</v>
          </cell>
        </row>
        <row r="8">
          <cell r="A8" t="str">
            <v>IMPELC_AT</v>
          </cell>
          <cell r="C8" t="str">
            <v>ELC_I-AT</v>
          </cell>
          <cell r="D8">
            <v>15.013856275659503</v>
          </cell>
          <cell r="E8">
            <v>0.94657119544528923</v>
          </cell>
          <cell r="F8">
            <v>0.51305837026265</v>
          </cell>
          <cell r="G8">
            <v>0.52562360039349076</v>
          </cell>
        </row>
        <row r="9">
          <cell r="A9" t="str">
            <v>IMPELC_AT</v>
          </cell>
          <cell r="C9" t="str">
            <v>ELCS</v>
          </cell>
          <cell r="D9">
            <v>15.013856275659503</v>
          </cell>
          <cell r="E9">
            <v>0.94657119544528923</v>
          </cell>
          <cell r="F9">
            <v>0.51305837026265</v>
          </cell>
          <cell r="G9">
            <v>0.52562360039349076</v>
          </cell>
        </row>
        <row r="10">
          <cell r="A10" t="str">
            <v>IMPELC_FR</v>
          </cell>
          <cell r="C10" t="str">
            <v>ELC_I-FR</v>
          </cell>
          <cell r="D10">
            <v>28.948670600564245</v>
          </cell>
          <cell r="E10">
            <v>21.080686840054629</v>
          </cell>
          <cell r="F10">
            <v>26.594131344599681</v>
          </cell>
          <cell r="G10">
            <v>18.064614718796527</v>
          </cell>
        </row>
        <row r="11">
          <cell r="A11" t="str">
            <v>IMPELC_FR</v>
          </cell>
          <cell r="C11" t="str">
            <v>ELCS</v>
          </cell>
          <cell r="D11">
            <v>28.948670600564245</v>
          </cell>
          <cell r="E11">
            <v>21.080686840054629</v>
          </cell>
          <cell r="F11">
            <v>26.594131344599681</v>
          </cell>
          <cell r="G11">
            <v>18.064614718796527</v>
          </cell>
        </row>
        <row r="12">
          <cell r="A12" t="str">
            <v>RNWHYDR1</v>
          </cell>
          <cell r="C12" t="str">
            <v>HYDR</v>
          </cell>
          <cell r="D12">
            <v>66.632430866657657</v>
          </cell>
          <cell r="E12">
            <v>55.764055694378634</v>
          </cell>
          <cell r="F12">
            <v>65.677217745587811</v>
          </cell>
          <cell r="G12">
            <v>64.853740316850065</v>
          </cell>
        </row>
        <row r="13">
          <cell r="A13" t="str">
            <v>EXPELC_IT</v>
          </cell>
          <cell r="C13" t="str">
            <v>ELC_E-IT</v>
          </cell>
          <cell r="D13">
            <v>71.694131784294385</v>
          </cell>
          <cell r="E13">
            <v>34.86251306640257</v>
          </cell>
          <cell r="F13">
            <v>71.904851705876354</v>
          </cell>
          <cell r="G13">
            <v>52.680973523479118</v>
          </cell>
        </row>
        <row r="14">
          <cell r="A14" t="str">
            <v>IMPLNG</v>
          </cell>
          <cell r="C14" t="str">
            <v>LBIO</v>
          </cell>
          <cell r="G14">
            <v>8.5252024535565196E-3</v>
          </cell>
        </row>
        <row r="15">
          <cell r="A15" t="str">
            <v>IMPLNG</v>
          </cell>
          <cell r="C15" t="str">
            <v>LNGA</v>
          </cell>
          <cell r="G15">
            <v>4.3740511977914093E-2</v>
          </cell>
        </row>
        <row r="16">
          <cell r="A16" t="str">
            <v>IMPURN1</v>
          </cell>
          <cell r="C16" t="str">
            <v>URN</v>
          </cell>
          <cell r="D16">
            <v>250.9487170795704</v>
          </cell>
          <cell r="E16">
            <v>253.29674232384011</v>
          </cell>
          <cell r="F16">
            <v>233.18388719099895</v>
          </cell>
          <cell r="G16">
            <v>211.82169140682569</v>
          </cell>
        </row>
        <row r="17">
          <cell r="A17" t="str">
            <v>EXPELC_AT</v>
          </cell>
          <cell r="C17" t="str">
            <v>ELC_E-AT</v>
          </cell>
          <cell r="D17">
            <v>6.2296562858476987</v>
          </cell>
          <cell r="E17">
            <v>1.5931736788436374E-2</v>
          </cell>
          <cell r="F17">
            <v>2.0913411592458787E-2</v>
          </cell>
          <cell r="G17">
            <v>3.8060721036487187E-3</v>
          </cell>
        </row>
        <row r="18">
          <cell r="A18" t="str">
            <v>EXPELC_FR</v>
          </cell>
          <cell r="C18" t="str">
            <v>ELC_E-FR</v>
          </cell>
          <cell r="D18">
            <v>12.753444394505104</v>
          </cell>
          <cell r="E18">
            <v>1.3559253697069708E-2</v>
          </cell>
          <cell r="F18">
            <v>1.4263996112231685E-2</v>
          </cell>
          <cell r="G18">
            <v>6.9464090622277999E-3</v>
          </cell>
        </row>
        <row r="19">
          <cell r="A19" t="str">
            <v>RNWWND1</v>
          </cell>
          <cell r="C19" t="str">
            <v>WND</v>
          </cell>
          <cell r="D19">
            <v>0.44818837294456559</v>
          </cell>
          <cell r="E19">
            <v>0.46801289251717693</v>
          </cell>
          <cell r="F19">
            <v>0.42539274900897067</v>
          </cell>
          <cell r="G19">
            <v>0.87510594678870446</v>
          </cell>
        </row>
        <row r="20">
          <cell r="A20" t="str">
            <v>RNWWND2</v>
          </cell>
          <cell r="C20" t="str">
            <v>WND</v>
          </cell>
          <cell r="D20">
            <v>2.7102516507153843E-2</v>
          </cell>
          <cell r="E20">
            <v>2.7527245438387891E-2</v>
          </cell>
          <cell r="F20">
            <v>2.7743393608109283E-2</v>
          </cell>
          <cell r="G20">
            <v>1.0979208196255725</v>
          </cell>
        </row>
        <row r="21">
          <cell r="A21" t="str">
            <v>RNWMNR1</v>
          </cell>
          <cell r="C21" t="str">
            <v>MNR</v>
          </cell>
          <cell r="D21">
            <v>3.7982918878914633</v>
          </cell>
          <cell r="E21">
            <v>12.540359083790694</v>
          </cell>
          <cell r="F21">
            <v>12.540421416964007</v>
          </cell>
          <cell r="G21">
            <v>12.540431121177249</v>
          </cell>
        </row>
        <row r="22">
          <cell r="A22" t="str">
            <v>RNWWND3</v>
          </cell>
          <cell r="C22" t="str">
            <v>WND</v>
          </cell>
          <cell r="D22">
            <v>2.2458830144365127E-2</v>
          </cell>
          <cell r="E22">
            <v>2.2795665226495964E-2</v>
          </cell>
          <cell r="F22">
            <v>2.2982188845841134E-2</v>
          </cell>
          <cell r="G22">
            <v>4.6429896047368711E-2</v>
          </cell>
        </row>
        <row r="23">
          <cell r="A23" t="str">
            <v>RNWMNR2</v>
          </cell>
          <cell r="C23" t="str">
            <v>MNR</v>
          </cell>
        </row>
        <row r="24">
          <cell r="A24" t="str">
            <v>RNWWND4</v>
          </cell>
          <cell r="C24" t="str">
            <v>WND</v>
          </cell>
          <cell r="D24">
            <v>1.5618064710054204E-2</v>
          </cell>
          <cell r="E24">
            <v>1.5808360427238557E-2</v>
          </cell>
          <cell r="F24">
            <v>1.588534879022209E-2</v>
          </cell>
          <cell r="G24">
            <v>1.8832113727967555E-2</v>
          </cell>
        </row>
        <row r="25">
          <cell r="A25" t="str">
            <v>RNWMNR3</v>
          </cell>
          <cell r="C25" t="str">
            <v>MNR</v>
          </cell>
        </row>
        <row r="26">
          <cell r="A26" t="str">
            <v>IMPLFO1</v>
          </cell>
          <cell r="C26" t="str">
            <v>LFO</v>
          </cell>
          <cell r="D26">
            <v>102.14686482660032</v>
          </cell>
          <cell r="E26">
            <v>88.232629849963274</v>
          </cell>
          <cell r="F26">
            <v>86.025824283526873</v>
          </cell>
          <cell r="G26">
            <v>47.723315078576853</v>
          </cell>
        </row>
        <row r="27">
          <cell r="A27" t="str">
            <v>RNWWND5</v>
          </cell>
          <cell r="C27" t="str">
            <v>WND</v>
          </cell>
          <cell r="D27">
            <v>1.1120754484534178E-2</v>
          </cell>
          <cell r="E27">
            <v>1.1224552905496961E-2</v>
          </cell>
          <cell r="F27">
            <v>1.1237654336681098E-2</v>
          </cell>
          <cell r="G27">
            <v>1.2467559892135664E-2</v>
          </cell>
        </row>
        <row r="28">
          <cell r="A28" t="str">
            <v>IMPBNGA</v>
          </cell>
          <cell r="C28" t="str">
            <v>BIO</v>
          </cell>
          <cell r="E28">
            <v>1.7812515109373096E-3</v>
          </cell>
          <cell r="F28">
            <v>1.6722916026538155E-3</v>
          </cell>
          <cell r="G28">
            <v>0.51869769224351592</v>
          </cell>
        </row>
        <row r="29">
          <cell r="A29" t="str">
            <v>RNWGEO1</v>
          </cell>
          <cell r="C29" t="str">
            <v>GEO</v>
          </cell>
        </row>
        <row r="30">
          <cell r="A30" t="str">
            <v>RNWGEO2</v>
          </cell>
          <cell r="C30" t="str">
            <v>GEO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80.684757022338403</v>
          </cell>
          <cell r="G31">
            <v>78.507003277906307</v>
          </cell>
        </row>
        <row r="32">
          <cell r="A32" t="str">
            <v>RNWGEO3</v>
          </cell>
          <cell r="C32" t="str">
            <v>GEO</v>
          </cell>
        </row>
        <row r="33">
          <cell r="A33" t="str">
            <v>RNWGEO4</v>
          </cell>
          <cell r="C33" t="str">
            <v>GEO</v>
          </cell>
        </row>
        <row r="34">
          <cell r="A34" t="str">
            <v>RNWGEO5</v>
          </cell>
          <cell r="C34" t="str">
            <v>GEO</v>
          </cell>
        </row>
        <row r="35">
          <cell r="A35" t="str">
            <v>IMPGSL</v>
          </cell>
          <cell r="C35" t="str">
            <v>GSL</v>
          </cell>
          <cell r="D35">
            <v>77.404073620847043</v>
          </cell>
          <cell r="E35">
            <v>75.649647193300396</v>
          </cell>
          <cell r="F35">
            <v>70.929145538586567</v>
          </cell>
          <cell r="G35">
            <v>41.082883194158065</v>
          </cell>
        </row>
        <row r="36">
          <cell r="A36" t="str">
            <v>RNWWOD1</v>
          </cell>
          <cell r="C36" t="str">
            <v>WOD</v>
          </cell>
          <cell r="D36">
            <v>11.111976141568594</v>
          </cell>
          <cell r="E36">
            <v>11.952923578006255</v>
          </cell>
          <cell r="F36">
            <v>13.357213022457403</v>
          </cell>
          <cell r="G36">
            <v>15.656186912610261</v>
          </cell>
        </row>
        <row r="37">
          <cell r="A37" t="str">
            <v>RNWWOD2</v>
          </cell>
          <cell r="C37" t="str">
            <v>WOD</v>
          </cell>
          <cell r="D37">
            <v>7.5117708343997647</v>
          </cell>
          <cell r="E37">
            <v>7.5431833211157198</v>
          </cell>
          <cell r="F37">
            <v>7.5903684650464012</v>
          </cell>
          <cell r="G37">
            <v>7.6690331077722877</v>
          </cell>
        </row>
        <row r="38">
          <cell r="A38" t="str">
            <v>RNWWOD3</v>
          </cell>
          <cell r="C38" t="str">
            <v>WOD</v>
          </cell>
          <cell r="D38">
            <v>3.1683463948340496</v>
          </cell>
          <cell r="E38">
            <v>3.4957144759587795</v>
          </cell>
          <cell r="F38">
            <v>3.9868298124432071</v>
          </cell>
          <cell r="G38">
            <v>4.805389453080994</v>
          </cell>
        </row>
        <row r="39">
          <cell r="A39" t="str">
            <v>RNWWOD4</v>
          </cell>
          <cell r="C39" t="str">
            <v>WOD</v>
          </cell>
          <cell r="D39">
            <v>15.110386345840936</v>
          </cell>
          <cell r="E39">
            <v>14.899043007245094</v>
          </cell>
          <cell r="F39">
            <v>19.670460563227383</v>
          </cell>
          <cell r="G39">
            <v>24.230701756072303</v>
          </cell>
        </row>
        <row r="40">
          <cell r="A40" t="str">
            <v>RNWWOD5</v>
          </cell>
          <cell r="C40" t="str">
            <v>WOD</v>
          </cell>
          <cell r="D40">
            <v>9.431635499356906</v>
          </cell>
          <cell r="E40">
            <v>12.59972350174751</v>
          </cell>
          <cell r="F40">
            <v>8.9400448833119537</v>
          </cell>
          <cell r="G40">
            <v>1.1851404562036287</v>
          </cell>
        </row>
        <row r="41">
          <cell r="A41" t="str">
            <v>RNNWWST1</v>
          </cell>
          <cell r="C41" t="str">
            <v>WSTNREN</v>
          </cell>
          <cell r="D41">
            <v>35.931415647284581</v>
          </cell>
          <cell r="E41">
            <v>36.121600754240653</v>
          </cell>
          <cell r="F41">
            <v>35.963639011507908</v>
          </cell>
          <cell r="G41">
            <v>37.032765660388442</v>
          </cell>
        </row>
        <row r="42">
          <cell r="A42" t="str">
            <v>RNWSOL1</v>
          </cell>
          <cell r="C42" t="str">
            <v>SOL</v>
          </cell>
          <cell r="D42">
            <v>12.557136404926036</v>
          </cell>
          <cell r="E42">
            <v>16.525178250020552</v>
          </cell>
          <cell r="F42">
            <v>30.421478522021395</v>
          </cell>
          <cell r="G42">
            <v>56.344572823422311</v>
          </cell>
        </row>
        <row r="43">
          <cell r="A43" t="str">
            <v>IMPHFO1</v>
          </cell>
          <cell r="C43" t="str">
            <v>HFO</v>
          </cell>
          <cell r="D43">
            <v>2.7765248325854821</v>
          </cell>
          <cell r="E43">
            <v>2.7643673663297474</v>
          </cell>
          <cell r="F43">
            <v>4.8276246552936893E-2</v>
          </cell>
          <cell r="G43">
            <v>4.6215869532633732E-3</v>
          </cell>
        </row>
        <row r="44">
          <cell r="A44" t="str">
            <v>RNWHYDD1</v>
          </cell>
          <cell r="C44" t="str">
            <v>HYDD</v>
          </cell>
          <cell r="D44">
            <v>66.745681606063101</v>
          </cell>
          <cell r="E44">
            <v>49.798777987808698</v>
          </cell>
          <cell r="F44">
            <v>68.970400584037364</v>
          </cell>
          <cell r="G44">
            <v>70.97023239346008</v>
          </cell>
        </row>
        <row r="45">
          <cell r="A45" t="str">
            <v>IMPKER</v>
          </cell>
          <cell r="C45" t="str">
            <v>KER</v>
          </cell>
          <cell r="D45">
            <v>1.1093794036503803</v>
          </cell>
          <cell r="E45">
            <v>1.4041021466046504</v>
          </cell>
          <cell r="F45">
            <v>1.8282779230786981</v>
          </cell>
          <cell r="G45">
            <v>2.4457699005055282</v>
          </cell>
        </row>
        <row r="46">
          <cell r="A46" t="str">
            <v>IMPBDS</v>
          </cell>
          <cell r="C46" t="str">
            <v>BDS</v>
          </cell>
          <cell r="D46">
            <v>2.8760887320951913</v>
          </cell>
          <cell r="E46">
            <v>1.8147572347056704</v>
          </cell>
          <cell r="F46">
            <v>3.2885273479649721</v>
          </cell>
          <cell r="G46">
            <v>3.3872223381656861</v>
          </cell>
        </row>
        <row r="47">
          <cell r="A47" t="str">
            <v>IMPCOA1</v>
          </cell>
          <cell r="C47" t="str">
            <v>COA</v>
          </cell>
          <cell r="D47">
            <v>3.6601882141811259</v>
          </cell>
          <cell r="E47">
            <v>3.5647660482432162</v>
          </cell>
          <cell r="F47">
            <v>0.15596099168927152</v>
          </cell>
          <cell r="G47">
            <v>4.6208376640515239E-3</v>
          </cell>
        </row>
        <row r="48">
          <cell r="A48" t="str">
            <v>IMPETH</v>
          </cell>
          <cell r="C48" t="str">
            <v>ETH</v>
          </cell>
          <cell r="D48">
            <v>2.9848618205759734</v>
          </cell>
          <cell r="E48">
            <v>4.0443988278181138</v>
          </cell>
          <cell r="F48">
            <v>2.570739257428853</v>
          </cell>
          <cell r="G48">
            <v>1.9550049530579647</v>
          </cell>
        </row>
        <row r="49">
          <cell r="A49" t="str">
            <v>IMPELC_DE</v>
          </cell>
          <cell r="C49" t="str">
            <v>ELC_I-DE</v>
          </cell>
          <cell r="D49">
            <v>46.3985156408202</v>
          </cell>
          <cell r="E49">
            <v>28.265630226990357</v>
          </cell>
          <cell r="F49">
            <v>23.333218548066622</v>
          </cell>
          <cell r="G49">
            <v>32.107053704417403</v>
          </cell>
        </row>
        <row r="50">
          <cell r="A50" t="str">
            <v>IMPELC_DE</v>
          </cell>
          <cell r="C50" t="str">
            <v>ELCS</v>
          </cell>
          <cell r="D50">
            <v>46.3985156408202</v>
          </cell>
          <cell r="E50">
            <v>28.265630226990357</v>
          </cell>
          <cell r="F50">
            <v>23.333218548066622</v>
          </cell>
          <cell r="G50">
            <v>32.107053704417403</v>
          </cell>
        </row>
        <row r="51">
          <cell r="A51" t="str">
            <v>RNWWST1</v>
          </cell>
          <cell r="C51" t="str">
            <v>WSTREN</v>
          </cell>
          <cell r="D51">
            <v>34.100671096977578</v>
          </cell>
          <cell r="E51">
            <v>35.102689342431958</v>
          </cell>
          <cell r="F51">
            <v>35.103010635547861</v>
          </cell>
          <cell r="G51">
            <v>37.238307336651026</v>
          </cell>
        </row>
        <row r="52">
          <cell r="A52" t="str">
            <v>IMPNGA1</v>
          </cell>
          <cell r="C52" t="str">
            <v>NGA</v>
          </cell>
          <cell r="D52">
            <v>118.81618615236589</v>
          </cell>
          <cell r="E52">
            <v>106.72001471923431</v>
          </cell>
          <cell r="F52">
            <v>106.22916669823748</v>
          </cell>
          <cell r="G52">
            <v>78.53998988218585</v>
          </cell>
        </row>
        <row r="53">
          <cell r="A53" t="str">
            <v>IMPELC_IT</v>
          </cell>
          <cell r="C53" t="str">
            <v>ELC_I-IT</v>
          </cell>
          <cell r="D53">
            <v>6.7991233862165927</v>
          </cell>
          <cell r="E53">
            <v>9.7962296817703486E-3</v>
          </cell>
          <cell r="F53">
            <v>8.4415287670235387E-3</v>
          </cell>
          <cell r="G53">
            <v>3.8438980557683514E-3</v>
          </cell>
        </row>
        <row r="54">
          <cell r="A54" t="str">
            <v>IMPELC_IT</v>
          </cell>
          <cell r="C54" t="str">
            <v>ELCS</v>
          </cell>
          <cell r="D54">
            <v>6.7991233862165927</v>
          </cell>
          <cell r="E54">
            <v>9.7962296817703486E-3</v>
          </cell>
          <cell r="F54">
            <v>8.4415287670235387E-3</v>
          </cell>
          <cell r="G54">
            <v>3.8438980557683514E-3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3.2685571165362615</v>
          </cell>
          <cell r="E4">
            <v>3.8321672880200586</v>
          </cell>
          <cell r="F4">
            <v>0.60927028493672275</v>
          </cell>
          <cell r="G4">
            <v>0.76445178778467615</v>
          </cell>
          <cell r="H4">
            <v>0.80474304292388488</v>
          </cell>
          <cell r="I4">
            <v>0.87226819948009149</v>
          </cell>
          <cell r="J4">
            <v>0.75456453628067766</v>
          </cell>
          <cell r="K4"/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3.2685571165362615</v>
          </cell>
          <cell r="E5">
            <v>3.8321672880200586</v>
          </cell>
          <cell r="F5">
            <v>0.60927028493672275</v>
          </cell>
          <cell r="G5">
            <v>0.76445178778467615</v>
          </cell>
          <cell r="H5">
            <v>0.80474304292388488</v>
          </cell>
          <cell r="I5">
            <v>0.87226819948009149</v>
          </cell>
          <cell r="J5">
            <v>0.75456453628067766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1.6577791237973518E-3</v>
          </cell>
          <cell r="F6">
            <v>2.7828003001388938E-4</v>
          </cell>
          <cell r="G6">
            <v>2.2485314921168344E-4</v>
          </cell>
          <cell r="H6">
            <v>2.4366734794813787E-4</v>
          </cell>
          <cell r="I6">
            <v>1.7010183176133421E-4</v>
          </cell>
          <cell r="J6">
            <v>2.583982919338881E-4</v>
          </cell>
          <cell r="K6"/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D7"/>
          <cell r="E7">
            <v>1.65943690292115E-3</v>
          </cell>
          <cell r="F7">
            <v>2.7855831004390313E-4</v>
          </cell>
          <cell r="G7">
            <v>2.250780023608952E-4</v>
          </cell>
          <cell r="H7">
            <v>2.4391101529608591E-4</v>
          </cell>
          <cell r="I7">
            <v>1.7027193359309551E-4</v>
          </cell>
          <cell r="J7">
            <v>2.5865669022582209E-4</v>
          </cell>
          <cell r="K7"/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D8"/>
          <cell r="E8">
            <v>1.22863810725175E-3</v>
          </cell>
          <cell r="F8">
            <v>6.2800324672260697E-5</v>
          </cell>
          <cell r="G8">
            <v>7.6643264751277411E-5</v>
          </cell>
          <cell r="H8">
            <v>6.4873712413426524E-5</v>
          </cell>
          <cell r="I8">
            <v>9.6462586208179193E-5</v>
          </cell>
          <cell r="J8">
            <v>2.1167034801295638E-4</v>
          </cell>
          <cell r="K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D9">
            <v>2.6578730062993102E-4</v>
          </cell>
          <cell r="E9">
            <v>1.6254636458885199E-4</v>
          </cell>
          <cell r="F9">
            <v>2.70067414247493E-4</v>
          </cell>
          <cell r="G9">
            <v>4.2654885391402403E-4</v>
          </cell>
          <cell r="H9">
            <v>4.9472414699338403E-5</v>
          </cell>
          <cell r="I9">
            <v>8.1836712800266301E-5</v>
          </cell>
          <cell r="J9">
            <v>2.2722389653002099E-4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D10">
            <v>2.6578730062993102E-4</v>
          </cell>
          <cell r="E10">
            <v>4.2833366521878298E-4</v>
          </cell>
          <cell r="F10">
            <v>6.9840107946627695E-4</v>
          </cell>
          <cell r="G10">
            <v>1.1249499333803E-3</v>
          </cell>
          <cell r="H10">
            <v>8.9829612560720805E-4</v>
          </cell>
          <cell r="I10">
            <v>4.7047101494390302E-4</v>
          </cell>
          <cell r="J10">
            <v>3.0754210929982701E-4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D11"/>
          <cell r="E11">
            <v>3.87245424420408E-2</v>
          </cell>
          <cell r="F11">
            <v>4.8029370718954896</v>
          </cell>
          <cell r="G11">
            <v>7.4021868884676696</v>
          </cell>
          <cell r="H11">
            <v>7.3635303119500399</v>
          </cell>
          <cell r="I11">
            <v>5.0625331698231504</v>
          </cell>
          <cell r="J11"/>
          <cell r="K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D12"/>
          <cell r="E12">
            <v>4.7070198015823113E-4</v>
          </cell>
          <cell r="F12">
            <v>6.1889056991423136E-2</v>
          </cell>
          <cell r="G12">
            <v>9.5382129589456466E-2</v>
          </cell>
          <cell r="H12">
            <v>9.4884013742552786E-2</v>
          </cell>
          <cell r="I12">
            <v>6.5234126364371606E-2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D13"/>
          <cell r="E13">
            <v>5.2543476854872214E-4</v>
          </cell>
          <cell r="F13">
            <v>6.5168752671580676E-2</v>
          </cell>
          <cell r="G13">
            <v>0.10043672847310266</v>
          </cell>
          <cell r="H13">
            <v>9.9912215901628743E-2</v>
          </cell>
          <cell r="I13">
            <v>6.8691087785931471E-2</v>
          </cell>
          <cell r="J13"/>
          <cell r="K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D14"/>
          <cell r="E14">
            <v>7.0684564672183299E-4</v>
          </cell>
          <cell r="F14">
            <v>2.93815075276199E-2</v>
          </cell>
          <cell r="G14"/>
          <cell r="H14"/>
          <cell r="I14"/>
          <cell r="J14"/>
          <cell r="K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D15"/>
          <cell r="E15">
            <v>7.0684564672183299E-4</v>
          </cell>
          <cell r="F15">
            <v>3.0008472046247594E-2</v>
          </cell>
          <cell r="G15">
            <v>2.9875317026820503E-2</v>
          </cell>
          <cell r="H15">
            <v>2.9587496906213734E-2</v>
          </cell>
          <cell r="I15">
            <v>5.2032922577463893E-3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D16"/>
          <cell r="E16"/>
          <cell r="F16">
            <v>5.5655621895826801</v>
          </cell>
          <cell r="G16">
            <v>15.320211118881801</v>
          </cell>
          <cell r="H16">
            <v>21.4360389924645</v>
          </cell>
          <cell r="I16">
            <v>26.2223874258348</v>
          </cell>
          <cell r="J16">
            <v>30.724511805244799</v>
          </cell>
          <cell r="K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D17"/>
          <cell r="E17"/>
          <cell r="F17">
            <v>0.18986508296825197</v>
          </cell>
          <cell r="G17">
            <v>0.54102993172568192</v>
          </cell>
          <cell r="H17">
            <v>0.76733300968895457</v>
          </cell>
          <cell r="I17">
            <v>0.95124981178823942</v>
          </cell>
          <cell r="J17">
            <v>1.166578124495433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D18"/>
          <cell r="E18"/>
          <cell r="F18">
            <v>9.8680180666359724E-2</v>
          </cell>
          <cell r="G18">
            <v>0.27163494891634399</v>
          </cell>
          <cell r="H18">
            <v>0.3800716133415683</v>
          </cell>
          <cell r="I18">
            <v>0.46493594726657389</v>
          </cell>
          <cell r="J18">
            <v>0.54476084761072319</v>
          </cell>
          <cell r="K18"/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D19"/>
          <cell r="E19"/>
          <cell r="F19">
            <v>0.18986508296825197</v>
          </cell>
          <cell r="G19">
            <v>0.54102993172568192</v>
          </cell>
          <cell r="H19">
            <v>0.76733300968895457</v>
          </cell>
          <cell r="I19">
            <v>0.95124981178823942</v>
          </cell>
          <cell r="J19">
            <v>1.166578124495433</v>
          </cell>
          <cell r="K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D20"/>
          <cell r="E20">
            <v>1.34215651857193E-5</v>
          </cell>
          <cell r="F20">
            <v>1.51347534428062E-2</v>
          </cell>
          <cell r="G20">
            <v>2.48856829203646E-2</v>
          </cell>
          <cell r="H20">
            <v>1.7138824995342399E-2</v>
          </cell>
          <cell r="I20">
            <v>3.4086196423897097E-2</v>
          </cell>
          <cell r="J20">
            <v>5.3774767804038399E-2</v>
          </cell>
          <cell r="K20"/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D21"/>
          <cell r="E21">
            <v>1.34215651857193E-5</v>
          </cell>
          <cell r="F21">
            <v>1.5145975704407035E-2</v>
          </cell>
          <cell r="G21">
            <v>4.0030278959081483E-2</v>
          </cell>
          <cell r="H21">
            <v>5.7156471033013363E-2</v>
          </cell>
          <cell r="I21">
            <v>7.0895244054787129E-2</v>
          </cell>
          <cell r="J21">
            <v>8.5758792027590416E-2</v>
          </cell>
          <cell r="K21"/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D22">
            <v>0.46159904975162597</v>
          </cell>
          <cell r="E22">
            <v>0.5446111002284405</v>
          </cell>
          <cell r="F22">
            <v>0.57530150914458866</v>
          </cell>
          <cell r="G22">
            <v>0.59338116082553971</v>
          </cell>
          <cell r="H22">
            <v>0.59397895608854012</v>
          </cell>
          <cell r="I22">
            <v>0.59454914029965111</v>
          </cell>
          <cell r="J22">
            <v>0.59544162723104088</v>
          </cell>
          <cell r="K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D23">
            <v>0.46159904975162597</v>
          </cell>
          <cell r="E23">
            <v>0.5446111002284405</v>
          </cell>
          <cell r="F23">
            <v>0.57530150914458866</v>
          </cell>
          <cell r="G23">
            <v>0.59338116082553971</v>
          </cell>
          <cell r="H23">
            <v>0.59397895608854012</v>
          </cell>
          <cell r="I23">
            <v>0.59454914029965111</v>
          </cell>
          <cell r="J23">
            <v>0.59544162723104088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D24">
            <v>0.62589701661237407</v>
          </cell>
          <cell r="E24">
            <v>0.73762225764574341</v>
          </cell>
          <cell r="F24">
            <v>0.77787246306873914</v>
          </cell>
          <cell r="G24">
            <v>0.80006448650634476</v>
          </cell>
          <cell r="H24">
            <v>0.7986271678501381</v>
          </cell>
          <cell r="I24">
            <v>0.79716085850232588</v>
          </cell>
          <cell r="J24">
            <v>0.79392216964138729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D25"/>
          <cell r="E25">
            <v>1.05363524761904E-2</v>
          </cell>
          <cell r="F25">
            <v>2.50728135014529E-3</v>
          </cell>
          <cell r="G25">
            <v>1.87249107764758E-3</v>
          </cell>
          <cell r="H25">
            <v>2.8404034920983701E-2</v>
          </cell>
          <cell r="I25">
            <v>1.9220177293959199E-2</v>
          </cell>
          <cell r="J25">
            <v>2.1280060726095899E-2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D26">
            <v>2.9860759506449799E-2</v>
          </cell>
          <cell r="E26">
            <v>4.0362078771685593E-2</v>
          </cell>
          <cell r="F26">
            <v>4.2730081397943251E-2</v>
          </cell>
          <cell r="G26">
            <v>4.4468930722632229E-2</v>
          </cell>
          <cell r="H26">
            <v>4.547407517617006E-2</v>
          </cell>
          <cell r="I26">
            <v>4.7990090879960104E-2</v>
          </cell>
          <cell r="J26">
            <v>4.6522657992711096E-2</v>
          </cell>
        </row>
        <row r="27">
          <cell r="A27" t="str">
            <v>RHSA-WHWODBR</v>
          </cell>
          <cell r="B27" t="str">
            <v>VAR_fout</v>
          </cell>
          <cell r="C27" t="str">
            <v>RHSA-WHWOD</v>
          </cell>
          <cell r="D27">
            <v>0.5205740069369198</v>
          </cell>
          <cell r="E27">
            <v>0.59729223818153576</v>
          </cell>
          <cell r="F27">
            <v>1.187262500008621</v>
          </cell>
          <cell r="G27">
            <v>1.1594599532141887</v>
          </cell>
          <cell r="H27">
            <v>1.0748350247191591</v>
          </cell>
          <cell r="I27">
            <v>1.0023515345736462</v>
          </cell>
          <cell r="J27">
            <v>0.73448337362611127</v>
          </cell>
        </row>
        <row r="28">
          <cell r="A28" t="str">
            <v>RHSA-WHWODBR</v>
          </cell>
          <cell r="B28" t="str">
            <v>VAR_fin</v>
          </cell>
          <cell r="C28" t="str">
            <v>RWOD</v>
          </cell>
          <cell r="D28">
            <v>1.0411480138738396</v>
          </cell>
          <cell r="E28">
            <v>1.1945844763630717</v>
          </cell>
          <cell r="F28">
            <v>2.7167265261710254</v>
          </cell>
          <cell r="G28">
            <v>2.5757919451097897</v>
          </cell>
          <cell r="H28">
            <v>2.3372702598531729</v>
          </cell>
          <cell r="I28">
            <v>2.1277488457449785</v>
          </cell>
          <cell r="J28">
            <v>1.4741181651844584</v>
          </cell>
          <cell r="K28"/>
        </row>
        <row r="29">
          <cell r="A29" t="str">
            <v>RHSA-WHWODBR</v>
          </cell>
          <cell r="B29" t="str">
            <v>VAR_ncap</v>
          </cell>
          <cell r="C29" t="str">
            <v>-</v>
          </cell>
          <cell r="D29"/>
          <cell r="E29">
            <v>5.41651913412056E-3</v>
          </cell>
          <cell r="F29">
            <v>3.8637788231454202E-2</v>
          </cell>
          <cell r="G29">
            <v>6.3872109185682095E-4</v>
          </cell>
          <cell r="H29">
            <v>2.28758568357002E-2</v>
          </cell>
          <cell r="I29">
            <v>4.1649047832763103E-2</v>
          </cell>
          <cell r="J29">
            <v>1.29412087494574E-2</v>
          </cell>
          <cell r="K29"/>
        </row>
        <row r="30">
          <cell r="A30" t="str">
            <v>RHSA-WHWODBR</v>
          </cell>
          <cell r="B30" t="str">
            <v>VAR_cap</v>
          </cell>
          <cell r="C30" t="str">
            <v>-</v>
          </cell>
          <cell r="D30">
            <v>3.5322010722483803E-2</v>
          </cell>
          <cell r="E30">
            <v>4.07353379435757E-2</v>
          </cell>
          <cell r="F30">
            <v>7.9366798973991071E-2</v>
          </cell>
          <cell r="G30">
            <v>7.999555582088011E-2</v>
          </cell>
          <cell r="H30">
            <v>7.4056700208753434E-2</v>
          </cell>
          <cell r="I30">
            <v>7.1790880105837257E-2</v>
          </cell>
          <cell r="J30">
            <v>5.283823408616671E-2</v>
          </cell>
          <cell r="K30"/>
        </row>
        <row r="31">
          <cell r="A31" t="str">
            <v>RHES-SHWODBR</v>
          </cell>
          <cell r="B31" t="str">
            <v>VAR_fout</v>
          </cell>
          <cell r="C31" t="str">
            <v>RHES-SHWOD</v>
          </cell>
          <cell r="D31">
            <v>4.3872675358504267</v>
          </cell>
          <cell r="E31">
            <v>5.034275664361922</v>
          </cell>
          <cell r="F31">
            <v>5.2092658519603576</v>
          </cell>
          <cell r="G31">
            <v>4.3635988756800383</v>
          </cell>
          <cell r="H31">
            <v>3.4804543436397202</v>
          </cell>
          <cell r="I31">
            <v>2.7001271364865627</v>
          </cell>
          <cell r="J31">
            <v>1.4269907581318986</v>
          </cell>
          <cell r="K31"/>
        </row>
        <row r="32">
          <cell r="A32" t="str">
            <v>RHES-SHWODBR</v>
          </cell>
          <cell r="B32" t="str">
            <v>VAR_fin</v>
          </cell>
          <cell r="C32" t="str">
            <v>RWOD</v>
          </cell>
          <cell r="D32">
            <v>6.0934271331255916</v>
          </cell>
          <cell r="E32">
            <v>6.9920495338360089</v>
          </cell>
          <cell r="F32">
            <v>7.2728686534131199</v>
          </cell>
          <cell r="G32">
            <v>6.0151304348040728</v>
          </cell>
          <cell r="H32">
            <v>4.7754211673758791</v>
          </cell>
          <cell r="I32">
            <v>3.6804466240873372</v>
          </cell>
          <cell r="J32">
            <v>1.8858092467576106</v>
          </cell>
          <cell r="K32"/>
        </row>
        <row r="33">
          <cell r="A33" t="str">
            <v>RHES-SHWODBR</v>
          </cell>
          <cell r="B33" t="str">
            <v>VAR_ncap</v>
          </cell>
          <cell r="C33" t="str">
            <v>-</v>
          </cell>
          <cell r="D33"/>
          <cell r="E33">
            <v>5.2637621411119502E-2</v>
          </cell>
          <cell r="F33">
            <v>1.40894821124369E-2</v>
          </cell>
          <cell r="G33">
            <v>6.0001701976115399E-6</v>
          </cell>
          <cell r="H33">
            <v>0.148858073762556</v>
          </cell>
          <cell r="I33">
            <v>6.8268872134265302E-2</v>
          </cell>
          <cell r="J33">
            <v>3.1994797887777999E-3</v>
          </cell>
          <cell r="K33"/>
        </row>
        <row r="34">
          <cell r="A34" t="str">
            <v>RHES-SHWODBR</v>
          </cell>
          <cell r="B34" t="str">
            <v>VAR_cap</v>
          </cell>
          <cell r="C34" t="str">
            <v>-</v>
          </cell>
          <cell r="D34">
            <v>0.354428052062076</v>
          </cell>
          <cell r="E34">
            <v>0.40706401122983077</v>
          </cell>
          <cell r="F34">
            <v>0.42115076347291652</v>
          </cell>
          <cell r="G34">
            <v>0.4211108049366965</v>
          </cell>
          <cell r="H34">
            <v>0.28181272304156546</v>
          </cell>
          <cell r="I34">
            <v>0.21961902417972748</v>
          </cell>
          <cell r="J34">
            <v>0.11570763049401579</v>
          </cell>
        </row>
        <row r="35">
          <cell r="A35" t="str">
            <v>D-EH2</v>
          </cell>
          <cell r="B35" t="str">
            <v>VAR_fout</v>
          </cell>
          <cell r="C35" t="str">
            <v>EH2</v>
          </cell>
          <cell r="D35"/>
          <cell r="E35"/>
          <cell r="F35"/>
          <cell r="G35"/>
          <cell r="H35"/>
          <cell r="I35">
            <v>0.61232654842610823</v>
          </cell>
          <cell r="J35">
            <v>0.6812803750313271</v>
          </cell>
        </row>
        <row r="36">
          <cell r="A36" t="str">
            <v>D-EH2</v>
          </cell>
          <cell r="B36" t="str">
            <v>VAR_fin</v>
          </cell>
          <cell r="C36" t="str">
            <v>H2</v>
          </cell>
          <cell r="D36"/>
          <cell r="E36"/>
          <cell r="F36"/>
          <cell r="G36"/>
          <cell r="H36"/>
          <cell r="I36">
            <v>0.61851166507687727</v>
          </cell>
          <cell r="J36">
            <v>0.68816199498113839</v>
          </cell>
        </row>
        <row r="37">
          <cell r="A37" t="str">
            <v>D-EH2</v>
          </cell>
          <cell r="B37" t="str">
            <v>VAR_ncap</v>
          </cell>
          <cell r="C37" t="str">
            <v>-</v>
          </cell>
          <cell r="D37"/>
          <cell r="E37"/>
          <cell r="F37"/>
          <cell r="G37">
            <v>1.7992197827938499E-5</v>
          </cell>
          <cell r="H37">
            <v>5.29424932935146E-5</v>
          </cell>
          <cell r="I37">
            <v>7.4075419918628094E-2</v>
          </cell>
          <cell r="J37">
            <v>2.31108261890313E-3</v>
          </cell>
          <cell r="K37"/>
        </row>
        <row r="38">
          <cell r="A38" t="str">
            <v>D-EH2</v>
          </cell>
          <cell r="B38" t="str">
            <v>VAR_cap</v>
          </cell>
          <cell r="C38" t="str">
            <v>-</v>
          </cell>
          <cell r="D38"/>
          <cell r="E38"/>
          <cell r="F38"/>
          <cell r="G38">
            <v>1.7992197827938499E-5</v>
          </cell>
          <cell r="H38">
            <v>7.0934691121453099E-5</v>
          </cell>
          <cell r="I38">
            <v>7.4146354609749596E-2</v>
          </cell>
          <cell r="J38">
            <v>7.6457437228652697E-2</v>
          </cell>
          <cell r="K38"/>
        </row>
        <row r="39">
          <cell r="A39" t="str">
            <v>SCOM-SHWODBR</v>
          </cell>
          <cell r="B39" t="str">
            <v>VAR_fout</v>
          </cell>
          <cell r="C39" t="str">
            <v>SCOM-SHWOD</v>
          </cell>
          <cell r="D39">
            <v>6.1736155374772199</v>
          </cell>
          <cell r="E39">
            <v>5.2279712568500267</v>
          </cell>
          <cell r="F39">
            <v>6.7954740716128024</v>
          </cell>
          <cell r="G39">
            <v>6.5084223188485115</v>
          </cell>
          <cell r="H39">
            <v>5.7276529687464448</v>
          </cell>
          <cell r="I39">
            <v>4.8630387211704749</v>
          </cell>
          <cell r="J39">
            <v>3.3475511759153287</v>
          </cell>
        </row>
        <row r="40">
          <cell r="A40" t="str">
            <v>SCOM-SHWODBR</v>
          </cell>
          <cell r="B40" t="str">
            <v>VAR_fin</v>
          </cell>
          <cell r="C40" t="str">
            <v>SWOD</v>
          </cell>
          <cell r="D40">
            <v>8.5744660242739226</v>
          </cell>
          <cell r="E40">
            <v>7.2610711900694813</v>
          </cell>
          <cell r="F40">
            <v>10.069284452655683</v>
          </cell>
          <cell r="G40">
            <v>9.6060666162982002</v>
          </cell>
          <cell r="H40">
            <v>8.4536948091823874</v>
          </cell>
          <cell r="I40">
            <v>7.1453071659315377</v>
          </cell>
          <cell r="J40">
            <v>4.7599824851355077</v>
          </cell>
        </row>
        <row r="41">
          <cell r="A41" t="str">
            <v>SCOM-SHWODBR</v>
          </cell>
          <cell r="B41" t="str">
            <v>VAR_ncap</v>
          </cell>
          <cell r="C41" t="str">
            <v>-</v>
          </cell>
          <cell r="D41">
            <v>1.3126125075240799E-4</v>
          </cell>
          <cell r="E41">
            <v>1.00361653279643E-4</v>
          </cell>
          <cell r="F41">
            <v>4.7798161312985803E-2</v>
          </cell>
          <cell r="G41">
            <v>3.6075211316188E-5</v>
          </cell>
          <cell r="H41">
            <v>0.27602017262031697</v>
          </cell>
          <cell r="I41">
            <v>9.8440422847636197E-2</v>
          </cell>
          <cell r="J41">
            <v>8.2108869270847207E-2</v>
          </cell>
          <cell r="K41"/>
        </row>
        <row r="42">
          <cell r="A42" t="str">
            <v>SCOM-SHWODBR</v>
          </cell>
          <cell r="B42" t="str">
            <v>VAR_cap</v>
          </cell>
          <cell r="C42" t="str">
            <v>-</v>
          </cell>
          <cell r="D42">
            <v>0.47855153906786441</v>
          </cell>
          <cell r="E42">
            <v>0.47864425585781628</v>
          </cell>
          <cell r="F42">
            <v>0.52643129802286148</v>
          </cell>
          <cell r="G42">
            <v>0.52634695596744452</v>
          </cell>
          <cell r="H42">
            <v>0.44791902829591013</v>
          </cell>
          <cell r="I42">
            <v>0.3829195118442158</v>
          </cell>
          <cell r="J42">
            <v>0.2702931228575805</v>
          </cell>
          <cell r="K42"/>
        </row>
        <row r="43">
          <cell r="A43" t="str">
            <v>ITOT-SWHLTHCHP</v>
          </cell>
          <cell r="B43" t="str">
            <v>VAR_fout</v>
          </cell>
          <cell r="C43" t="str">
            <v>ITOT-SWH</v>
          </cell>
          <cell r="D43">
            <v>5.185249597601489</v>
          </cell>
          <cell r="E43">
            <v>5.5677090452185043</v>
          </cell>
          <cell r="F43">
            <v>5.8793007002002549</v>
          </cell>
          <cell r="G43">
            <v>6.375406323532256</v>
          </cell>
          <cell r="H43">
            <v>8.1327420196055229</v>
          </cell>
          <cell r="I43">
            <v>8.0754214232925268</v>
          </cell>
          <cell r="J43">
            <v>9.4782694070504441</v>
          </cell>
          <cell r="K43"/>
        </row>
        <row r="44">
          <cell r="A44" t="str">
            <v>ITOT-SWHLTHCHP</v>
          </cell>
          <cell r="B44" t="str">
            <v>VAR_fin</v>
          </cell>
          <cell r="C44" t="str">
            <v>ITOTLTHCHPC</v>
          </cell>
          <cell r="D44">
            <v>5.185249597601489</v>
          </cell>
          <cell r="E44">
            <v>5.5677090452185043</v>
          </cell>
          <cell r="F44">
            <v>5.8793007002002549</v>
          </cell>
          <cell r="G44">
            <v>6.375406323532256</v>
          </cell>
          <cell r="H44">
            <v>8.1327420196055229</v>
          </cell>
          <cell r="I44">
            <v>8.0754214232925268</v>
          </cell>
          <cell r="J44">
            <v>9.4782694070504441</v>
          </cell>
          <cell r="K44"/>
        </row>
        <row r="45">
          <cell r="A45" t="str">
            <v>ITOT-SWHLTHCHP</v>
          </cell>
          <cell r="B45" t="str">
            <v>VAR_fin</v>
          </cell>
          <cell r="C45" t="str">
            <v>ITOT_LTH_CHP_ON</v>
          </cell>
          <cell r="D45">
            <v>5.6088509880527848</v>
          </cell>
          <cell r="E45">
            <v>6.0096829821632367</v>
          </cell>
          <cell r="F45">
            <v>6.3257294623133511</v>
          </cell>
          <cell r="G45">
            <v>6.8231644023985361</v>
          </cell>
          <cell r="H45">
            <v>8.6580517733357922</v>
          </cell>
          <cell r="I45">
            <v>8.5519598897579936</v>
          </cell>
          <cell r="J45">
            <v>9.9771256916320485</v>
          </cell>
          <cell r="K45"/>
        </row>
        <row r="46">
          <cell r="A46" t="str">
            <v>ITOT-SWHLTHCHP</v>
          </cell>
          <cell r="B46" t="str">
            <v>VAR_ncap</v>
          </cell>
          <cell r="C46" t="str">
            <v>-</v>
          </cell>
          <cell r="D46"/>
          <cell r="E46">
            <v>0.30070154707496299</v>
          </cell>
          <cell r="F46">
            <v>0.26040889852599303</v>
          </cell>
          <cell r="G46">
            <v>0.205050837459028</v>
          </cell>
          <cell r="H46">
            <v>0.28338158897140397</v>
          </cell>
          <cell r="I46">
            <v>0.36967203263724302</v>
          </cell>
          <cell r="J46">
            <v>0.48459699005707901</v>
          </cell>
          <cell r="K46"/>
        </row>
        <row r="47">
          <cell r="A47" t="str">
            <v>ITOT-SWHLTHCHP</v>
          </cell>
          <cell r="B47" t="str">
            <v>VAR_cap</v>
          </cell>
          <cell r="C47" t="str">
            <v>-</v>
          </cell>
          <cell r="D47">
            <v>0.62661755442165901</v>
          </cell>
          <cell r="E47">
            <v>0.50571658157909094</v>
          </cell>
          <cell r="F47">
            <v>0.48056987322272915</v>
          </cell>
          <cell r="G47">
            <v>0.43601106087199903</v>
          </cell>
          <cell r="H47">
            <v>0.46055540266239092</v>
          </cell>
          <cell r="I47">
            <v>0.56759455774984402</v>
          </cell>
          <cell r="J47">
            <v>0.68251460753568594</v>
          </cell>
          <cell r="K47"/>
        </row>
        <row r="48">
          <cell r="A48" t="str">
            <v>RHSA-WHSTG-NGAHP</v>
          </cell>
          <cell r="B48" t="str">
            <v>VAR_fout</v>
          </cell>
          <cell r="C48" t="str">
            <v>RHSA-WHANGAH</v>
          </cell>
          <cell r="D48"/>
          <cell r="E48"/>
          <cell r="F48">
            <v>6.5524271878731E-2</v>
          </cell>
          <cell r="G48">
            <v>0.1963406131523496</v>
          </cell>
          <cell r="H48">
            <v>0.28220121244517066</v>
          </cell>
          <cell r="I48">
            <v>0.44778222163225767</v>
          </cell>
          <cell r="J48">
            <v>0.55541116101873167</v>
          </cell>
          <cell r="K48"/>
        </row>
        <row r="49">
          <cell r="A49" t="str">
            <v>RHSA-WHSTG-NGAHP</v>
          </cell>
          <cell r="B49" t="str">
            <v>VAR_fout</v>
          </cell>
          <cell r="C49" t="str">
            <v>AUX_RHSA-WHSTG-NGAHP_OUT</v>
          </cell>
          <cell r="D49"/>
          <cell r="E49"/>
          <cell r="F49">
            <v>6.5589796150609697E-2</v>
          </cell>
          <cell r="G49">
            <v>0.19653695376550204</v>
          </cell>
          <cell r="H49">
            <v>0.28248341365761587</v>
          </cell>
          <cell r="I49">
            <v>0.44823000385388995</v>
          </cell>
          <cell r="J49">
            <v>0.55596657217975054</v>
          </cell>
          <cell r="K49"/>
        </row>
        <row r="50">
          <cell r="A50" t="str">
            <v>RHSA-WHSTG-NGAHP</v>
          </cell>
          <cell r="B50" t="str">
            <v>VAR_fin</v>
          </cell>
          <cell r="C50" t="str">
            <v>RHSA-WHANGAH</v>
          </cell>
          <cell r="D50"/>
          <cell r="E50"/>
          <cell r="F50">
            <v>6.5671379964504395E-2</v>
          </cell>
          <cell r="G50">
            <v>0.19646844625976126</v>
          </cell>
          <cell r="H50">
            <v>0.28227849419690887</v>
          </cell>
          <cell r="I50">
            <v>0.44781799853599746</v>
          </cell>
          <cell r="J50">
            <v>0.55549089760108805</v>
          </cell>
          <cell r="K50"/>
        </row>
        <row r="51">
          <cell r="A51" t="str">
            <v>RHSA-WHSTG-NGAHP</v>
          </cell>
          <cell r="B51" t="str">
            <v>VAR_ncap</v>
          </cell>
          <cell r="C51" t="str">
            <v>-</v>
          </cell>
          <cell r="D51">
            <v>2.7516222829698003E-4</v>
          </cell>
          <cell r="E51">
            <v>2.4087714391671301E-4</v>
          </cell>
          <cell r="F51">
            <v>1.7367675440875599E-2</v>
          </cell>
          <cell r="G51">
            <v>3.4166327537441199E-2</v>
          </cell>
          <cell r="H51">
            <v>2.3194613001234501E-2</v>
          </cell>
          <cell r="I51">
            <v>4.78859906071403E-2</v>
          </cell>
          <cell r="J51">
            <v>6.4361447617039297E-2</v>
          </cell>
          <cell r="K51"/>
        </row>
        <row r="52">
          <cell r="A52" t="str">
            <v>RHSA-WHSTG-NGAHP</v>
          </cell>
          <cell r="B52" t="str">
            <v>VAR_cap</v>
          </cell>
          <cell r="C52" t="str">
            <v>-</v>
          </cell>
          <cell r="D52">
            <v>2.7516656813704053E-4</v>
          </cell>
          <cell r="E52">
            <v>3.0089131372868492E-5</v>
          </cell>
          <cell r="F52">
            <v>1.7205880458671132E-2</v>
          </cell>
          <cell r="G52">
            <v>5.1057302680974997E-2</v>
          </cell>
          <cell r="H52">
            <v>7.3577792705198125E-2</v>
          </cell>
          <cell r="I52">
            <v>9.6147603053355693E-2</v>
          </cell>
          <cell r="J52">
            <v>0.10807231243866906</v>
          </cell>
          <cell r="K52"/>
        </row>
        <row r="53">
          <cell r="A53" t="str">
            <v>D-RES_LTH</v>
          </cell>
          <cell r="B53" t="str">
            <v>VAR_fout</v>
          </cell>
          <cell r="C53" t="str">
            <v>RHNS_LTH_DH</v>
          </cell>
          <cell r="D53"/>
          <cell r="E53">
            <v>5.4722919745918884E-2</v>
          </cell>
          <cell r="F53">
            <v>3.4194417493835089E-3</v>
          </cell>
          <cell r="G53">
            <v>0.16441057041326471</v>
          </cell>
          <cell r="H53">
            <v>0.17518280883366746</v>
          </cell>
          <cell r="I53">
            <v>0.18826841729994523</v>
          </cell>
          <cell r="J53">
            <v>0.21820988630940233</v>
          </cell>
          <cell r="K53"/>
        </row>
        <row r="54">
          <cell r="A54" t="str">
            <v>D-RES_LTH</v>
          </cell>
          <cell r="B54" t="str">
            <v>VAR_fout</v>
          </cell>
          <cell r="C54" t="str">
            <v>RHEM_LTH_DH</v>
          </cell>
          <cell r="D54">
            <v>3.2441566801198554</v>
          </cell>
          <cell r="E54">
            <v>3.8271834983213817</v>
          </cell>
          <cell r="F54">
            <v>4.9630346394655369</v>
          </cell>
          <cell r="G54">
            <v>5.8981026393857814</v>
          </cell>
          <cell r="H54">
            <v>6.0641437326656504</v>
          </cell>
          <cell r="I54">
            <v>6.3514152994795117</v>
          </cell>
          <cell r="J54">
            <v>5.7495669418962772</v>
          </cell>
          <cell r="K54"/>
        </row>
        <row r="55">
          <cell r="A55" t="str">
            <v>D-RES_LTH</v>
          </cell>
          <cell r="B55" t="str">
            <v>VAR_fout</v>
          </cell>
          <cell r="C55" t="str">
            <v>RHES_LTH_DH</v>
          </cell>
          <cell r="D55">
            <v>3.082908899073729</v>
          </cell>
          <cell r="E55">
            <v>3.5393268763488424</v>
          </cell>
          <cell r="F55">
            <v>1.6035797939051133</v>
          </cell>
          <cell r="G55">
            <v>2.1572173489483526</v>
          </cell>
          <cell r="H55">
            <v>2.3209061975364316</v>
          </cell>
          <cell r="I55">
            <v>2.5044595268295273</v>
          </cell>
          <cell r="J55">
            <v>2.3857098775142527</v>
          </cell>
          <cell r="K55"/>
        </row>
        <row r="56">
          <cell r="A56" t="str">
            <v>D-RES_LTH</v>
          </cell>
          <cell r="B56" t="str">
            <v>VAR_fout</v>
          </cell>
          <cell r="C56" t="str">
            <v>RHSA_LTH</v>
          </cell>
          <cell r="D56">
            <v>2.0131047531767807</v>
          </cell>
          <cell r="E56">
            <v>1.8879617069428996</v>
          </cell>
          <cell r="F56">
            <v>1.723070490059023</v>
          </cell>
          <cell r="G56">
            <v>2.6346427750573715</v>
          </cell>
          <cell r="H56">
            <v>3.0197157449949295</v>
          </cell>
          <cell r="I56">
            <v>3.4769324430318589</v>
          </cell>
          <cell r="J56">
            <v>3.7365714020276655</v>
          </cell>
          <cell r="K56"/>
        </row>
        <row r="57">
          <cell r="A57" t="str">
            <v>D-RES_LTH</v>
          </cell>
          <cell r="B57" t="str">
            <v>VAR_fout</v>
          </cell>
          <cell r="C57" t="str">
            <v>RHNM_LTH_DH</v>
          </cell>
          <cell r="D57"/>
          <cell r="E57">
            <v>0.35038320116997812</v>
          </cell>
          <cell r="F57">
            <v>5.8877796156853054E-2</v>
          </cell>
          <cell r="G57">
            <v>0.2576850732650941</v>
          </cell>
          <cell r="H57">
            <v>0.29846840245504824</v>
          </cell>
          <cell r="I57">
            <v>0.3458342880857227</v>
          </cell>
          <cell r="J57">
            <v>0.42544631432208502</v>
          </cell>
          <cell r="K57"/>
        </row>
        <row r="58">
          <cell r="A58" t="str">
            <v>D-RES_LTH</v>
          </cell>
          <cell r="B58" t="str">
            <v>VAR_fin</v>
          </cell>
          <cell r="C58" t="str">
            <v>LTH</v>
          </cell>
          <cell r="D58">
            <v>9.2189163284720301</v>
          </cell>
          <cell r="E58">
            <v>10.676183546015393</v>
          </cell>
          <cell r="F58">
            <v>9.2102728170518571</v>
          </cell>
          <cell r="G58">
            <v>12.209058898588196</v>
          </cell>
          <cell r="H58">
            <v>13.003351143329136</v>
          </cell>
          <cell r="I58">
            <v>14.033967387605387</v>
          </cell>
          <cell r="J58">
            <v>13.551321454953005</v>
          </cell>
          <cell r="K58"/>
        </row>
        <row r="59">
          <cell r="A59" t="str">
            <v>D-RES_LTH</v>
          </cell>
          <cell r="B59" t="str">
            <v>VAR_ncap</v>
          </cell>
          <cell r="C59" t="str">
            <v>-</v>
          </cell>
          <cell r="D59">
            <v>0.62872578402729395</v>
          </cell>
          <cell r="E59">
            <v>9.8494481158043597E-6</v>
          </cell>
          <cell r="F59">
            <v>7.4855704138889197E-6</v>
          </cell>
          <cell r="G59">
            <v>8.5454131953277205E-6</v>
          </cell>
          <cell r="H59">
            <v>5.1768526931827497E-4</v>
          </cell>
          <cell r="I59">
            <v>1.5454269930811299E-2</v>
          </cell>
          <cell r="J59">
            <v>5.90256082814464E-6</v>
          </cell>
          <cell r="K59"/>
        </row>
        <row r="60">
          <cell r="A60" t="str">
            <v>D-RES_LTH</v>
          </cell>
          <cell r="B60" t="str">
            <v>VAR_cap</v>
          </cell>
          <cell r="C60" t="str">
            <v>-</v>
          </cell>
          <cell r="D60">
            <v>0.62872578402729395</v>
          </cell>
          <cell r="E60">
            <v>0.62873563347540995</v>
          </cell>
          <cell r="F60">
            <v>0.62874311904582303</v>
          </cell>
          <cell r="G60">
            <v>0.62875166445901898</v>
          </cell>
          <cell r="H60">
            <v>0.62926934972833704</v>
          </cell>
          <cell r="I60">
            <v>0.64472361965914804</v>
          </cell>
          <cell r="J60">
            <v>0.64472952221997604</v>
          </cell>
          <cell r="K60"/>
        </row>
        <row r="61">
          <cell r="A61" t="str">
            <v>D-RHEM_NKEV_GAS_ELC_CHP</v>
          </cell>
          <cell r="B61" t="str">
            <v>VAR_fout</v>
          </cell>
          <cell r="C61" t="str">
            <v>ELC5</v>
          </cell>
          <cell r="D61">
            <v>1.8477303212783718E-2</v>
          </cell>
          <cell r="E61">
            <v>4.4309731786837123E-3</v>
          </cell>
          <cell r="F61">
            <v>8.2373721841995408E-3</v>
          </cell>
          <cell r="G61"/>
          <cell r="H61"/>
          <cell r="I61"/>
          <cell r="J61"/>
          <cell r="K61"/>
        </row>
        <row r="62">
          <cell r="A62" t="str">
            <v>D-RHEM_NKEV_GAS_ELC_CHP</v>
          </cell>
          <cell r="B62" t="str">
            <v>VAR_fout</v>
          </cell>
          <cell r="C62" t="str">
            <v>RHEM_ELC</v>
          </cell>
          <cell r="D62">
            <v>3.4190689301063698E-2</v>
          </cell>
          <cell r="E62">
            <v>7.0231405794334966E-3</v>
          </cell>
          <cell r="F62">
            <v>1.8166152754064382E-2</v>
          </cell>
          <cell r="G62"/>
          <cell r="H62"/>
          <cell r="I62"/>
          <cell r="J62"/>
          <cell r="K62"/>
        </row>
        <row r="63">
          <cell r="A63" t="str">
            <v>D-RHEM_NKEV_GAS_ELC_CHP</v>
          </cell>
          <cell r="B63" t="str">
            <v>VAR_fin</v>
          </cell>
          <cell r="C63" t="str">
            <v>RHEM_NKEV_GAS_ELC_CHP</v>
          </cell>
          <cell r="D63">
            <v>5.2667992513847454E-2</v>
          </cell>
          <cell r="E63">
            <v>1.1454113758117206E-2</v>
          </cell>
          <cell r="F63">
            <v>2.6264146285527507E-2</v>
          </cell>
          <cell r="G63"/>
          <cell r="H63"/>
          <cell r="I63"/>
          <cell r="J63"/>
        </row>
        <row r="64">
          <cell r="A64" t="str">
            <v>SCOM-SHDEM</v>
          </cell>
          <cell r="B64" t="str">
            <v>VAR_fout</v>
          </cell>
          <cell r="C64" t="str">
            <v>SCOM-SHD</v>
          </cell>
          <cell r="D64">
            <v>73.239122145699255</v>
          </cell>
          <cell r="E64">
            <v>78.57808051542051</v>
          </cell>
          <cell r="F64">
            <v>62.631587545176224</v>
          </cell>
          <cell r="G64">
            <v>60.944788470074066</v>
          </cell>
          <cell r="H64">
            <v>60.171044755783939</v>
          </cell>
          <cell r="I64">
            <v>59.910110111901531</v>
          </cell>
          <cell r="J64">
            <v>58.419332144415137</v>
          </cell>
        </row>
        <row r="65">
          <cell r="A65" t="str">
            <v>SCOM-SHDEM</v>
          </cell>
          <cell r="B65" t="str">
            <v>VAR_fin</v>
          </cell>
          <cell r="C65" t="str">
            <v>SCOM-SHCON</v>
          </cell>
          <cell r="D65"/>
          <cell r="E65">
            <v>9.1196048512748433</v>
          </cell>
          <cell r="F65">
            <v>2.3236179549947913</v>
          </cell>
          <cell r="G65">
            <v>4.6907855027135685</v>
          </cell>
          <cell r="H65">
            <v>6.9869374183165025</v>
          </cell>
          <cell r="I65">
            <v>9.1866061577635207</v>
          </cell>
          <cell r="J65">
            <v>13.861943146816269</v>
          </cell>
        </row>
        <row r="66">
          <cell r="A66" t="str">
            <v>SCOM-SHDEM</v>
          </cell>
          <cell r="B66" t="str">
            <v>VAR_fin</v>
          </cell>
          <cell r="C66" t="str">
            <v>SCOM-SHWOD</v>
          </cell>
          <cell r="D66">
            <v>6.1736155374772199</v>
          </cell>
          <cell r="E66">
            <v>5.2279712568500267</v>
          </cell>
          <cell r="F66">
            <v>6.7954740716128024</v>
          </cell>
          <cell r="G66">
            <v>6.5084223188485115</v>
          </cell>
          <cell r="H66">
            <v>5.7276529687464448</v>
          </cell>
          <cell r="I66">
            <v>4.8630387211704749</v>
          </cell>
          <cell r="J66">
            <v>3.3475511759153287</v>
          </cell>
        </row>
        <row r="67">
          <cell r="A67" t="str">
            <v>SCOM-SHDEM</v>
          </cell>
          <cell r="B67" t="str">
            <v>VAR_fin</v>
          </cell>
          <cell r="C67" t="str">
            <v>SCOM-SHLTHD</v>
          </cell>
          <cell r="D67">
            <v>5.553970815025008</v>
          </cell>
          <cell r="E67">
            <v>6.0159819352655468</v>
          </cell>
          <cell r="F67">
            <v>4.8845488682816356</v>
          </cell>
          <cell r="G67">
            <v>6.306409427354704</v>
          </cell>
          <cell r="H67">
            <v>6.8699997234675649</v>
          </cell>
          <cell r="I67">
            <v>7.6309864554643649</v>
          </cell>
          <cell r="J67">
            <v>7.3759388122050371</v>
          </cell>
          <cell r="K67"/>
        </row>
        <row r="68">
          <cell r="A68" t="str">
            <v>SCOM-SHDEM</v>
          </cell>
          <cell r="B68" t="str">
            <v>VAR_fin</v>
          </cell>
          <cell r="C68" t="str">
            <v>SCOM-SHELCB</v>
          </cell>
          <cell r="D68">
            <v>2.3941021672557818</v>
          </cell>
          <cell r="E68">
            <v>0.5894863488465153</v>
          </cell>
          <cell r="F68">
            <v>0.52198247446151713</v>
          </cell>
          <cell r="G68">
            <v>0.30399371289949051</v>
          </cell>
          <cell r="H68">
            <v>0.26579349397035462</v>
          </cell>
          <cell r="I68">
            <v>0.2182953395111511</v>
          </cell>
          <cell r="J68">
            <v>0.15819117301309699</v>
          </cell>
          <cell r="K68"/>
        </row>
        <row r="69">
          <cell r="A69" t="str">
            <v>SCOM-SHDEM</v>
          </cell>
          <cell r="B69" t="str">
            <v>VAR_fin</v>
          </cell>
          <cell r="C69" t="str">
            <v>SCOM-SHBIO</v>
          </cell>
          <cell r="D69">
            <v>1.2231576316855999</v>
          </cell>
          <cell r="E69">
            <v>1.3408440109024429</v>
          </cell>
          <cell r="F69"/>
          <cell r="G69"/>
          <cell r="H69"/>
          <cell r="I69"/>
          <cell r="J69"/>
        </row>
        <row r="70">
          <cell r="A70" t="str">
            <v>SCOM-SHDEM</v>
          </cell>
          <cell r="B70" t="str">
            <v>VAR_fin</v>
          </cell>
          <cell r="C70" t="str">
            <v>SCOM-SHELCH</v>
          </cell>
          <cell r="D70">
            <v>4.2612733487174257</v>
          </cell>
          <cell r="E70">
            <v>4.6177026750116514</v>
          </cell>
          <cell r="F70">
            <v>4.74113573310352</v>
          </cell>
          <cell r="G70">
            <v>8.1723585314036349</v>
          </cell>
          <cell r="H70">
            <v>11.580811078163673</v>
          </cell>
          <cell r="I70">
            <v>15.846859245947499</v>
          </cell>
          <cell r="J70">
            <v>18.489094377097949</v>
          </cell>
        </row>
        <row r="71">
          <cell r="A71" t="str">
            <v>SCOM-SHDEM</v>
          </cell>
          <cell r="B71" t="str">
            <v>VAR_fin</v>
          </cell>
          <cell r="C71" t="str">
            <v>SCOM-SHPLT</v>
          </cell>
          <cell r="D71">
            <v>1.8771506481142195</v>
          </cell>
          <cell r="E71">
            <v>2.1601257705803349</v>
          </cell>
          <cell r="F71">
            <v>0.36389940041924101</v>
          </cell>
          <cell r="G71">
            <v>0.47075826318942304</v>
          </cell>
          <cell r="H71">
            <v>0.55067018125800105</v>
          </cell>
          <cell r="I71">
            <v>0.71175550133104226</v>
          </cell>
          <cell r="J71">
            <v>0.73431783870908807</v>
          </cell>
          <cell r="K71"/>
        </row>
        <row r="72">
          <cell r="A72" t="str">
            <v>SCOM-SHDEM</v>
          </cell>
          <cell r="B72" t="str">
            <v>VAR_fin</v>
          </cell>
          <cell r="C72" t="str">
            <v>SCOM-SHLTHC-NGA</v>
          </cell>
          <cell r="D72">
            <v>0.68572188469556261</v>
          </cell>
          <cell r="E72">
            <v>0.74279796427719036</v>
          </cell>
          <cell r="F72"/>
          <cell r="G72"/>
          <cell r="H72"/>
          <cell r="I72"/>
          <cell r="J72"/>
          <cell r="K72"/>
        </row>
        <row r="73">
          <cell r="A73" t="str">
            <v>SCOM-SHDEM</v>
          </cell>
          <cell r="B73" t="str">
            <v>VAR_fin</v>
          </cell>
          <cell r="C73" t="str">
            <v>SCOM-SHSOL</v>
          </cell>
          <cell r="D73">
            <v>0.62710216400420538</v>
          </cell>
          <cell r="E73">
            <v>0.68743569104213953</v>
          </cell>
          <cell r="F73">
            <v>0.55478229561784964</v>
          </cell>
          <cell r="G73">
            <v>0.60824688262900894</v>
          </cell>
          <cell r="H73">
            <v>0.66065678979764697</v>
          </cell>
          <cell r="I73">
            <v>0.73659841905204093</v>
          </cell>
          <cell r="J73">
            <v>0.77794964257147836</v>
          </cell>
        </row>
        <row r="74">
          <cell r="A74" t="str">
            <v>SCOM-SHDEM</v>
          </cell>
          <cell r="B74" t="str">
            <v>VAR_fin</v>
          </cell>
          <cell r="C74" t="str">
            <v>SCOM-SHNGA</v>
          </cell>
          <cell r="D74">
            <v>24.189797043386285</v>
          </cell>
          <cell r="E74">
            <v>25.32358573032193</v>
          </cell>
          <cell r="F74">
            <v>19.399026731304602</v>
          </cell>
          <cell r="G74">
            <v>14.580020031693589</v>
          </cell>
          <cell r="H74">
            <v>9.764843973041673</v>
          </cell>
          <cell r="I74">
            <v>5.1984716653405085</v>
          </cell>
          <cell r="J74">
            <v>1.9492260961283017</v>
          </cell>
        </row>
        <row r="75">
          <cell r="A75" t="str">
            <v>SCOM-SHDEM</v>
          </cell>
          <cell r="B75" t="str">
            <v>VAR_fin</v>
          </cell>
          <cell r="C75" t="str">
            <v>SCOM-SHNGAH</v>
          </cell>
          <cell r="D75"/>
          <cell r="E75"/>
          <cell r="F75">
            <v>2.3714014555608292</v>
          </cell>
          <cell r="G75">
            <v>6.6218235767430116</v>
          </cell>
          <cell r="H75">
            <v>8.6335229326786376</v>
          </cell>
          <cell r="I75">
            <v>11.067669503073887</v>
          </cell>
          <cell r="J75">
            <v>11.37915937598788</v>
          </cell>
        </row>
        <row r="76">
          <cell r="A76" t="str">
            <v>SCOM-SHDEM</v>
          </cell>
          <cell r="B76" t="str">
            <v>VAR_fin</v>
          </cell>
          <cell r="C76" t="str">
            <v>SCOM-SHLTHC-BIO</v>
          </cell>
          <cell r="D76">
            <v>1.4101242347924117</v>
          </cell>
          <cell r="E76">
            <v>1.5274224691406926</v>
          </cell>
          <cell r="F76"/>
          <cell r="G76"/>
          <cell r="H76"/>
          <cell r="I76"/>
          <cell r="J76"/>
          <cell r="K76"/>
        </row>
        <row r="77">
          <cell r="A77" t="str">
            <v>SCOM-SHDEM</v>
          </cell>
          <cell r="B77" t="str">
            <v>VAR_fin</v>
          </cell>
          <cell r="C77" t="str">
            <v>SCOM-SHLFO</v>
          </cell>
          <cell r="D77">
            <v>24.84310667054552</v>
          </cell>
          <cell r="E77">
            <v>21.225121811907183</v>
          </cell>
          <cell r="F77">
            <v>20.675718559819455</v>
          </cell>
          <cell r="G77">
            <v>12.681970222599137</v>
          </cell>
          <cell r="H77">
            <v>9.1301561963433819</v>
          </cell>
          <cell r="I77">
            <v>4.4498291032470156</v>
          </cell>
          <cell r="J77">
            <v>0.34596050597075112</v>
          </cell>
          <cell r="K77"/>
        </row>
        <row r="78">
          <cell r="A78" t="str">
            <v>ITOT-SWHSTG-NGAHP</v>
          </cell>
          <cell r="B78" t="str">
            <v>VAR_fout</v>
          </cell>
          <cell r="C78" t="str">
            <v>ITOT-SWHANGAH</v>
          </cell>
          <cell r="D78">
            <v>2.503876265760728E-3</v>
          </cell>
          <cell r="E78">
            <v>3.3962515696796028E-3</v>
          </cell>
          <cell r="F78">
            <v>1.3222689614160978E-2</v>
          </cell>
          <cell r="G78">
            <v>5.9731188508299095E-3</v>
          </cell>
          <cell r="H78">
            <v>1.1930604466768807E-2</v>
          </cell>
          <cell r="I78">
            <v>8.0468123511892777E-3</v>
          </cell>
          <cell r="J78">
            <v>6.3207132655893903E-3</v>
          </cell>
          <cell r="K78"/>
        </row>
        <row r="79">
          <cell r="A79" t="str">
            <v>ITOT-SWHSTG-NGAHP</v>
          </cell>
          <cell r="B79" t="str">
            <v>VAR_fin</v>
          </cell>
          <cell r="C79" t="str">
            <v>ITOT-SWHANGAH</v>
          </cell>
          <cell r="D79">
            <v>2.503876265760728E-3</v>
          </cell>
          <cell r="E79">
            <v>3.3962515696796028E-3</v>
          </cell>
          <cell r="F79">
            <v>1.7047771240567819E-2</v>
          </cell>
          <cell r="G79">
            <v>7.2296294907607909E-3</v>
          </cell>
          <cell r="H79">
            <v>1.3928123361055695E-2</v>
          </cell>
          <cell r="I79">
            <v>9.3952437571689622E-3</v>
          </cell>
          <cell r="J79">
            <v>7.0233320951690629E-3</v>
          </cell>
          <cell r="K79"/>
        </row>
        <row r="80">
          <cell r="A80" t="str">
            <v>ITOT-SWHSTG-NGAHP</v>
          </cell>
          <cell r="B80" t="str">
            <v>VAR_ncap</v>
          </cell>
          <cell r="C80" t="str">
            <v>-</v>
          </cell>
          <cell r="D80">
            <v>4.9957268332593001E-2</v>
          </cell>
          <cell r="E80">
            <v>1.38977530167136E-4</v>
          </cell>
          <cell r="F80">
            <v>7.8119803948069799E-4</v>
          </cell>
          <cell r="G80">
            <v>4.2488482811906702E-4</v>
          </cell>
          <cell r="H80">
            <v>1.2699259219369999E-3</v>
          </cell>
          <cell r="I80">
            <v>7.9556940892073201E-4</v>
          </cell>
          <cell r="J80">
            <v>6.64738900462291E-4</v>
          </cell>
          <cell r="K80"/>
        </row>
        <row r="81">
          <cell r="A81" t="str">
            <v>ITOT-SWHSTG-NGAHP</v>
          </cell>
          <cell r="B81" t="str">
            <v>VAR_cap</v>
          </cell>
          <cell r="C81" t="str">
            <v>-</v>
          </cell>
          <cell r="D81">
            <v>4.9957268332593001E-2</v>
          </cell>
          <cell r="E81">
            <v>4.7940433746219979E-4</v>
          </cell>
          <cell r="F81">
            <v>1.3192607518179994E-3</v>
          </cell>
          <cell r="G81">
            <v>6.6506331555400006E-4</v>
          </cell>
          <cell r="H81">
            <v>1.1784807806165011E-3</v>
          </cell>
          <cell r="I81">
            <v>8.2847505958030029E-4</v>
          </cell>
          <cell r="J81">
            <v>4.5418559768590008E-4</v>
          </cell>
          <cell r="K81"/>
        </row>
        <row r="82">
          <cell r="A82" t="str">
            <v>ITOT-STG-ELCSPEC</v>
          </cell>
          <cell r="B82" t="str">
            <v>VAR_fout</v>
          </cell>
          <cell r="C82" t="str">
            <v>ITOT-ELS</v>
          </cell>
          <cell r="D82"/>
          <cell r="E82">
            <v>0.27780447798033869</v>
          </cell>
          <cell r="F82">
            <v>0.28552025423626026</v>
          </cell>
          <cell r="G82">
            <v>0.29610670964392505</v>
          </cell>
          <cell r="H82">
            <v>0.29234907920480552</v>
          </cell>
          <cell r="I82">
            <v>0.40489169987147122</v>
          </cell>
          <cell r="J82">
            <v>0.60951151805616266</v>
          </cell>
        </row>
        <row r="83">
          <cell r="A83" t="str">
            <v>ITOT-STG-ELCSPEC</v>
          </cell>
          <cell r="B83" t="str">
            <v>VAR_fin</v>
          </cell>
          <cell r="C83" t="str">
            <v>ITOT-ELS</v>
          </cell>
          <cell r="D83"/>
          <cell r="E83">
            <v>0.27785030151261425</v>
          </cell>
          <cell r="F83">
            <v>0.28556553225029402</v>
          </cell>
          <cell r="G83">
            <v>0.29614144342672166</v>
          </cell>
          <cell r="H83">
            <v>0.29238802132402597</v>
          </cell>
          <cell r="I83">
            <v>0.40492333992947027</v>
          </cell>
          <cell r="J83">
            <v>0.60954315811416271</v>
          </cell>
          <cell r="K83"/>
        </row>
        <row r="84">
          <cell r="A84" t="str">
            <v>ITOT-STG-ELCSPEC</v>
          </cell>
          <cell r="B84" t="str">
            <v>VAR_ncap</v>
          </cell>
          <cell r="C84" t="str">
            <v>-</v>
          </cell>
          <cell r="D84"/>
          <cell r="E84">
            <v>1.1037606942539E-2</v>
          </cell>
          <cell r="F84">
            <v>1.77831567011025E-4</v>
          </cell>
          <cell r="G84">
            <v>7.9573374059947898E-5</v>
          </cell>
          <cell r="H84">
            <v>2.7690927611961902E-4</v>
          </cell>
          <cell r="I84">
            <v>9.8535651836498105E-3</v>
          </cell>
          <cell r="J84">
            <v>1.53258847043296E-2</v>
          </cell>
          <cell r="K84"/>
        </row>
        <row r="85">
          <cell r="A85" t="str">
            <v>ITOT-STG-ELCSPEC</v>
          </cell>
          <cell r="B85" t="str">
            <v>VAR_cap</v>
          </cell>
          <cell r="C85" t="str">
            <v>-</v>
          </cell>
          <cell r="D85"/>
          <cell r="E85">
            <v>1.1037606942539E-2</v>
          </cell>
          <cell r="F85">
            <v>1.1201231770979274E-2</v>
          </cell>
          <cell r="G85">
            <v>1.1255768168051876E-2</v>
          </cell>
          <cell r="H85">
            <v>1.1489043615226929E-2</v>
          </cell>
          <cell r="I85">
            <v>1.6008453844096861E-2</v>
          </cell>
          <cell r="J85">
            <v>2.538763699219182E-2</v>
          </cell>
          <cell r="K85"/>
        </row>
        <row r="86">
          <cell r="A86" t="str">
            <v>D-RHES_LTH_CHPNGA</v>
          </cell>
          <cell r="B86" t="str">
            <v>VAR_fout</v>
          </cell>
          <cell r="C86" t="str">
            <v>RHSA_LTH</v>
          </cell>
          <cell r="D86">
            <v>1.4581196467108763E-2</v>
          </cell>
          <cell r="E86">
            <v>5.6129048253401946E-4</v>
          </cell>
          <cell r="F86">
            <v>3.6922729058987921E-3</v>
          </cell>
          <cell r="G86">
            <v>2.7279336995268043E-4</v>
          </cell>
          <cell r="H86">
            <v>3.0388849980771739E-4</v>
          </cell>
          <cell r="I86">
            <v>3.2502785712555589E-4</v>
          </cell>
          <cell r="J86">
            <v>2.2127738846700276E-4</v>
          </cell>
          <cell r="K86"/>
        </row>
        <row r="87">
          <cell r="A87" t="str">
            <v>D-RHES_LTH_CHPNGA</v>
          </cell>
          <cell r="B87" t="str">
            <v>VAR_fout</v>
          </cell>
          <cell r="C87" t="str">
            <v>LTH</v>
          </cell>
          <cell r="D87"/>
          <cell r="E87">
            <v>4.3993282120330925E-6</v>
          </cell>
          <cell r="F87">
            <v>8.1770661582516199E-6</v>
          </cell>
          <cell r="G87">
            <v>2.0942554975015999E-5</v>
          </cell>
          <cell r="H87">
            <v>3.3484110389001007E-5</v>
          </cell>
          <cell r="I87">
            <v>1.0237643770347558E-4</v>
          </cell>
          <cell r="J87">
            <v>1.1692907230918055E-4</v>
          </cell>
          <cell r="K87"/>
        </row>
        <row r="88">
          <cell r="A88" t="str">
            <v>D-RHES_LTH_CHPNGA</v>
          </cell>
          <cell r="B88" t="str">
            <v>VAR_fout</v>
          </cell>
          <cell r="C88" t="str">
            <v>RHES_LTH_CHPNGA_ON</v>
          </cell>
          <cell r="D88">
            <v>5.3826986452792325E-2</v>
          </cell>
          <cell r="E88">
            <v>2.0700570673417955E-2</v>
          </cell>
          <cell r="F88">
            <v>1.7180235264738785E-2</v>
          </cell>
          <cell r="G88">
            <v>1.57378663147612E-4</v>
          </cell>
          <cell r="H88">
            <v>7.5420589469897271E-5</v>
          </cell>
          <cell r="I88">
            <v>7.1592593799875103E-5</v>
          </cell>
          <cell r="J88">
            <v>6.29551328757007E-5</v>
          </cell>
          <cell r="K88"/>
        </row>
        <row r="89">
          <cell r="A89" t="str">
            <v>D-RHES_LTH_CHPNGA</v>
          </cell>
          <cell r="B89" t="str">
            <v>VAR_fin</v>
          </cell>
          <cell r="C89" t="str">
            <v>RHES_LTH_CHPNGA</v>
          </cell>
          <cell r="D89">
            <v>6.8408182919901139E-2</v>
          </cell>
          <cell r="E89">
            <v>2.1266804699343653E-2</v>
          </cell>
          <cell r="F89">
            <v>2.0880685236795836E-2</v>
          </cell>
          <cell r="G89">
            <v>4.5111458807530836E-4</v>
          </cell>
          <cell r="H89">
            <v>4.1279319966661528E-4</v>
          </cell>
          <cell r="I89">
            <v>4.989968886289066E-4</v>
          </cell>
          <cell r="J89">
            <v>4.0116159365188398E-4</v>
          </cell>
          <cell r="K89"/>
        </row>
        <row r="90">
          <cell r="A90" t="str">
            <v>D-ICOA</v>
          </cell>
          <cell r="B90" t="str">
            <v>VAR_fout</v>
          </cell>
          <cell r="C90" t="str">
            <v>ICOA</v>
          </cell>
          <cell r="D90">
            <v>3.5601573608479287</v>
          </cell>
          <cell r="E90">
            <v>3.4647541095190793</v>
          </cell>
          <cell r="F90">
            <v>0.12899021100237884</v>
          </cell>
          <cell r="G90">
            <v>4.382933590500058E-3</v>
          </cell>
          <cell r="H90">
            <v>3.876612328033311E-2</v>
          </cell>
          <cell r="I90">
            <v>6.0437062319505354E-3</v>
          </cell>
          <cell r="J90">
            <v>3.5054025893484758E-5</v>
          </cell>
          <cell r="K90"/>
        </row>
        <row r="91">
          <cell r="A91" t="str">
            <v>D-ICOA</v>
          </cell>
          <cell r="B91" t="str">
            <v>VAR_fout</v>
          </cell>
          <cell r="C91" t="str">
            <v>CO2</v>
          </cell>
          <cell r="D91">
            <v>330.02658735060299</v>
          </cell>
          <cell r="E91">
            <v>321.18270595241898</v>
          </cell>
          <cell r="F91">
            <v>11.9573925599205</v>
          </cell>
          <cell r="G91">
            <v>0.40629794383935502</v>
          </cell>
          <cell r="H91">
            <v>3.5936196280868802</v>
          </cell>
          <cell r="I91">
            <v>0.56025156770181495</v>
          </cell>
          <cell r="J91">
            <v>3.24950820032604E-3</v>
          </cell>
          <cell r="K91"/>
        </row>
        <row r="92">
          <cell r="A92" t="str">
            <v>D-ICOA</v>
          </cell>
          <cell r="B92" t="str">
            <v>VAR_fin</v>
          </cell>
          <cell r="C92" t="str">
            <v>COA</v>
          </cell>
          <cell r="D92">
            <v>3.5601573608479287</v>
          </cell>
          <cell r="E92">
            <v>3.4647541095190793</v>
          </cell>
          <cell r="F92">
            <v>0.12899021100237884</v>
          </cell>
          <cell r="G92">
            <v>4.382933590500058E-3</v>
          </cell>
          <cell r="H92">
            <v>3.876612328033311E-2</v>
          </cell>
          <cell r="I92">
            <v>6.0437062319505354E-3</v>
          </cell>
          <cell r="J92">
            <v>3.5054025893484758E-5</v>
          </cell>
          <cell r="K92"/>
        </row>
        <row r="93">
          <cell r="A93" t="str">
            <v>RHEM-SHCONBR1</v>
          </cell>
          <cell r="B93" t="str">
            <v>VAR_fout</v>
          </cell>
          <cell r="C93" t="str">
            <v>RHEM-SHCON</v>
          </cell>
          <cell r="D93">
            <v>7.1975525833996926E-2</v>
          </cell>
          <cell r="E93">
            <v>0.78083387731223763</v>
          </cell>
          <cell r="F93">
            <v>0.60713207917911105</v>
          </cell>
          <cell r="G93">
            <v>3.1450545735356465</v>
          </cell>
          <cell r="H93">
            <v>3.9194101336383964</v>
          </cell>
          <cell r="I93">
            <v>3.9216028316968656</v>
          </cell>
          <cell r="J93">
            <v>4.2473246456801013</v>
          </cell>
        </row>
        <row r="94">
          <cell r="A94" t="str">
            <v>RHEM-SHCONBR1</v>
          </cell>
          <cell r="B94" t="str">
            <v>VAR_fin</v>
          </cell>
          <cell r="C94" t="str">
            <v>CON</v>
          </cell>
          <cell r="D94">
            <v>7.1975525833996926E-2</v>
          </cell>
          <cell r="E94">
            <v>0.78083387731223763</v>
          </cell>
          <cell r="F94">
            <v>0.60713207917911105</v>
          </cell>
          <cell r="G94">
            <v>3.1450545735356465</v>
          </cell>
          <cell r="H94">
            <v>3.9194101336383964</v>
          </cell>
          <cell r="I94">
            <v>3.9216028316968656</v>
          </cell>
          <cell r="J94">
            <v>4.2473246456801013</v>
          </cell>
        </row>
        <row r="95">
          <cell r="A95" t="str">
            <v>RHEM-SHCONBR1</v>
          </cell>
          <cell r="B95" t="str">
            <v>VAR_ncap</v>
          </cell>
          <cell r="C95" t="str">
            <v>-</v>
          </cell>
          <cell r="D95">
            <v>2.7554077799323999E-2</v>
          </cell>
          <cell r="E95">
            <v>2.75539786011396E-2</v>
          </cell>
          <cell r="F95">
            <v>1.5861925378405399E-5</v>
          </cell>
          <cell r="G95">
            <v>0.167309286646081</v>
          </cell>
          <cell r="H95">
            <v>5.4666705336085801E-2</v>
          </cell>
          <cell r="I95">
            <v>9.2930100134385395E-5</v>
          </cell>
          <cell r="J95">
            <v>4.82592919409289E-2</v>
          </cell>
          <cell r="K95"/>
        </row>
        <row r="96">
          <cell r="A96" t="str">
            <v>RHEM-SHCONBR1</v>
          </cell>
          <cell r="B96" t="str">
            <v>VAR_cap</v>
          </cell>
          <cell r="C96" t="str">
            <v>-</v>
          </cell>
          <cell r="D96">
            <v>2.7554077799323999E-2</v>
          </cell>
          <cell r="E96">
            <v>5.5107840083491753E-2</v>
          </cell>
          <cell r="F96">
            <v>5.5117544417588933E-2</v>
          </cell>
          <cell r="G96">
            <v>0.22242831932891682</v>
          </cell>
          <cell r="H96">
            <v>0.27709351912554098</v>
          </cell>
          <cell r="I96">
            <v>0.27718653198535376</v>
          </cell>
          <cell r="J96">
            <v>0.30008328102472692</v>
          </cell>
          <cell r="K96"/>
        </row>
        <row r="97">
          <cell r="A97" t="str">
            <v>RHEM-SHELCBR</v>
          </cell>
          <cell r="B97" t="str">
            <v>VAR_fout</v>
          </cell>
          <cell r="C97" t="str">
            <v>RHEM-SHAELCB</v>
          </cell>
          <cell r="D97">
            <v>4.6282832699191712</v>
          </cell>
          <cell r="E97">
            <v>3.1639894046457111</v>
          </cell>
          <cell r="F97">
            <v>3.7731573357621936E-2</v>
          </cell>
          <cell r="G97">
            <v>1.2481596664829309E-2</v>
          </cell>
          <cell r="H97">
            <v>3.929032895859089E-3</v>
          </cell>
          <cell r="I97">
            <v>3.1834263174253742E-3</v>
          </cell>
          <cell r="J97">
            <v>3.4813266591810668E-3</v>
          </cell>
          <cell r="K97"/>
        </row>
        <row r="98">
          <cell r="A98" t="str">
            <v>RHEM-SHELCBR</v>
          </cell>
          <cell r="B98" t="str">
            <v>VAR_fin</v>
          </cell>
          <cell r="C98" t="str">
            <v>RHEM_ELC</v>
          </cell>
          <cell r="D98">
            <v>4.8718771262307055</v>
          </cell>
          <cell r="E98">
            <v>3.330515162784959</v>
          </cell>
          <cell r="F98">
            <v>4.1041417219887612E-2</v>
          </cell>
          <cell r="G98">
            <v>1.3576492330080321E-2</v>
          </cell>
          <cell r="H98">
            <v>4.2235548590355797E-3</v>
          </cell>
          <cell r="I98">
            <v>3.422057296978637E-3</v>
          </cell>
          <cell r="J98">
            <v>3.7422883740094869E-3</v>
          </cell>
        </row>
        <row r="99">
          <cell r="A99" t="str">
            <v>RHEM-SHELCBR</v>
          </cell>
          <cell r="B99" t="str">
            <v>VAR_ncap</v>
          </cell>
          <cell r="C99" t="str">
            <v>-</v>
          </cell>
          <cell r="D99">
            <v>3.5902932955284299E-5</v>
          </cell>
          <cell r="E99">
            <v>8.1008534575081908E-6</v>
          </cell>
          <cell r="F99">
            <v>6.0817118223816303E-6</v>
          </cell>
          <cell r="G99">
            <v>1.2117004303629501E-5</v>
          </cell>
          <cell r="H99">
            <v>9.8304288285879705E-5</v>
          </cell>
          <cell r="I99">
            <v>3.25932083169807E-4</v>
          </cell>
          <cell r="J99">
            <v>1.46378505719233E-4</v>
          </cell>
        </row>
        <row r="100">
          <cell r="A100" t="str">
            <v>RHEM-SHELCBR</v>
          </cell>
          <cell r="B100" t="str">
            <v>VAR_cap</v>
          </cell>
          <cell r="C100" t="str">
            <v>-</v>
          </cell>
          <cell r="D100">
            <v>0.32683704688129428</v>
          </cell>
          <cell r="E100">
            <v>0.32672591689224684</v>
          </cell>
          <cell r="F100">
            <v>5.0356995806931093E-3</v>
          </cell>
          <cell r="G100">
            <v>1.6487051827047683E-3</v>
          </cell>
          <cell r="H100">
            <v>5.0063601646342659E-4</v>
          </cell>
          <cell r="I100">
            <v>4.0750387523822974E-4</v>
          </cell>
          <cell r="J100">
            <v>4.0830259916791362E-4</v>
          </cell>
          <cell r="K100"/>
        </row>
        <row r="101">
          <cell r="A101" t="str">
            <v>RHNM-SHLTHCHPNGA</v>
          </cell>
          <cell r="B101" t="str">
            <v>VAR_fout</v>
          </cell>
          <cell r="C101" t="str">
            <v>RHNM-SHLTHC-NGA</v>
          </cell>
          <cell r="D101"/>
          <cell r="E101">
            <v>2.73810764560535E-3</v>
          </cell>
          <cell r="F101"/>
          <cell r="G101"/>
          <cell r="H101"/>
          <cell r="I101"/>
          <cell r="J101"/>
          <cell r="K101"/>
        </row>
        <row r="102">
          <cell r="A102" t="str">
            <v>RHNM-SHLTHCHPNGA</v>
          </cell>
          <cell r="B102" t="str">
            <v>VAR_fin</v>
          </cell>
          <cell r="C102" t="str">
            <v>RHNMLTHCHPC</v>
          </cell>
          <cell r="D102"/>
          <cell r="E102">
            <v>2.73810764560535E-3</v>
          </cell>
          <cell r="F102"/>
          <cell r="G102"/>
          <cell r="H102"/>
          <cell r="I102"/>
          <cell r="J102"/>
          <cell r="K102"/>
        </row>
        <row r="103">
          <cell r="A103" t="str">
            <v>RHNM-SHLTHCHPNGA</v>
          </cell>
          <cell r="B103" t="str">
            <v>VAR_fin</v>
          </cell>
          <cell r="C103" t="str">
            <v>RHNM_LTH_CHPNGA_ON</v>
          </cell>
          <cell r="D103"/>
          <cell r="E103">
            <v>2.7657652985912645E-3</v>
          </cell>
          <cell r="F103"/>
          <cell r="G103"/>
          <cell r="H103"/>
          <cell r="I103"/>
          <cell r="J103"/>
        </row>
        <row r="104">
          <cell r="A104" t="str">
            <v>RHNM-SHLTHCHPNGA</v>
          </cell>
          <cell r="B104" t="str">
            <v>VAR_ncap</v>
          </cell>
          <cell r="C104" t="str">
            <v>-</v>
          </cell>
          <cell r="D104"/>
          <cell r="E104">
            <v>3.1589238110498099E-3</v>
          </cell>
          <cell r="F104">
            <v>1.7031327440453501E-3</v>
          </cell>
          <cell r="G104">
            <v>1.38972660042193E-3</v>
          </cell>
          <cell r="H104">
            <v>1.38606852689293E-3</v>
          </cell>
          <cell r="I104">
            <v>5.6475155823155305E-4</v>
          </cell>
          <cell r="J104">
            <v>4.0681763708660699E-7</v>
          </cell>
        </row>
        <row r="105">
          <cell r="A105" t="str">
            <v>RHNM-SHLTHCHPNGA</v>
          </cell>
          <cell r="B105" t="str">
            <v>VAR_cap</v>
          </cell>
          <cell r="C105" t="str">
            <v>-</v>
          </cell>
          <cell r="D105"/>
          <cell r="E105">
            <v>3.1589238110498099E-3</v>
          </cell>
          <cell r="F105">
            <v>2.6261163918423203E-3</v>
          </cell>
          <cell r="G105">
            <v>2.5708940860903703E-3</v>
          </cell>
          <cell r="H105">
            <v>2.4709432951140501E-3</v>
          </cell>
          <cell r="I105">
            <v>1.12663790048899E-3</v>
          </cell>
          <cell r="J105"/>
          <cell r="K105"/>
        </row>
        <row r="106">
          <cell r="A106" t="str">
            <v>RHEM-SHCONBR2</v>
          </cell>
          <cell r="B106" t="str">
            <v>VAR_fout</v>
          </cell>
          <cell r="C106" t="str">
            <v>RHEM-SHCON</v>
          </cell>
          <cell r="D106">
            <v>9.5902993517197388E-2</v>
          </cell>
          <cell r="E106">
            <v>1.2158535173980933</v>
          </cell>
          <cell r="F106">
            <v>1.021591906498738</v>
          </cell>
          <cell r="G106">
            <v>1.2152891119430846</v>
          </cell>
          <cell r="H106">
            <v>3.2461214367682589</v>
          </cell>
          <cell r="I106">
            <v>4.0241320610343436</v>
          </cell>
          <cell r="J106">
            <v>6.6151209805285012</v>
          </cell>
          <cell r="K106"/>
        </row>
        <row r="107">
          <cell r="A107" t="str">
            <v>RHEM-SHCONBR2</v>
          </cell>
          <cell r="B107" t="str">
            <v>VAR_fin</v>
          </cell>
          <cell r="C107" t="str">
            <v>CON</v>
          </cell>
          <cell r="D107">
            <v>9.5902993517197388E-2</v>
          </cell>
          <cell r="E107">
            <v>1.2158535173980933</v>
          </cell>
          <cell r="F107">
            <v>1.021591906498738</v>
          </cell>
          <cell r="G107">
            <v>1.2152891119430846</v>
          </cell>
          <cell r="H107">
            <v>3.2461214367682589</v>
          </cell>
          <cell r="I107">
            <v>4.0241320610343436</v>
          </cell>
          <cell r="J107">
            <v>6.6151209805285012</v>
          </cell>
          <cell r="K107"/>
        </row>
        <row r="108">
          <cell r="A108" t="str">
            <v>RHEM-SHCONBR2</v>
          </cell>
          <cell r="B108" t="str">
            <v>VAR_ncap</v>
          </cell>
          <cell r="C108" t="str">
            <v>-</v>
          </cell>
          <cell r="D108">
            <v>4.2914582724294E-2</v>
          </cell>
          <cell r="E108">
            <v>4.2914426077495203E-2</v>
          </cell>
          <cell r="F108">
            <v>1.29965655238573E-5</v>
          </cell>
          <cell r="G108">
            <v>3.0880596106192801E-4</v>
          </cell>
          <cell r="H108">
            <v>0.143396957494276</v>
          </cell>
          <cell r="I108">
            <v>5.4885756552527198E-2</v>
          </cell>
          <cell r="J108">
            <v>0.222336754444765</v>
          </cell>
          <cell r="K108"/>
        </row>
        <row r="109">
          <cell r="A109" t="str">
            <v>RHEM-SHCONBR2</v>
          </cell>
          <cell r="B109" t="str">
            <v>VAR_cap</v>
          </cell>
          <cell r="C109" t="str">
            <v>-</v>
          </cell>
          <cell r="D109">
            <v>4.2914582724294E-2</v>
          </cell>
          <cell r="E109">
            <v>8.5828781884561944E-2</v>
          </cell>
          <cell r="F109">
            <v>8.5835484449639052E-2</v>
          </cell>
          <cell r="G109">
            <v>8.6146017598271521E-2</v>
          </cell>
          <cell r="H109">
            <v>0.2295414799703529</v>
          </cell>
          <cell r="I109">
            <v>0.28442720145601996</v>
          </cell>
          <cell r="J109">
            <v>0.46726456702504393</v>
          </cell>
        </row>
        <row r="110">
          <cell r="A110" t="str">
            <v>D-RHSA_LTH</v>
          </cell>
          <cell r="B110" t="str">
            <v>VAR_fout</v>
          </cell>
          <cell r="C110" t="str">
            <v>RHSA_LTH</v>
          </cell>
          <cell r="D110">
            <v>3.159057308536467E-2</v>
          </cell>
          <cell r="E110">
            <v>3.5698471880815786E-3</v>
          </cell>
          <cell r="F110">
            <v>3.746039049131953E-2</v>
          </cell>
          <cell r="G110">
            <v>8.8437381385151833E-4</v>
          </cell>
          <cell r="H110">
            <v>9.6528336009872747E-4</v>
          </cell>
          <cell r="I110">
            <v>9.4494491353199351E-4</v>
          </cell>
          <cell r="J110">
            <v>5.0783905214985003E-4</v>
          </cell>
        </row>
        <row r="111">
          <cell r="A111" t="str">
            <v>D-RHSA_LTH</v>
          </cell>
          <cell r="B111" t="str">
            <v>VAR_fin</v>
          </cell>
          <cell r="C111" t="str">
            <v>RHEM_LTH_CHPWOD_ON</v>
          </cell>
          <cell r="D111">
            <v>7.1630431747877251E-4</v>
          </cell>
          <cell r="E111">
            <v>2.1779361685312748E-4</v>
          </cell>
          <cell r="F111">
            <v>6.8672549433950291E-5</v>
          </cell>
          <cell r="G111">
            <v>1.4734579189417559E-4</v>
          </cell>
          <cell r="H111">
            <v>1.2242830786353431E-4</v>
          </cell>
          <cell r="I111">
            <v>1.1899842625141383E-4</v>
          </cell>
          <cell r="J111">
            <v>7.3202192594237862E-5</v>
          </cell>
          <cell r="K111"/>
        </row>
        <row r="112">
          <cell r="A112" t="str">
            <v>D-RHSA_LTH</v>
          </cell>
          <cell r="B112" t="str">
            <v>VAR_fin</v>
          </cell>
          <cell r="C112" t="str">
            <v>RHNM_LTH_CHPWOD_ON</v>
          </cell>
          <cell r="D112">
            <v>6.3299589391340664E-4</v>
          </cell>
          <cell r="E112">
            <v>1.0760778197992141E-4</v>
          </cell>
          <cell r="F112">
            <v>6.4390076225150661E-5</v>
          </cell>
          <cell r="G112">
            <v>1.1367041961808162E-4</v>
          </cell>
          <cell r="H112">
            <v>1.0537627526771117E-4</v>
          </cell>
          <cell r="I112">
            <v>1.5284159793656086E-4</v>
          </cell>
          <cell r="J112">
            <v>7.524300828747216E-5</v>
          </cell>
        </row>
        <row r="113">
          <cell r="A113" t="str">
            <v>D-RHSA_LTH</v>
          </cell>
          <cell r="B113" t="str">
            <v>VAR_fin</v>
          </cell>
          <cell r="C113" t="str">
            <v>RHES_LTH_CHPWOD_ON</v>
          </cell>
          <cell r="D113">
            <v>5.382490178127686E-4</v>
          </cell>
          <cell r="E113">
            <v>1.4868872976468454E-4</v>
          </cell>
          <cell r="F113">
            <v>7.1914984971815118E-5</v>
          </cell>
          <cell r="G113">
            <v>6.7755334321466267E-5</v>
          </cell>
          <cell r="H113">
            <v>1.5292889127553199E-4</v>
          </cell>
          <cell r="I113">
            <v>1.8184781027314094E-4</v>
          </cell>
          <cell r="J113">
            <v>7.2314456069522899E-5</v>
          </cell>
        </row>
        <row r="114">
          <cell r="A114" t="str">
            <v>D-RHSA_LTH</v>
          </cell>
          <cell r="B114" t="str">
            <v>VAR_fin</v>
          </cell>
          <cell r="C114" t="str">
            <v>RHNS_LTH_CHPWOD_ON</v>
          </cell>
          <cell r="D114">
            <v>1.9763307501503534E-4</v>
          </cell>
          <cell r="E114">
            <v>1.7424416835493364E-4</v>
          </cell>
          <cell r="F114">
            <v>7.6237024782632945E-5</v>
          </cell>
          <cell r="G114">
            <v>1.174115127308193E-4</v>
          </cell>
          <cell r="H114">
            <v>6.5423001031919898E-5</v>
          </cell>
          <cell r="I114">
            <v>1.0780140517809619E-4</v>
          </cell>
          <cell r="J114">
            <v>1.0774327398804972E-5</v>
          </cell>
        </row>
        <row r="115">
          <cell r="A115" t="str">
            <v>D-RHSA_LTH</v>
          </cell>
          <cell r="B115" t="str">
            <v>VAR_fin</v>
          </cell>
          <cell r="C115" t="str">
            <v>RHEM_LTH_CHPNGA_ON</v>
          </cell>
          <cell r="D115">
            <v>1.5117944800488515E-2</v>
          </cell>
          <cell r="E115">
            <v>6.690006232687902E-4</v>
          </cell>
          <cell r="F115">
            <v>1.999894059116716E-2</v>
          </cell>
          <cell r="G115">
            <v>1.1547379233059459E-4</v>
          </cell>
          <cell r="H115">
            <v>2.1236200541927582E-4</v>
          </cell>
          <cell r="I115">
            <v>8.4181842392626086E-5</v>
          </cell>
          <cell r="J115">
            <v>4.3382019983541174E-5</v>
          </cell>
        </row>
        <row r="116">
          <cell r="A116" t="str">
            <v>D-RHSA_LTH</v>
          </cell>
          <cell r="B116" t="str">
            <v>VAR_fin</v>
          </cell>
          <cell r="C116" t="str">
            <v>RHNM_LTH_CHPNGA_ON</v>
          </cell>
          <cell r="D116">
            <v>5.2522698576197471E-4</v>
          </cell>
          <cell r="E116"/>
          <cell r="F116"/>
          <cell r="G116">
            <v>7.5679727935820039E-5</v>
          </cell>
          <cell r="H116">
            <v>1.1058217858977702E-4</v>
          </cell>
          <cell r="I116">
            <v>1.51149038985125E-4</v>
          </cell>
          <cell r="J116">
            <v>6.2929794167410267E-5</v>
          </cell>
          <cell r="K116"/>
        </row>
        <row r="117">
          <cell r="A117" t="str">
            <v>D-RHSA_LTH</v>
          </cell>
          <cell r="B117" t="str">
            <v>VAR_fin</v>
          </cell>
          <cell r="C117" t="str">
            <v>RHES_LTH_CHPNGA_ON</v>
          </cell>
          <cell r="D117">
            <v>1.3494894570082204E-2</v>
          </cell>
          <cell r="E117">
            <v>4.1609431206916157E-4</v>
          </cell>
          <cell r="F117">
            <v>1.7180235264738785E-2</v>
          </cell>
          <cell r="G117">
            <v>1.57378663147612E-4</v>
          </cell>
          <cell r="H117">
            <v>7.5420589469897271E-5</v>
          </cell>
          <cell r="I117">
            <v>7.1592593799875103E-5</v>
          </cell>
          <cell r="J117">
            <v>6.29551328757007E-5</v>
          </cell>
        </row>
        <row r="118">
          <cell r="A118" t="str">
            <v>D-RHSA_LTH</v>
          </cell>
          <cell r="B118" t="str">
            <v>VAR_fin</v>
          </cell>
          <cell r="C118" t="str">
            <v>RHNS_LTH_CHPNGA_ON</v>
          </cell>
          <cell r="D118">
            <v>3.6732442481197361E-4</v>
          </cell>
          <cell r="E118">
            <v>1.8364179557909587E-3</v>
          </cell>
          <cell r="F118"/>
          <cell r="G118">
            <v>8.9658571872949089E-5</v>
          </cell>
          <cell r="H118">
            <v>1.207621111810801E-4</v>
          </cell>
          <cell r="I118">
            <v>7.6532198715155379E-5</v>
          </cell>
          <cell r="J118">
            <v>1.0703812077315995E-4</v>
          </cell>
          <cell r="K118"/>
        </row>
        <row r="119">
          <cell r="A119" t="str">
            <v>RHEM-SHLTHCHPWOD</v>
          </cell>
          <cell r="B119" t="str">
            <v>VAR_ncap</v>
          </cell>
          <cell r="C119" t="str">
            <v>-</v>
          </cell>
          <cell r="D119"/>
          <cell r="E119"/>
          <cell r="F119"/>
          <cell r="G119">
            <v>2.4561590242110201E-4</v>
          </cell>
          <cell r="H119">
            <v>4.36209980102007E-4</v>
          </cell>
          <cell r="I119">
            <v>2.7334408448424302E-4</v>
          </cell>
          <cell r="J119">
            <v>1.4839214157210599E-4</v>
          </cell>
          <cell r="K119"/>
        </row>
        <row r="120">
          <cell r="A120" t="str">
            <v>RHEM-SHLTHCHPWOD</v>
          </cell>
          <cell r="B120" t="str">
            <v>VAR_cap</v>
          </cell>
          <cell r="C120" t="str">
            <v>-</v>
          </cell>
          <cell r="D120"/>
          <cell r="E120"/>
          <cell r="F120"/>
          <cell r="G120">
            <v>2.4561590242110201E-4</v>
          </cell>
          <cell r="H120">
            <v>5.5898135137044203E-4</v>
          </cell>
          <cell r="I120">
            <v>4.9315887062002404E-4</v>
          </cell>
          <cell r="J120">
            <v>2.5098415085321598E-4</v>
          </cell>
          <cell r="K120"/>
        </row>
        <row r="121">
          <cell r="A121" t="str">
            <v>D-RHEM_LTH_CHPWOD</v>
          </cell>
          <cell r="B121" t="str">
            <v>VAR_fout</v>
          </cell>
          <cell r="C121" t="str">
            <v>RHEM_LTH_CHPWOD_ON</v>
          </cell>
          <cell r="D121">
            <v>7.1630431747877251E-4</v>
          </cell>
          <cell r="E121">
            <v>2.1779361685312748E-4</v>
          </cell>
          <cell r="F121">
            <v>6.8672549433950291E-5</v>
          </cell>
          <cell r="G121">
            <v>1.4734579189417559E-4</v>
          </cell>
          <cell r="H121">
            <v>1.2242830786353431E-4</v>
          </cell>
          <cell r="I121">
            <v>1.1899842625141383E-4</v>
          </cell>
          <cell r="J121">
            <v>7.3202192594237862E-5</v>
          </cell>
          <cell r="K121"/>
        </row>
        <row r="122">
          <cell r="A122" t="str">
            <v>D-RHEM_LTH_CHPWOD</v>
          </cell>
          <cell r="B122" t="str">
            <v>VAR_fout</v>
          </cell>
          <cell r="C122" t="str">
            <v>RHSA_LTH</v>
          </cell>
          <cell r="D122">
            <v>2.163223388788832E-4</v>
          </cell>
          <cell r="E122">
            <v>3.3604900885971509E-4</v>
          </cell>
          <cell r="F122">
            <v>1.6324191380573413E-4</v>
          </cell>
          <cell r="G122">
            <v>2.8283506635738063E-4</v>
          </cell>
          <cell r="H122">
            <v>2.5698578563270949E-4</v>
          </cell>
          <cell r="I122">
            <v>3.2533341276887385E-4</v>
          </cell>
          <cell r="J122">
            <v>2.6393736328166734E-4</v>
          </cell>
          <cell r="K122"/>
        </row>
        <row r="123">
          <cell r="A123" t="str">
            <v>D-RHEM_LTH_CHPWOD</v>
          </cell>
          <cell r="B123" t="str">
            <v>VAR_fout</v>
          </cell>
          <cell r="C123" t="str">
            <v>LTH</v>
          </cell>
          <cell r="D123"/>
          <cell r="E123">
            <v>9.7386470648794632E-6</v>
          </cell>
          <cell r="F123">
            <v>9.6417139464393889E-6</v>
          </cell>
          <cell r="G123">
            <v>2.0961161426705436E-5</v>
          </cell>
          <cell r="H123">
            <v>3.4685672669246948E-5</v>
          </cell>
          <cell r="I123">
            <v>1.0667807878098366E-4</v>
          </cell>
          <cell r="J123">
            <v>1.2376845222450186E-4</v>
          </cell>
          <cell r="K123"/>
        </row>
        <row r="124">
          <cell r="A124" t="str">
            <v>D-RHEM_LTH_CHPWOD</v>
          </cell>
          <cell r="B124" t="str">
            <v>VAR_fin</v>
          </cell>
          <cell r="C124" t="str">
            <v>RHEM_LTH_CHPWOD</v>
          </cell>
          <cell r="D124">
            <v>9.3262665635765539E-4</v>
          </cell>
          <cell r="E124">
            <v>5.6358127277772181E-4</v>
          </cell>
          <cell r="F124">
            <v>2.4155617718612388E-4</v>
          </cell>
          <cell r="G124">
            <v>4.5114201967826149E-4</v>
          </cell>
          <cell r="H124">
            <v>4.1409976616549083E-4</v>
          </cell>
          <cell r="I124">
            <v>5.5100991780127192E-4</v>
          </cell>
          <cell r="J124">
            <v>4.6090800810040695E-4</v>
          </cell>
          <cell r="K124"/>
        </row>
        <row r="125">
          <cell r="A125" t="str">
            <v>RHES-SHLTHDH</v>
          </cell>
          <cell r="B125" t="str">
            <v>VAR_fout</v>
          </cell>
          <cell r="C125" t="str">
            <v>RHES-SHLTHD</v>
          </cell>
          <cell r="D125">
            <v>3.0520798100829905</v>
          </cell>
          <cell r="E125">
            <v>3.5039336075853558</v>
          </cell>
          <cell r="F125">
            <v>1.4312378975475606</v>
          </cell>
          <cell r="G125">
            <v>1.9305270106924444</v>
          </cell>
          <cell r="H125">
            <v>2.0766085873696731</v>
          </cell>
          <cell r="I125">
            <v>2.242861161215592</v>
          </cell>
          <cell r="J125">
            <v>2.1428120875963987</v>
          </cell>
          <cell r="K125"/>
        </row>
        <row r="126">
          <cell r="A126" t="str">
            <v>RHES-SHLTHDH</v>
          </cell>
          <cell r="B126" t="str">
            <v>VAR_fin</v>
          </cell>
          <cell r="C126" t="str">
            <v>RHESLTHDHC</v>
          </cell>
          <cell r="D126">
            <v>3.0520798100829905</v>
          </cell>
          <cell r="E126">
            <v>3.5039336075853558</v>
          </cell>
          <cell r="F126">
            <v>1.4312378975475606</v>
          </cell>
          <cell r="G126">
            <v>1.9305270106924444</v>
          </cell>
          <cell r="H126">
            <v>2.0766085873696731</v>
          </cell>
          <cell r="I126">
            <v>2.242861161215592</v>
          </cell>
          <cell r="J126">
            <v>2.1428120875963987</v>
          </cell>
          <cell r="K126"/>
        </row>
        <row r="127">
          <cell r="A127" t="str">
            <v>RHES-SHLTHDH</v>
          </cell>
          <cell r="B127" t="str">
            <v>VAR_fin</v>
          </cell>
          <cell r="C127" t="str">
            <v>RHES_LTH_DH</v>
          </cell>
          <cell r="D127">
            <v>3.082908899073729</v>
          </cell>
          <cell r="E127">
            <v>3.5393268763488424</v>
          </cell>
          <cell r="F127">
            <v>1.6035797939051133</v>
          </cell>
          <cell r="G127">
            <v>2.1572173489483526</v>
          </cell>
          <cell r="H127">
            <v>2.3209061975364316</v>
          </cell>
          <cell r="I127">
            <v>2.5044595268295273</v>
          </cell>
          <cell r="J127">
            <v>2.3857098775142527</v>
          </cell>
        </row>
        <row r="128">
          <cell r="A128" t="str">
            <v>RHES-SHLTHDH</v>
          </cell>
          <cell r="B128" t="str">
            <v>VAR_ncap</v>
          </cell>
          <cell r="C128" t="str">
            <v>-</v>
          </cell>
          <cell r="D128"/>
          <cell r="E128">
            <v>0.18894577648989599</v>
          </cell>
          <cell r="F128">
            <v>7.6270209109688805E-2</v>
          </cell>
          <cell r="G128">
            <v>8.2409720931230904E-2</v>
          </cell>
          <cell r="H128">
            <v>8.26570641775453E-2</v>
          </cell>
          <cell r="I128">
            <v>9.0343842235201102E-2</v>
          </cell>
          <cell r="J128">
            <v>9.9391825924152202E-2</v>
          </cell>
          <cell r="K128"/>
        </row>
        <row r="129">
          <cell r="A129" t="str">
            <v>RHES-SHLTHDH</v>
          </cell>
          <cell r="B129" t="str">
            <v>VAR_cap</v>
          </cell>
          <cell r="C129" t="str">
            <v>-</v>
          </cell>
          <cell r="D129">
            <v>0.31204626794151202</v>
          </cell>
          <cell r="E129">
            <v>0.29006606886265796</v>
          </cell>
          <cell r="F129">
            <v>0.15305630533446796</v>
          </cell>
          <cell r="G129">
            <v>0.16766197948868805</v>
          </cell>
          <cell r="H129">
            <v>0.1752213798598381</v>
          </cell>
          <cell r="I129">
            <v>0.18524918535054302</v>
          </cell>
          <cell r="J129">
            <v>0.18874869527183302</v>
          </cell>
          <cell r="K129"/>
        </row>
        <row r="130">
          <cell r="A130" t="str">
            <v>RHEM-SHCONBR3</v>
          </cell>
          <cell r="B130" t="str">
            <v>VAR_fout</v>
          </cell>
          <cell r="C130" t="str">
            <v>RHEM-SHCON</v>
          </cell>
          <cell r="D130">
            <v>8.281758535945255E-2</v>
          </cell>
          <cell r="E130">
            <v>0.97706756219146451</v>
          </cell>
          <cell r="F130">
            <v>0.80669534326030057</v>
          </cell>
          <cell r="G130">
            <v>0.97283210418358002</v>
          </cell>
          <cell r="H130">
            <v>0.97335354898032533</v>
          </cell>
          <cell r="I130">
            <v>2.7540199085623871</v>
          </cell>
          <cell r="J130">
            <v>4.8374010894736088</v>
          </cell>
          <cell r="K130"/>
        </row>
        <row r="131">
          <cell r="A131" t="str">
            <v>RHEM-SHCONBR3</v>
          </cell>
          <cell r="B131" t="str">
            <v>VAR_fin</v>
          </cell>
          <cell r="C131" t="str">
            <v>CON</v>
          </cell>
          <cell r="D131">
            <v>8.281758535945255E-2</v>
          </cell>
          <cell r="E131">
            <v>0.97706756219146451</v>
          </cell>
          <cell r="F131">
            <v>0.80669534326030057</v>
          </cell>
          <cell r="G131">
            <v>0.97283210418358002</v>
          </cell>
          <cell r="H131">
            <v>0.97335354898032533</v>
          </cell>
          <cell r="I131">
            <v>2.7540199085623871</v>
          </cell>
          <cell r="J131">
            <v>4.8374010894736088</v>
          </cell>
        </row>
        <row r="132">
          <cell r="A132" t="str">
            <v>RHEM-SHCONBR3</v>
          </cell>
          <cell r="B132" t="str">
            <v>VAR_ncap</v>
          </cell>
          <cell r="C132" t="str">
            <v>-</v>
          </cell>
          <cell r="D132">
            <v>3.44828029025364E-2</v>
          </cell>
          <cell r="E132">
            <v>3.4483310306072802E-2</v>
          </cell>
          <cell r="F132">
            <v>4.0228898601965999E-6</v>
          </cell>
          <cell r="G132">
            <v>1.25149362788056E-5</v>
          </cell>
          <cell r="H132">
            <v>2.0605813969583701E-5</v>
          </cell>
          <cell r="I132">
            <v>0.12569516402259601</v>
          </cell>
          <cell r="J132">
            <v>0.17870122958978199</v>
          </cell>
          <cell r="K132"/>
        </row>
        <row r="133">
          <cell r="A133" t="str">
            <v>RHEM-SHCONBR3</v>
          </cell>
          <cell r="B133" t="str">
            <v>VAR_cap</v>
          </cell>
          <cell r="C133" t="str">
            <v>-</v>
          </cell>
          <cell r="D133">
            <v>3.44828029025364E-2</v>
          </cell>
          <cell r="E133">
            <v>6.8965892995784595E-2</v>
          </cell>
          <cell r="F133">
            <v>6.8963928327583648E-2</v>
          </cell>
          <cell r="G133">
            <v>6.8978422550085849E-2</v>
          </cell>
          <cell r="H133">
            <v>6.8997873634616139E-2</v>
          </cell>
          <cell r="I133">
            <v>0.19469310940270532</v>
          </cell>
          <cell r="J133">
            <v>0.34165753324441173</v>
          </cell>
        </row>
        <row r="134">
          <cell r="A134" t="str">
            <v>D-RHSA_ELC</v>
          </cell>
          <cell r="B134" t="str">
            <v>VAR_fout</v>
          </cell>
          <cell r="C134" t="str">
            <v>RHSA_ELC</v>
          </cell>
          <cell r="D134">
            <v>54.257553456478611</v>
          </cell>
          <cell r="E134">
            <v>54.970622629465694</v>
          </cell>
          <cell r="F134">
            <v>58.224173378107487</v>
          </cell>
          <cell r="G134">
            <v>54.703110916728427</v>
          </cell>
          <cell r="H134">
            <v>54.108802217925351</v>
          </cell>
          <cell r="I134">
            <v>53.381993764697313</v>
          </cell>
          <cell r="J134">
            <v>49.953973699467873</v>
          </cell>
          <cell r="K134"/>
        </row>
        <row r="135">
          <cell r="A135" t="str">
            <v>D-RHSA_ELC</v>
          </cell>
          <cell r="B135" t="str">
            <v>VAR_fin</v>
          </cell>
          <cell r="C135" t="str">
            <v>RHNS_ELC</v>
          </cell>
          <cell r="D135">
            <v>12.049824699378709</v>
          </cell>
          <cell r="E135">
            <v>14.511656261640704</v>
          </cell>
          <cell r="F135">
            <v>14.906466105331445</v>
          </cell>
          <cell r="G135">
            <v>17.483126436734754</v>
          </cell>
          <cell r="H135">
            <v>17.556556300861615</v>
          </cell>
          <cell r="I135">
            <v>16.392398476788372</v>
          </cell>
          <cell r="J135">
            <v>15.533374746982915</v>
          </cell>
        </row>
        <row r="136">
          <cell r="A136" t="str">
            <v>D-RHSA_ELC</v>
          </cell>
          <cell r="B136" t="str">
            <v>VAR_fin</v>
          </cell>
          <cell r="C136" t="str">
            <v>RHES_ELC</v>
          </cell>
          <cell r="D136">
            <v>15.818429745570063</v>
          </cell>
          <cell r="E136">
            <v>13.326840319239121</v>
          </cell>
          <cell r="F136">
            <v>13.886037341456202</v>
          </cell>
          <cell r="G136">
            <v>12.208743836739105</v>
          </cell>
          <cell r="H136">
            <v>12.075681821320245</v>
          </cell>
          <cell r="I136">
            <v>10.585699944112378</v>
          </cell>
          <cell r="J136">
            <v>9.907938061748748</v>
          </cell>
          <cell r="K136"/>
        </row>
        <row r="137">
          <cell r="A137" t="str">
            <v>D-RHSA_ELC</v>
          </cell>
          <cell r="B137" t="str">
            <v>VAR_fin</v>
          </cell>
          <cell r="C137" t="str">
            <v>RHNM_ELC</v>
          </cell>
          <cell r="D137">
            <v>11.292225992114544</v>
          </cell>
          <cell r="E137">
            <v>14.491193975532033</v>
          </cell>
          <cell r="F137">
            <v>15.342351321407831</v>
          </cell>
          <cell r="G137">
            <v>13.314467550784496</v>
          </cell>
          <cell r="H137">
            <v>13.150485985767379</v>
          </cell>
          <cell r="I137">
            <v>14.401510446869686</v>
          </cell>
          <cell r="J137">
            <v>13.298231865883855</v>
          </cell>
        </row>
        <row r="138">
          <cell r="A138" t="str">
            <v>D-RHSA_ELC</v>
          </cell>
          <cell r="B138" t="str">
            <v>VAR_fin</v>
          </cell>
          <cell r="C138" t="str">
            <v>RHEM_ELC</v>
          </cell>
          <cell r="D138">
            <v>15.097720182607391</v>
          </cell>
          <cell r="E138">
            <v>12.641465639973545</v>
          </cell>
          <cell r="F138">
            <v>14.089318609912027</v>
          </cell>
          <cell r="G138">
            <v>11.69677309247008</v>
          </cell>
          <cell r="H138">
            <v>11.326078109976097</v>
          </cell>
          <cell r="I138">
            <v>12.0023848969269</v>
          </cell>
          <cell r="J138">
            <v>11.214429024852341</v>
          </cell>
          <cell r="K138"/>
        </row>
        <row r="139">
          <cell r="A139" t="str">
            <v>SCOM-SHLTHDH</v>
          </cell>
          <cell r="B139" t="str">
            <v>VAR_fout</v>
          </cell>
          <cell r="C139" t="str">
            <v>SCOM-SHLTHD</v>
          </cell>
          <cell r="D139">
            <v>5.553970815025008</v>
          </cell>
          <cell r="E139">
            <v>6.0159819352655468</v>
          </cell>
          <cell r="F139">
            <v>4.8845488682816356</v>
          </cell>
          <cell r="G139">
            <v>6.306409427354704</v>
          </cell>
          <cell r="H139">
            <v>6.8699997234675649</v>
          </cell>
          <cell r="I139">
            <v>7.6309864554643649</v>
          </cell>
          <cell r="J139">
            <v>7.3759388122050371</v>
          </cell>
          <cell r="K139"/>
        </row>
        <row r="140">
          <cell r="A140" t="str">
            <v>SCOM-SHLTHDH</v>
          </cell>
          <cell r="B140" t="str">
            <v>VAR_fin</v>
          </cell>
          <cell r="C140" t="str">
            <v>SCOMLTHDHC</v>
          </cell>
          <cell r="D140">
            <v>5.553970815025008</v>
          </cell>
          <cell r="E140">
            <v>6.0159819352655468</v>
          </cell>
          <cell r="F140">
            <v>4.8845488682816356</v>
          </cell>
          <cell r="G140">
            <v>6.306409427354704</v>
          </cell>
          <cell r="H140">
            <v>6.8699997234675649</v>
          </cell>
          <cell r="I140">
            <v>7.6309864554643649</v>
          </cell>
          <cell r="J140">
            <v>7.3759388122050371</v>
          </cell>
        </row>
        <row r="141">
          <cell r="A141" t="str">
            <v>SCOM-SHLTHDH</v>
          </cell>
          <cell r="B141" t="str">
            <v>VAR_fin</v>
          </cell>
          <cell r="C141" t="str">
            <v>SCOM_LTH_DH</v>
          </cell>
          <cell r="D141">
            <v>5.6100715303282938</v>
          </cell>
          <cell r="E141">
            <v>6.0767494295611515</v>
          </cell>
          <cell r="F141">
            <v>5.9482898181497221</v>
          </cell>
          <cell r="G141">
            <v>7.6471325057742057</v>
          </cell>
          <cell r="H141">
            <v>8.3305403502838278</v>
          </cell>
          <cell r="I141">
            <v>9.2533105005175731</v>
          </cell>
          <cell r="J141">
            <v>8.9440405195947381</v>
          </cell>
          <cell r="K141"/>
        </row>
        <row r="142">
          <cell r="A142" t="str">
            <v>SCOM-SHLTHDH</v>
          </cell>
          <cell r="B142" t="str">
            <v>VAR_ncap</v>
          </cell>
          <cell r="C142" t="str">
            <v>-</v>
          </cell>
          <cell r="D142">
            <v>4.9179264291370999E-7</v>
          </cell>
          <cell r="E142">
            <v>0.40110089840556701</v>
          </cell>
          <cell r="F142">
            <v>0.29113525651151001</v>
          </cell>
          <cell r="G142">
            <v>0.393180100792347</v>
          </cell>
          <cell r="H142">
            <v>0.47232729893897102</v>
          </cell>
          <cell r="I142">
            <v>0.45361815719964599</v>
          </cell>
          <cell r="J142">
            <v>0.549926880787309</v>
          </cell>
          <cell r="K142"/>
        </row>
        <row r="143">
          <cell r="A143" t="str">
            <v>SCOM-SHLTHDH</v>
          </cell>
          <cell r="B143" t="str">
            <v>VAR_cap</v>
          </cell>
          <cell r="C143" t="str">
            <v>-</v>
          </cell>
          <cell r="D143">
            <v>0.84970074472284796</v>
          </cell>
          <cell r="E143">
            <v>0.83331592491419304</v>
          </cell>
          <cell r="F143">
            <v>0.61553296141679292</v>
          </cell>
          <cell r="G143">
            <v>0.7819012951691251</v>
          </cell>
          <cell r="H143">
            <v>0.84966742867751699</v>
          </cell>
          <cell r="I143">
            <v>0.84969457727188691</v>
          </cell>
          <cell r="J143">
            <v>0.84971684033085104</v>
          </cell>
          <cell r="K143"/>
        </row>
        <row r="144">
          <cell r="A144" t="str">
            <v>ITOT-SWHSTG-ELC</v>
          </cell>
          <cell r="B144" t="str">
            <v>VAR_fout</v>
          </cell>
          <cell r="C144" t="str">
            <v>ITOT-SWHAELC</v>
          </cell>
          <cell r="D144">
            <v>3.8537396151990981E-4</v>
          </cell>
          <cell r="E144">
            <v>3.574975765526597E-4</v>
          </cell>
          <cell r="F144">
            <v>0.19944297676150913</v>
          </cell>
          <cell r="G144">
            <v>6.7390851525743645E-2</v>
          </cell>
          <cell r="H144">
            <v>8.9341664793893133E-2</v>
          </cell>
          <cell r="I144">
            <v>0.72783965314537347</v>
          </cell>
          <cell r="J144">
            <v>1.0340403128656204</v>
          </cell>
          <cell r="K144"/>
        </row>
        <row r="145">
          <cell r="A145" t="str">
            <v>ITOT-SWHSTG-ELC</v>
          </cell>
          <cell r="B145" t="str">
            <v>VAR_fin</v>
          </cell>
          <cell r="C145" t="str">
            <v>ITOT-SWHAELC</v>
          </cell>
          <cell r="D145">
            <v>5.2502663195906488E-4</v>
          </cell>
          <cell r="E145">
            <v>3.9846227200896389E-4</v>
          </cell>
          <cell r="F145">
            <v>0.25739585435286033</v>
          </cell>
          <cell r="G145">
            <v>8.4148005580677615E-2</v>
          </cell>
          <cell r="H145">
            <v>0.10822765452173616</v>
          </cell>
          <cell r="I145">
            <v>0.85638950858873042</v>
          </cell>
          <cell r="J145">
            <v>1.1490423249118245</v>
          </cell>
          <cell r="K145"/>
        </row>
        <row r="146">
          <cell r="A146" t="str">
            <v>ITOT-SWHSTG-ELC</v>
          </cell>
          <cell r="B146" t="str">
            <v>VAR_ncap</v>
          </cell>
          <cell r="C146" t="str">
            <v>-</v>
          </cell>
          <cell r="D146">
            <v>3.3229232952013597E-2</v>
          </cell>
          <cell r="E146">
            <v>0.14392754461728599</v>
          </cell>
          <cell r="F146">
            <v>3.4601676114824498E-3</v>
          </cell>
          <cell r="G146">
            <v>6.0593988126316597E-2</v>
          </cell>
          <cell r="H146">
            <v>0.11769700433543399</v>
          </cell>
          <cell r="I146">
            <v>9.2419657074161499E-2</v>
          </cell>
          <cell r="J146">
            <v>0.14468171540473401</v>
          </cell>
          <cell r="K146"/>
        </row>
        <row r="147">
          <cell r="A147" t="str">
            <v>ITOT-SWHSTG-ELC</v>
          </cell>
          <cell r="B147" t="str">
            <v>VAR_cap</v>
          </cell>
          <cell r="C147" t="str">
            <v>-</v>
          </cell>
          <cell r="D147">
            <v>3.3229232952013597E-2</v>
          </cell>
          <cell r="E147">
            <v>0.17703383581606147</v>
          </cell>
          <cell r="F147">
            <v>0.18043261937794172</v>
          </cell>
          <cell r="G147">
            <v>0.24102755026452249</v>
          </cell>
          <cell r="H147">
            <v>0.26380477923440543</v>
          </cell>
          <cell r="I147">
            <v>0.25199220208615897</v>
          </cell>
          <cell r="J147">
            <v>0.2614405987531972</v>
          </cell>
          <cell r="K147"/>
        </row>
        <row r="148">
          <cell r="A148" t="str">
            <v>D-SCOM_SOLELC</v>
          </cell>
          <cell r="B148" t="str">
            <v>VAR_fout</v>
          </cell>
          <cell r="C148" t="str">
            <v>ELC5</v>
          </cell>
          <cell r="D148">
            <v>3.7869871008209828E-2</v>
          </cell>
          <cell r="E148">
            <v>1.535965766169475E-2</v>
          </cell>
          <cell r="F148">
            <v>1.837966981124671E-2</v>
          </cell>
          <cell r="G148">
            <v>1.075403946433059E-2</v>
          </cell>
          <cell r="H148">
            <v>2.4012101014010485E-2</v>
          </cell>
          <cell r="I148">
            <v>0.91125728065662159</v>
          </cell>
          <cell r="J148">
            <v>0.85835446602188115</v>
          </cell>
          <cell r="K148"/>
        </row>
        <row r="149">
          <cell r="A149" t="str">
            <v>D-SCOM_SOLELC</v>
          </cell>
          <cell r="B149" t="str">
            <v>VAR_fout</v>
          </cell>
          <cell r="C149" t="str">
            <v>SCOM_ELC</v>
          </cell>
          <cell r="D149">
            <v>2.8017538147637557</v>
          </cell>
          <cell r="E149">
            <v>3.279152931785434</v>
          </cell>
          <cell r="F149">
            <v>9.9421092880579938</v>
          </cell>
          <cell r="G149">
            <v>17.640755068060738</v>
          </cell>
          <cell r="H149">
            <v>18.780767368076912</v>
          </cell>
          <cell r="I149">
            <v>39.416485248204815</v>
          </cell>
          <cell r="J149">
            <v>42.079460016584527</v>
          </cell>
          <cell r="K149"/>
        </row>
        <row r="150">
          <cell r="A150" t="str">
            <v>D-SCOM_SOLELC</v>
          </cell>
          <cell r="B150" t="str">
            <v>VAR_fin</v>
          </cell>
          <cell r="C150" t="str">
            <v>SCOM_SOL_ELC</v>
          </cell>
          <cell r="D150">
            <v>2.8396236857719668</v>
          </cell>
          <cell r="E150">
            <v>3.2944605147353974</v>
          </cell>
          <cell r="F150">
            <v>9.9604889578692468</v>
          </cell>
          <cell r="G150">
            <v>17.651509107525069</v>
          </cell>
          <cell r="H150">
            <v>18.804779469090921</v>
          </cell>
          <cell r="I150">
            <v>40.327742528861421</v>
          </cell>
          <cell r="J150">
            <v>42.937814482606406</v>
          </cell>
          <cell r="K150"/>
        </row>
        <row r="151">
          <cell r="A151" t="str">
            <v>D-ILFO</v>
          </cell>
          <cell r="B151" t="str">
            <v>VAR_fout</v>
          </cell>
          <cell r="C151" t="str">
            <v>CO2</v>
          </cell>
          <cell r="D151">
            <v>696.84428324072303</v>
          </cell>
          <cell r="E151">
            <v>659.57888989984804</v>
          </cell>
          <cell r="F151">
            <v>657.33725117208303</v>
          </cell>
          <cell r="G151">
            <v>529.46975774415296</v>
          </cell>
          <cell r="H151">
            <v>427.39924934688497</v>
          </cell>
          <cell r="I151">
            <v>214.16070331970701</v>
          </cell>
          <cell r="J151">
            <v>6.1843559261606897E-3</v>
          </cell>
          <cell r="K151"/>
        </row>
        <row r="152">
          <cell r="A152" t="str">
            <v>D-ILFO</v>
          </cell>
          <cell r="B152" t="str">
            <v>VAR_fout</v>
          </cell>
          <cell r="C152" t="str">
            <v>ILFO</v>
          </cell>
          <cell r="D152">
            <v>9.2972343502235013</v>
          </cell>
          <cell r="E152">
            <v>8.800042791971638</v>
          </cell>
          <cell r="F152">
            <v>8.7710485782458143</v>
          </cell>
          <cell r="G152">
            <v>7.2996031348107948</v>
          </cell>
          <cell r="H152">
            <v>5.9378421040516258</v>
          </cell>
          <cell r="I152">
            <v>3.0927423014255768</v>
          </cell>
          <cell r="J152">
            <v>0.23557516834349768</v>
          </cell>
          <cell r="K152"/>
        </row>
        <row r="153">
          <cell r="A153" t="str">
            <v>D-ILFO</v>
          </cell>
          <cell r="B153" t="str">
            <v>VAR_fin</v>
          </cell>
          <cell r="C153" t="str">
            <v>LFO</v>
          </cell>
          <cell r="D153">
            <v>9.455146312628532</v>
          </cell>
          <cell r="E153">
            <v>8.9495100393466611</v>
          </cell>
          <cell r="F153">
            <v>8.9190943171246015</v>
          </cell>
          <cell r="G153">
            <v>7.1841215433399217</v>
          </cell>
          <cell r="H153">
            <v>5.7991757034855516</v>
          </cell>
          <cell r="I153">
            <v>2.9058440070516554</v>
          </cell>
          <cell r="J153">
            <v>8.3912563448584657E-5</v>
          </cell>
        </row>
        <row r="154">
          <cell r="A154" t="str">
            <v>D-ILFO</v>
          </cell>
          <cell r="B154" t="str">
            <v>VAR_fin</v>
          </cell>
          <cell r="C154" t="str">
            <v>BDS</v>
          </cell>
          <cell r="D154"/>
          <cell r="E154"/>
          <cell r="F154">
            <v>1.03544304550713E-3</v>
          </cell>
          <cell r="G154">
            <v>0.23949978993615362</v>
          </cell>
          <cell r="H154">
            <v>0.23952855198835835</v>
          </cell>
          <cell r="I154">
            <v>0.23954403498987087</v>
          </cell>
          <cell r="J154">
            <v>0.23961982334371595</v>
          </cell>
        </row>
        <row r="155">
          <cell r="A155" t="str">
            <v>RHEM-SHSTG-NGAHP</v>
          </cell>
          <cell r="B155" t="str">
            <v>VAR_fout</v>
          </cell>
          <cell r="C155" t="str">
            <v>AUX_RHEM-SHSTG-NGAHP_OUT</v>
          </cell>
          <cell r="D155"/>
          <cell r="E155"/>
          <cell r="F155">
            <v>0.20829118091584636</v>
          </cell>
          <cell r="G155">
            <v>0.76736049512897031</v>
          </cell>
          <cell r="H155">
            <v>0.70842340327593467</v>
          </cell>
          <cell r="I155">
            <v>1.0297567877171625</v>
          </cell>
          <cell r="J155">
            <v>0.90561156995463321</v>
          </cell>
        </row>
        <row r="156">
          <cell r="A156" t="str">
            <v>RHEM-SHSTG-NGAHP</v>
          </cell>
          <cell r="B156" t="str">
            <v>VAR_fout</v>
          </cell>
          <cell r="C156" t="str">
            <v>RHEM-SHANGAH</v>
          </cell>
          <cell r="D156"/>
          <cell r="E156"/>
          <cell r="F156">
            <v>0.20808309781802856</v>
          </cell>
          <cell r="G156">
            <v>0.76659390122774174</v>
          </cell>
          <cell r="H156">
            <v>0.70771568758834635</v>
          </cell>
          <cell r="I156">
            <v>1.0287280596575046</v>
          </cell>
          <cell r="J156">
            <v>0.90470686309154214</v>
          </cell>
          <cell r="K156"/>
        </row>
        <row r="157">
          <cell r="A157" t="str">
            <v>RHEM-SHSTG-NGAHP</v>
          </cell>
          <cell r="B157" t="str">
            <v>VAR_fin</v>
          </cell>
          <cell r="C157" t="str">
            <v>RHEM-SHANGAH</v>
          </cell>
          <cell r="D157"/>
          <cell r="E157"/>
          <cell r="F157">
            <v>0.20861929678932881</v>
          </cell>
          <cell r="G157">
            <v>0.76705590971704762</v>
          </cell>
          <cell r="H157">
            <v>0.70804174838615974</v>
          </cell>
          <cell r="I157">
            <v>1.0289691332582369</v>
          </cell>
          <cell r="J157">
            <v>0.90500314768830825</v>
          </cell>
        </row>
        <row r="158">
          <cell r="A158" t="str">
            <v>RHEM-SHSTG-NGAHP</v>
          </cell>
          <cell r="B158" t="str">
            <v>VAR_ncap</v>
          </cell>
          <cell r="C158" t="str">
            <v>-</v>
          </cell>
          <cell r="D158">
            <v>3.3219405827658702E-4</v>
          </cell>
          <cell r="E158">
            <v>2.4530956097597399E-4</v>
          </cell>
          <cell r="F158">
            <v>4.0700283057805202E-2</v>
          </cell>
          <cell r="G158">
            <v>7.5162930605727804E-2</v>
          </cell>
          <cell r="H158">
            <v>2.74265304934104E-2</v>
          </cell>
          <cell r="I158">
            <v>8.9021311626885605E-2</v>
          </cell>
          <cell r="J158">
            <v>7.8313268409876305E-2</v>
          </cell>
        </row>
        <row r="159">
          <cell r="A159" t="str">
            <v>RHEM-SHSTG-NGAHP</v>
          </cell>
          <cell r="B159" t="str">
            <v>VAR_cap</v>
          </cell>
          <cell r="C159" t="str">
            <v>-</v>
          </cell>
          <cell r="D159">
            <v>3.3219405827658702E-4</v>
          </cell>
          <cell r="E159">
            <v>3.2850264951974923E-5</v>
          </cell>
          <cell r="F159">
            <v>4.0598274457489245E-2</v>
          </cell>
          <cell r="G159">
            <v>0.11551305057821826</v>
          </cell>
          <cell r="H159">
            <v>0.14203098614666823</v>
          </cell>
          <cell r="I159">
            <v>0.17340189418882476</v>
          </cell>
          <cell r="J159">
            <v>0.15352072250966572</v>
          </cell>
          <cell r="K159"/>
        </row>
        <row r="160">
          <cell r="A160" t="str">
            <v>RHEM-SHCONBR4</v>
          </cell>
          <cell r="B160" t="str">
            <v>VAR_fout</v>
          </cell>
          <cell r="C160" t="str">
            <v>RHEM-SHCON</v>
          </cell>
          <cell r="D160">
            <v>2.8385584502829005E-3</v>
          </cell>
          <cell r="E160">
            <v>0.53889823920600244</v>
          </cell>
          <cell r="F160">
            <v>0.40131909985119912</v>
          </cell>
          <cell r="G160">
            <v>0.53466495940697245</v>
          </cell>
          <cell r="H160">
            <v>0.53493635842312259</v>
          </cell>
          <cell r="I160">
            <v>0.53559987585401103</v>
          </cell>
          <cell r="J160">
            <v>0.90757187853285048</v>
          </cell>
          <cell r="K160"/>
        </row>
        <row r="161">
          <cell r="A161" t="str">
            <v>RHEM-SHCONBR4</v>
          </cell>
          <cell r="B161" t="str">
            <v>VAR_fin</v>
          </cell>
          <cell r="C161" t="str">
            <v>CON</v>
          </cell>
          <cell r="D161">
            <v>2.8385584502829005E-3</v>
          </cell>
          <cell r="E161">
            <v>0.53889823920600244</v>
          </cell>
          <cell r="F161">
            <v>0.40131909985119912</v>
          </cell>
          <cell r="G161">
            <v>0.53466495940697245</v>
          </cell>
          <cell r="H161">
            <v>0.53493635842312259</v>
          </cell>
          <cell r="I161">
            <v>0.53559987585401103</v>
          </cell>
          <cell r="J161">
            <v>0.90757187853285048</v>
          </cell>
          <cell r="K161"/>
        </row>
        <row r="162">
          <cell r="A162" t="str">
            <v>RHEM-SHCONBR4</v>
          </cell>
          <cell r="B162" t="str">
            <v>VAR_ncap</v>
          </cell>
          <cell r="C162" t="str">
            <v>-</v>
          </cell>
          <cell r="D162">
            <v>1.9757985235467301E-4</v>
          </cell>
          <cell r="E162">
            <v>3.7827802242527797E-2</v>
          </cell>
          <cell r="F162">
            <v>2.0321588302506402E-6</v>
          </cell>
          <cell r="G162">
            <v>3.5176654578294301E-6</v>
          </cell>
          <cell r="H162">
            <v>4.0685434343628298E-6</v>
          </cell>
          <cell r="I162">
            <v>2.1448567054581601E-6</v>
          </cell>
          <cell r="J162">
            <v>4.2170965174810997E-2</v>
          </cell>
        </row>
        <row r="163">
          <cell r="A163" t="str">
            <v>RHEM-SHCONBR4</v>
          </cell>
          <cell r="B163" t="str">
            <v>VAR_cap</v>
          </cell>
          <cell r="C163" t="str">
            <v>-</v>
          </cell>
          <cell r="D163">
            <v>1.9757985235467301E-4</v>
          </cell>
          <cell r="E163">
            <v>3.8025161334423685E-2</v>
          </cell>
          <cell r="F163">
            <v>3.8021327164572426E-2</v>
          </cell>
          <cell r="G163">
            <v>3.8026786028928242E-2</v>
          </cell>
          <cell r="H163">
            <v>3.8029760255248894E-2</v>
          </cell>
          <cell r="I163">
            <v>3.8032064050065907E-2</v>
          </cell>
          <cell r="J163">
            <v>6.4146837674510182E-2</v>
          </cell>
        </row>
        <row r="164">
          <cell r="A164" t="str">
            <v>RHNM-SHCONBR</v>
          </cell>
          <cell r="B164" t="str">
            <v>VAR_fout</v>
          </cell>
          <cell r="C164" t="str">
            <v>RHNM-SHCON</v>
          </cell>
          <cell r="D164"/>
          <cell r="E164"/>
          <cell r="F164">
            <v>2.3543076813399379E-2</v>
          </cell>
          <cell r="G164">
            <v>2.3607720378268787E-2</v>
          </cell>
          <cell r="H164">
            <v>2.6775095471073831E-2</v>
          </cell>
          <cell r="I164">
            <v>2.7574022251344678E-2</v>
          </cell>
          <cell r="J164">
            <v>2.6967833521528543E-2</v>
          </cell>
          <cell r="K164"/>
        </row>
        <row r="165">
          <cell r="A165" t="str">
            <v>RHNM-SHCONBR</v>
          </cell>
          <cell r="B165" t="str">
            <v>VAR_fin</v>
          </cell>
          <cell r="C165" t="str">
            <v>CON</v>
          </cell>
          <cell r="D165"/>
          <cell r="E165"/>
          <cell r="F165">
            <v>2.3543076813399379E-2</v>
          </cell>
          <cell r="G165">
            <v>2.3607720378268787E-2</v>
          </cell>
          <cell r="H165">
            <v>2.6775095471073831E-2</v>
          </cell>
          <cell r="I165">
            <v>2.7574022251344678E-2</v>
          </cell>
          <cell r="J165">
            <v>2.6967833521528543E-2</v>
          </cell>
        </row>
        <row r="166">
          <cell r="A166" t="str">
            <v>RHNM-SHCONBR</v>
          </cell>
          <cell r="B166" t="str">
            <v>VAR_ncap</v>
          </cell>
          <cell r="C166" t="str">
            <v>-</v>
          </cell>
          <cell r="D166"/>
          <cell r="E166">
            <v>1.05740499289857E-6</v>
          </cell>
          <cell r="F166">
            <v>1.8848163482599501E-3</v>
          </cell>
          <cell r="G166">
            <v>6.6041202107409E-6</v>
          </cell>
          <cell r="H166">
            <v>2.5518896649464099E-4</v>
          </cell>
          <cell r="I166">
            <v>2.4810529163158398E-5</v>
          </cell>
          <cell r="J166">
            <v>9.1562200853327201E-7</v>
          </cell>
          <cell r="K166"/>
        </row>
        <row r="167">
          <cell r="A167" t="str">
            <v>RHNM-SHCONBR</v>
          </cell>
          <cell r="B167" t="str">
            <v>VAR_cap</v>
          </cell>
          <cell r="C167" t="str">
            <v>-</v>
          </cell>
          <cell r="D167"/>
          <cell r="E167">
            <v>1.05740499289857E-6</v>
          </cell>
          <cell r="F167">
            <v>1.8853508468106392E-3</v>
          </cell>
          <cell r="G167">
            <v>1.8915012249283219E-3</v>
          </cell>
          <cell r="H167">
            <v>2.145812491335141E-3</v>
          </cell>
          <cell r="I167">
            <v>2.1706518833539317E-3</v>
          </cell>
          <cell r="J167">
            <v>2.1722823124242772E-3</v>
          </cell>
          <cell r="K167"/>
        </row>
        <row r="168">
          <cell r="A168" t="str">
            <v>RHEM-SHCONBR5</v>
          </cell>
          <cell r="B168" t="str">
            <v>VAR_fout</v>
          </cell>
          <cell r="C168" t="str">
            <v>RHEM-SHCON</v>
          </cell>
          <cell r="D168">
            <v>2.5830093916652105E-3</v>
          </cell>
          <cell r="E168">
            <v>4.2386928099866515E-2</v>
          </cell>
          <cell r="F168">
            <v>2.3326891519045063E-2</v>
          </cell>
          <cell r="G168">
            <v>3.8635836942635289E-2</v>
          </cell>
          <cell r="H168">
            <v>3.888957453480154E-2</v>
          </cell>
          <cell r="I168">
            <v>3.9519737978140949E-2</v>
          </cell>
          <cell r="J168">
            <v>2.4212260999194476E-2</v>
          </cell>
        </row>
        <row r="169">
          <cell r="A169" t="str">
            <v>RHEM-SHCONBR5</v>
          </cell>
          <cell r="B169" t="str">
            <v>VAR_fin</v>
          </cell>
          <cell r="C169" t="str">
            <v>CON</v>
          </cell>
          <cell r="D169">
            <v>2.5830093916652105E-3</v>
          </cell>
          <cell r="E169">
            <v>4.2386928099866515E-2</v>
          </cell>
          <cell r="F169">
            <v>2.3326891519045063E-2</v>
          </cell>
          <cell r="G169">
            <v>3.8635836942635289E-2</v>
          </cell>
          <cell r="H169">
            <v>3.888957453480154E-2</v>
          </cell>
          <cell r="I169">
            <v>3.9519737978140949E-2</v>
          </cell>
          <cell r="J169">
            <v>2.4212260999194476E-2</v>
          </cell>
          <cell r="K169"/>
        </row>
        <row r="170">
          <cell r="A170" t="str">
            <v>RHEM-SHCONBR5</v>
          </cell>
          <cell r="B170" t="str">
            <v>VAR_ncap</v>
          </cell>
          <cell r="C170" t="str">
            <v>-</v>
          </cell>
          <cell r="D170">
            <v>1.56038675939833E-4</v>
          </cell>
          <cell r="E170">
            <v>2.8081098512049902E-3</v>
          </cell>
          <cell r="F170">
            <v>1.8605125680625501E-6</v>
          </cell>
          <cell r="G170">
            <v>3.0838040292635299E-6</v>
          </cell>
          <cell r="H170">
            <v>3.5379090466271898E-6</v>
          </cell>
          <cell r="I170">
            <v>2.0489591100540698E-6</v>
          </cell>
          <cell r="J170">
            <v>5.3004924823591199E-5</v>
          </cell>
        </row>
        <row r="171">
          <cell r="A171" t="str">
            <v>RHEM-SHCONBR5</v>
          </cell>
          <cell r="B171" t="str">
            <v>VAR_cap</v>
          </cell>
          <cell r="C171" t="str">
            <v>-</v>
          </cell>
          <cell r="D171">
            <v>1.56038675939833E-4</v>
          </cell>
          <cell r="E171">
            <v>2.9639292006333369E-3</v>
          </cell>
          <cell r="F171">
            <v>2.9607966055596592E-3</v>
          </cell>
          <cell r="G171">
            <v>2.965239998108059E-3</v>
          </cell>
          <cell r="H171">
            <v>2.9676463957711719E-3</v>
          </cell>
          <cell r="I171">
            <v>2.9697853662478879E-3</v>
          </cell>
          <cell r="J171">
            <v>1.7620660557307723E-3</v>
          </cell>
        </row>
        <row r="172">
          <cell r="A172" t="str">
            <v>ITOT-SWHNGABR</v>
          </cell>
          <cell r="B172" t="str">
            <v>VAR_fout</v>
          </cell>
          <cell r="C172" t="str">
            <v>ITOT-SWH</v>
          </cell>
          <cell r="D172">
            <v>28.61986559200254</v>
          </cell>
          <cell r="E172">
            <v>25.727636490005015</v>
          </cell>
          <cell r="F172">
            <v>28.100348063994108</v>
          </cell>
          <cell r="G172">
            <v>18.537435265853812</v>
          </cell>
          <cell r="H172">
            <v>8.7360223331326825</v>
          </cell>
          <cell r="I172">
            <v>4.219226759023945</v>
          </cell>
          <cell r="J172">
            <v>0.90242787929252077</v>
          </cell>
        </row>
        <row r="173">
          <cell r="A173" t="str">
            <v>ITOT-SWHNGABR</v>
          </cell>
          <cell r="B173" t="str">
            <v>VAR_fout</v>
          </cell>
          <cell r="C173" t="str">
            <v>CO2_I</v>
          </cell>
          <cell r="D173">
            <v>2005.1599254799301</v>
          </cell>
          <cell r="E173">
            <v>1800.94870508901</v>
          </cell>
          <cell r="F173">
            <v>1964.4628184943299</v>
          </cell>
          <cell r="G173">
            <v>1293.1071691124801</v>
          </cell>
          <cell r="H173">
            <v>608.06978973267599</v>
          </cell>
          <cell r="I173">
            <v>293.04170371340501</v>
          </cell>
          <cell r="J173">
            <v>62.406371793599199</v>
          </cell>
        </row>
        <row r="174">
          <cell r="A174" t="str">
            <v>ITOT-SWHNGABR</v>
          </cell>
          <cell r="B174" t="str">
            <v>VAR_fin</v>
          </cell>
          <cell r="C174" t="str">
            <v>INGA</v>
          </cell>
          <cell r="D174">
            <v>35.55248094822565</v>
          </cell>
          <cell r="E174">
            <v>31.931714629237785</v>
          </cell>
          <cell r="F174">
            <v>34.830901037133394</v>
          </cell>
          <cell r="G174">
            <v>22.927432076462487</v>
          </cell>
          <cell r="H174">
            <v>10.78137925057937</v>
          </cell>
          <cell r="I174">
            <v>5.1957748885355519</v>
          </cell>
          <cell r="J174">
            <v>1.1064959537872199</v>
          </cell>
        </row>
        <row r="175">
          <cell r="A175" t="str">
            <v>ITOT-SWHNGABR</v>
          </cell>
          <cell r="B175" t="str">
            <v>VAR_ncap</v>
          </cell>
          <cell r="C175" t="str">
            <v>-</v>
          </cell>
          <cell r="D175"/>
          <cell r="E175">
            <v>3.9058649103080102E-3</v>
          </cell>
          <cell r="F175">
            <v>3.96512739436722E-3</v>
          </cell>
          <cell r="G175">
            <v>6.7825152563096198E-4</v>
          </cell>
          <cell r="H175">
            <v>0.17707586031448999</v>
          </cell>
          <cell r="I175">
            <v>0.11616993040065</v>
          </cell>
          <cell r="J175">
            <v>9.55094325061269E-4</v>
          </cell>
        </row>
        <row r="176">
          <cell r="A176" t="str">
            <v>ITOT-SWHNGABR</v>
          </cell>
          <cell r="B176" t="str">
            <v>VAR_cap</v>
          </cell>
          <cell r="C176" t="str">
            <v>-</v>
          </cell>
          <cell r="D176">
            <v>1.556581895256</v>
          </cell>
          <cell r="E176">
            <v>1.5604062537101038</v>
          </cell>
          <cell r="F176">
            <v>1.5642058755060602</v>
          </cell>
          <cell r="G176">
            <v>1.4059536311602332</v>
          </cell>
          <cell r="H176">
            <v>0.54387398736021442</v>
          </cell>
          <cell r="I176">
            <v>0.27936084837777359</v>
          </cell>
          <cell r="J176">
            <v>7.9892069102764807E-2</v>
          </cell>
        </row>
        <row r="177">
          <cell r="A177" t="str">
            <v>RHNM-SHSOLBR</v>
          </cell>
          <cell r="B177" t="str">
            <v>VAR_fout</v>
          </cell>
          <cell r="C177" t="str">
            <v>RHNM-SHASOL</v>
          </cell>
          <cell r="D177"/>
          <cell r="E177">
            <v>2.164313236724601E-2</v>
          </cell>
          <cell r="F177">
            <v>1.9830112040056347E-4</v>
          </cell>
          <cell r="G177">
            <v>9.3582405652693822E-5</v>
          </cell>
          <cell r="H177">
            <v>6.6203363763912726E-5</v>
          </cell>
          <cell r="I177">
            <v>5.2199215285924531E-5</v>
          </cell>
          <cell r="J177">
            <v>1.4049379899633825E-4</v>
          </cell>
        </row>
        <row r="178">
          <cell r="A178" t="str">
            <v>RHNM-SHSOLBR</v>
          </cell>
          <cell r="B178" t="str">
            <v>VAR_fin</v>
          </cell>
          <cell r="C178" t="str">
            <v>SOL</v>
          </cell>
          <cell r="D178"/>
          <cell r="E178">
            <v>2.164313236724601E-2</v>
          </cell>
          <cell r="F178">
            <v>1.9830112040056347E-4</v>
          </cell>
          <cell r="G178">
            <v>9.3582405652693822E-5</v>
          </cell>
          <cell r="H178">
            <v>6.6203363763912726E-5</v>
          </cell>
          <cell r="I178">
            <v>5.2199215285924531E-5</v>
          </cell>
          <cell r="J178">
            <v>1.4049379899633825E-4</v>
          </cell>
        </row>
        <row r="179">
          <cell r="A179" t="str">
            <v>RHNM-SHSOLBR</v>
          </cell>
          <cell r="B179" t="str">
            <v>VAR_ncap</v>
          </cell>
          <cell r="C179" t="str">
            <v>-</v>
          </cell>
          <cell r="D179"/>
          <cell r="E179">
            <v>4.1482871892149203E-3</v>
          </cell>
          <cell r="F179">
            <v>7.9724455897801298E-4</v>
          </cell>
          <cell r="G179">
            <v>2.1300623449086501E-3</v>
          </cell>
          <cell r="H179">
            <v>7.3023387261470798E-4</v>
          </cell>
          <cell r="I179">
            <v>1.1111544750509301E-3</v>
          </cell>
          <cell r="J179">
            <v>1.19650879970452E-3</v>
          </cell>
        </row>
        <row r="180">
          <cell r="A180" t="str">
            <v>RHNM-SHSOLBR</v>
          </cell>
          <cell r="B180" t="str">
            <v>VAR_cap</v>
          </cell>
          <cell r="C180" t="str">
            <v>-</v>
          </cell>
          <cell r="D180"/>
          <cell r="E180">
            <v>4.1482871892149203E-3</v>
          </cell>
          <cell r="F180">
            <v>4.9366026277432497E-3</v>
          </cell>
          <cell r="G180">
            <v>7.044670117202877E-3</v>
          </cell>
          <cell r="H180">
            <v>5.7463255119061174E-3</v>
          </cell>
          <cell r="I180">
            <v>3.424338387066976E-3</v>
          </cell>
          <cell r="J180">
            <v>2.30459987339109E-3</v>
          </cell>
          <cell r="K180"/>
        </row>
        <row r="181">
          <cell r="A181" t="str">
            <v>RHEM-SHPLTBR</v>
          </cell>
          <cell r="B181" t="str">
            <v>VAR_fout</v>
          </cell>
          <cell r="C181" t="str">
            <v>RHEM-SHPLT</v>
          </cell>
          <cell r="D181">
            <v>1.4011965545764353</v>
          </cell>
          <cell r="E181">
            <v>1.6078399858069594</v>
          </cell>
          <cell r="F181">
            <v>0.2859725927725541</v>
          </cell>
          <cell r="G181">
            <v>0.3372555642955446</v>
          </cell>
          <cell r="H181">
            <v>0.34322816305006032</v>
          </cell>
          <cell r="I181">
            <v>0.36288145455203763</v>
          </cell>
          <cell r="J181">
            <v>0.28504290256680503</v>
          </cell>
        </row>
        <row r="182">
          <cell r="A182" t="str">
            <v>RHEM-SHPLTBR</v>
          </cell>
          <cell r="B182" t="str">
            <v>VAR_fin</v>
          </cell>
          <cell r="C182" t="str">
            <v>RHEMPLTBRC</v>
          </cell>
          <cell r="D182">
            <v>1.4011965545764353</v>
          </cell>
          <cell r="E182">
            <v>1.6078399858069594</v>
          </cell>
          <cell r="F182">
            <v>0.2859725927725541</v>
          </cell>
          <cell r="G182">
            <v>0.3372555642955446</v>
          </cell>
          <cell r="H182">
            <v>0.34322816305006032</v>
          </cell>
          <cell r="I182">
            <v>0.36288145455203763</v>
          </cell>
          <cell r="J182">
            <v>0.28504290256680503</v>
          </cell>
        </row>
        <row r="183">
          <cell r="A183" t="str">
            <v>RHEM-SHPLTBR</v>
          </cell>
          <cell r="B183" t="str">
            <v>VAR_fin</v>
          </cell>
          <cell r="C183" t="str">
            <v>RPLT</v>
          </cell>
          <cell r="D183">
            <v>1.5568850606404836</v>
          </cell>
          <cell r="E183">
            <v>1.786488873118844</v>
          </cell>
          <cell r="F183">
            <v>0.38937415154946409</v>
          </cell>
          <cell r="G183">
            <v>0.45919994615482812</v>
          </cell>
          <cell r="H183">
            <v>0.46733210857654139</v>
          </cell>
          <cell r="I183">
            <v>0.4914996690551548</v>
          </cell>
          <cell r="J183">
            <v>0.38110935858458078</v>
          </cell>
        </row>
        <row r="184">
          <cell r="A184" t="str">
            <v>RHEM-SHPLTBR</v>
          </cell>
          <cell r="B184" t="str">
            <v>VAR_ncap</v>
          </cell>
          <cell r="C184" t="str">
            <v>-</v>
          </cell>
          <cell r="D184">
            <v>5.1264948726625502E-5</v>
          </cell>
          <cell r="E184">
            <v>1.4844124731681899E-2</v>
          </cell>
          <cell r="F184">
            <v>2.4636206040989599E-6</v>
          </cell>
          <cell r="G184">
            <v>2.1571892593608601E-5</v>
          </cell>
          <cell r="H184">
            <v>1.0532252028714001E-2</v>
          </cell>
          <cell r="I184">
            <v>1.5843619138865801E-2</v>
          </cell>
          <cell r="J184">
            <v>4.4758977981801196E-3</v>
          </cell>
        </row>
        <row r="185">
          <cell r="A185" t="str">
            <v>RHEM-SHPLTBR</v>
          </cell>
          <cell r="B185" t="str">
            <v>VAR_cap</v>
          </cell>
          <cell r="C185" t="str">
            <v>-</v>
          </cell>
          <cell r="D185">
            <v>9.975032106900722E-2</v>
          </cell>
          <cell r="E185">
            <v>0.11459307664197284</v>
          </cell>
          <cell r="F185">
            <v>4.1215864494280191E-2</v>
          </cell>
          <cell r="G185">
            <v>4.1223642354234799E-2</v>
          </cell>
          <cell r="H185">
            <v>2.4972347990531701E-2</v>
          </cell>
          <cell r="I185">
            <v>2.6383595146909574E-2</v>
          </cell>
          <cell r="J185">
            <v>2.0425286503379065E-2</v>
          </cell>
        </row>
        <row r="186">
          <cell r="A186" t="str">
            <v>RHEM-SHCONBR6</v>
          </cell>
          <cell r="B186" t="str">
            <v>VAR_fout</v>
          </cell>
          <cell r="C186" t="str">
            <v>RHEM-SHCON</v>
          </cell>
          <cell r="D186"/>
          <cell r="E186">
            <v>1.0647763131570242E-2</v>
          </cell>
          <cell r="F186">
            <v>5.303698133591904E-3</v>
          </cell>
          <cell r="G186">
            <v>8.1489952890162649E-3</v>
          </cell>
          <cell r="H186">
            <v>8.3689083503210356E-3</v>
          </cell>
          <cell r="I186">
            <v>8.6340210605848362E-3</v>
          </cell>
          <cell r="J186">
            <v>5.7093358075479671E-3</v>
          </cell>
          <cell r="K186"/>
        </row>
        <row r="187">
          <cell r="A187" t="str">
            <v>RHEM-SHCONBR6</v>
          </cell>
          <cell r="B187" t="str">
            <v>VAR_fin</v>
          </cell>
          <cell r="C187" t="str">
            <v>CON</v>
          </cell>
          <cell r="D187"/>
          <cell r="E187">
            <v>1.0647763131570242E-2</v>
          </cell>
          <cell r="F187">
            <v>5.303698133591904E-3</v>
          </cell>
          <cell r="G187">
            <v>8.1489952890162649E-3</v>
          </cell>
          <cell r="H187">
            <v>8.3689083503210356E-3</v>
          </cell>
          <cell r="I187">
            <v>8.6340210605848362E-3</v>
          </cell>
          <cell r="J187">
            <v>5.7093358075479671E-3</v>
          </cell>
          <cell r="K187"/>
        </row>
        <row r="188">
          <cell r="A188" t="str">
            <v>RHEM-SHCONBR6</v>
          </cell>
          <cell r="B188" t="str">
            <v>VAR_ncap</v>
          </cell>
          <cell r="C188" t="str">
            <v>-</v>
          </cell>
          <cell r="D188"/>
          <cell r="E188">
            <v>7.1871209231234704E-4</v>
          </cell>
          <cell r="F188">
            <v>3.2909355438299398E-6</v>
          </cell>
          <cell r="G188">
            <v>2.8815419590893799E-6</v>
          </cell>
          <cell r="H188">
            <v>3.07190403667602E-6</v>
          </cell>
          <cell r="I188">
            <v>1.5275108699369001E-6</v>
          </cell>
          <cell r="J188">
            <v>1.7750128702165602E-5</v>
          </cell>
          <cell r="K188"/>
        </row>
        <row r="189">
          <cell r="A189" t="str">
            <v>RHEM-SHCONBR6</v>
          </cell>
          <cell r="B189" t="str">
            <v>VAR_cap</v>
          </cell>
          <cell r="C189" t="str">
            <v>-</v>
          </cell>
          <cell r="D189"/>
          <cell r="E189">
            <v>7.1871209231234704E-4</v>
          </cell>
          <cell r="F189">
            <v>7.2070495938604312E-4</v>
          </cell>
          <cell r="G189">
            <v>7.2303858604051826E-4</v>
          </cell>
          <cell r="H189">
            <v>7.2513380117979036E-4</v>
          </cell>
          <cell r="I189">
            <v>7.262813844842893E-4</v>
          </cell>
          <cell r="J189">
            <v>4.4137383358943999E-4</v>
          </cell>
        </row>
        <row r="190">
          <cell r="A190" t="str">
            <v>RHEM-SHCONBR7</v>
          </cell>
          <cell r="B190" t="str">
            <v>VAR_fout</v>
          </cell>
          <cell r="C190" t="str">
            <v>RHEM-SHCON</v>
          </cell>
          <cell r="D190"/>
          <cell r="E190">
            <v>5.2025610325042247E-3</v>
          </cell>
          <cell r="F190">
            <v>2.6318343497355344E-3</v>
          </cell>
          <cell r="G190">
            <v>3.4741393483202288E-3</v>
          </cell>
          <cell r="H190">
            <v>3.6742231845631468E-3</v>
          </cell>
          <cell r="I190">
            <v>3.7860996042413859E-3</v>
          </cell>
          <cell r="J190">
            <v>2.5479768920930687E-3</v>
          </cell>
        </row>
        <row r="191">
          <cell r="A191" t="str">
            <v>RHEM-SHCONBR7</v>
          </cell>
          <cell r="B191" t="str">
            <v>VAR_fin</v>
          </cell>
          <cell r="C191" t="str">
            <v>CON</v>
          </cell>
          <cell r="D191"/>
          <cell r="E191">
            <v>5.2025610325042247E-3</v>
          </cell>
          <cell r="F191">
            <v>2.6318343497355344E-3</v>
          </cell>
          <cell r="G191">
            <v>3.4741393483202288E-3</v>
          </cell>
          <cell r="H191">
            <v>3.6742231845631468E-3</v>
          </cell>
          <cell r="I191">
            <v>3.7860996042413859E-3</v>
          </cell>
          <cell r="J191">
            <v>2.5479768920930687E-3</v>
          </cell>
          <cell r="K191"/>
        </row>
        <row r="192">
          <cell r="A192" t="str">
            <v>RHEM-SHCONBR7</v>
          </cell>
          <cell r="B192" t="str">
            <v>VAR_ncap</v>
          </cell>
          <cell r="C192" t="str">
            <v>-</v>
          </cell>
          <cell r="D192"/>
          <cell r="E192">
            <v>3.3084795824900797E-4</v>
          </cell>
          <cell r="F192">
            <v>3.19398837175629E-6</v>
          </cell>
          <cell r="G192">
            <v>2.78033999786339E-6</v>
          </cell>
          <cell r="H192">
            <v>2.1855052199548899E-6</v>
          </cell>
          <cell r="I192">
            <v>1.0946400119398299E-6</v>
          </cell>
          <cell r="J192">
            <v>5.23192983595816E-6</v>
          </cell>
        </row>
        <row r="193">
          <cell r="A193" t="str">
            <v>RHEM-SHCONBR7</v>
          </cell>
          <cell r="B193" t="str">
            <v>VAR_cap</v>
          </cell>
          <cell r="C193" t="str">
            <v>-</v>
          </cell>
          <cell r="D193"/>
          <cell r="E193">
            <v>3.3084795824900797E-4</v>
          </cell>
          <cell r="F193">
            <v>3.3323051180127975E-4</v>
          </cell>
          <cell r="G193">
            <v>3.3547986369330429E-4</v>
          </cell>
          <cell r="H193">
            <v>3.3692149139598056E-4</v>
          </cell>
          <cell r="I193">
            <v>3.3761514675055798E-4</v>
          </cell>
          <cell r="J193">
            <v>2.0345731034110363E-4</v>
          </cell>
        </row>
        <row r="194">
          <cell r="A194" t="str">
            <v>RHEM-SHCONBR8</v>
          </cell>
          <cell r="B194" t="str">
            <v>VAR_fout</v>
          </cell>
          <cell r="C194" t="str">
            <v>RHEM-SHCON</v>
          </cell>
          <cell r="D194"/>
          <cell r="E194">
            <v>1.5612478774855389E-3</v>
          </cell>
          <cell r="F194">
            <v>9.4840919356470191E-4</v>
          </cell>
          <cell r="G194">
            <v>8.8536370786664465E-4</v>
          </cell>
          <cell r="H194">
            <v>1.0453501380749939E-3</v>
          </cell>
          <cell r="I194">
            <v>1.0328064873410528E-3</v>
          </cell>
          <cell r="J194">
            <v>7.2277550965156828E-4</v>
          </cell>
        </row>
        <row r="195">
          <cell r="A195" t="str">
            <v>RHEM-SHCONBR8</v>
          </cell>
          <cell r="B195" t="str">
            <v>VAR_fin</v>
          </cell>
          <cell r="C195" t="str">
            <v>CON</v>
          </cell>
          <cell r="D195"/>
          <cell r="E195">
            <v>1.5612478774855389E-3</v>
          </cell>
          <cell r="F195">
            <v>9.4840919356470191E-4</v>
          </cell>
          <cell r="G195">
            <v>8.8536370786664465E-4</v>
          </cell>
          <cell r="H195">
            <v>1.0453501380749939E-3</v>
          </cell>
          <cell r="I195">
            <v>1.0328064873410528E-3</v>
          </cell>
          <cell r="J195">
            <v>7.2277550965156828E-4</v>
          </cell>
        </row>
        <row r="196">
          <cell r="A196" t="str">
            <v>RHEM-SHCONBR8</v>
          </cell>
          <cell r="B196" t="str">
            <v>VAR_ncap</v>
          </cell>
          <cell r="C196" t="str">
            <v>-</v>
          </cell>
          <cell r="D196"/>
          <cell r="E196">
            <v>6.8019906016566798E-5</v>
          </cell>
          <cell r="F196">
            <v>6.1752648509837502E-6</v>
          </cell>
          <cell r="G196">
            <v>1.9315323466210199E-6</v>
          </cell>
          <cell r="H196">
            <v>8.6190741439186599E-7</v>
          </cell>
          <cell r="I196">
            <v>5.4514233990023099E-7</v>
          </cell>
          <cell r="J196">
            <v>9.0112525922404803E-7</v>
          </cell>
          <cell r="K196"/>
        </row>
        <row r="197">
          <cell r="A197" t="str">
            <v>RHEM-SHCONBR8</v>
          </cell>
          <cell r="B197" t="str">
            <v>VAR_cap</v>
          </cell>
          <cell r="C197" t="str">
            <v>-</v>
          </cell>
          <cell r="D197"/>
          <cell r="E197">
            <v>6.8019906016566798E-5</v>
          </cell>
          <cell r="F197">
            <v>7.3818965577373107E-5</v>
          </cell>
          <cell r="G197">
            <v>7.5463693980783625E-5</v>
          </cell>
          <cell r="H197">
            <v>7.5915430126364668E-5</v>
          </cell>
          <cell r="I197">
            <v>7.6207978552581112E-5</v>
          </cell>
          <cell r="J197">
            <v>4.7507141087987326E-5</v>
          </cell>
          <cell r="K197"/>
        </row>
        <row r="198">
          <cell r="A198" t="str">
            <v>RHES-SHELCHP</v>
          </cell>
          <cell r="B198" t="str">
            <v>VAR_fout</v>
          </cell>
          <cell r="C198" t="str">
            <v>RHES-SHAELCH</v>
          </cell>
          <cell r="D198">
            <v>9.1581792635489645</v>
          </cell>
          <cell r="E198">
            <v>10.276110518746831</v>
          </cell>
          <cell r="F198">
            <v>19.821348099759835</v>
          </cell>
          <cell r="G198">
            <v>23.722558913336169</v>
          </cell>
          <cell r="H198">
            <v>25.449060924535043</v>
          </cell>
          <cell r="I198">
            <v>27.259975243649382</v>
          </cell>
          <cell r="J198">
            <v>26.206976244267043</v>
          </cell>
          <cell r="K198"/>
        </row>
        <row r="199">
          <cell r="A199" t="str">
            <v>RHES-SHELCHP</v>
          </cell>
          <cell r="B199" t="str">
            <v>VAR_fin</v>
          </cell>
          <cell r="C199" t="str">
            <v>RHES_ELC</v>
          </cell>
          <cell r="D199">
            <v>2.8619310198590506</v>
          </cell>
          <cell r="E199">
            <v>3.158640528303331</v>
          </cell>
          <cell r="F199">
            <v>6.8749383983067274</v>
          </cell>
          <cell r="G199">
            <v>7.5787461641800995</v>
          </cell>
          <cell r="H199">
            <v>7.6592444639109196</v>
          </cell>
          <cell r="I199">
            <v>7.7342940210706645</v>
          </cell>
          <cell r="J199">
            <v>6.59404485005276</v>
          </cell>
          <cell r="K199"/>
        </row>
        <row r="200">
          <cell r="A200" t="str">
            <v>RHES-SHELCHP</v>
          </cell>
          <cell r="B200" t="str">
            <v>VAR_fin</v>
          </cell>
          <cell r="C200" t="str">
            <v>RHESELCHPC</v>
          </cell>
          <cell r="D200">
            <v>9.1581792635489645</v>
          </cell>
          <cell r="E200">
            <v>10.276110518746831</v>
          </cell>
          <cell r="F200">
            <v>19.821348099759835</v>
          </cell>
          <cell r="G200">
            <v>23.722558913336169</v>
          </cell>
          <cell r="H200">
            <v>25.449060924535043</v>
          </cell>
          <cell r="I200">
            <v>27.259975243649382</v>
          </cell>
          <cell r="J200">
            <v>26.206976244267043</v>
          </cell>
          <cell r="K200"/>
        </row>
        <row r="201">
          <cell r="A201" t="str">
            <v>RHES-SHELCHP</v>
          </cell>
          <cell r="B201" t="str">
            <v>VAR_ncap</v>
          </cell>
          <cell r="C201" t="str">
            <v>-</v>
          </cell>
          <cell r="D201">
            <v>9.4222437824138795E-7</v>
          </cell>
          <cell r="E201">
            <v>9.0332058155752695E-2</v>
          </cell>
          <cell r="F201">
            <v>0.77167381067447605</v>
          </cell>
          <cell r="G201">
            <v>0.31508780186831598</v>
          </cell>
          <cell r="H201">
            <v>0.73162376110568605</v>
          </cell>
          <cell r="I201">
            <v>1.1191763635951499</v>
          </cell>
          <cell r="J201">
            <v>0.99569879125690597</v>
          </cell>
          <cell r="K201"/>
        </row>
        <row r="202">
          <cell r="A202" t="str">
            <v>RHES-SHELCHP</v>
          </cell>
          <cell r="B202" t="str">
            <v>VAR_cap</v>
          </cell>
          <cell r="C202" t="str">
            <v>-</v>
          </cell>
          <cell r="D202">
            <v>0.73983887014974314</v>
          </cell>
          <cell r="E202">
            <v>0.83016972472571915</v>
          </cell>
          <cell r="F202">
            <v>1.601834702661747</v>
          </cell>
          <cell r="G202">
            <v>1.9169209604221538</v>
          </cell>
          <cell r="H202">
            <v>2.0565150007917556</v>
          </cell>
          <cell r="I202">
            <v>2.2026754555705415</v>
          </cell>
          <cell r="J202">
            <v>2.1173930006038879</v>
          </cell>
        </row>
        <row r="203">
          <cell r="A203" t="str">
            <v>RHSA-WHELCHP</v>
          </cell>
          <cell r="B203" t="str">
            <v>VAR_fout</v>
          </cell>
          <cell r="C203" t="str">
            <v>RHSA-WHAELCH</v>
          </cell>
          <cell r="D203">
            <v>3.2403546952116806</v>
          </cell>
          <cell r="E203">
            <v>3.6355937942459446</v>
          </cell>
          <cell r="F203">
            <v>4.9088928545059645</v>
          </cell>
          <cell r="G203">
            <v>7.4597172251586263</v>
          </cell>
          <cell r="H203">
            <v>9.8117525062072843</v>
          </cell>
          <cell r="I203">
            <v>12.525450667779198</v>
          </cell>
          <cell r="J203">
            <v>15.268913787888508</v>
          </cell>
        </row>
        <row r="204">
          <cell r="A204" t="str">
            <v>RHSA-WHELCHP</v>
          </cell>
          <cell r="B204" t="str">
            <v>VAR_fin</v>
          </cell>
          <cell r="C204" t="str">
            <v>RHSA_ELC</v>
          </cell>
          <cell r="D204">
            <v>1.1490619486566245</v>
          </cell>
          <cell r="E204">
            <v>1.2864804650551829</v>
          </cell>
          <cell r="F204">
            <v>2.611716605688466</v>
          </cell>
          <cell r="G204">
            <v>3.5610341070590952</v>
          </cell>
          <cell r="H204">
            <v>4.3317961887065204</v>
          </cell>
          <cell r="I204">
            <v>5.1765837976424027</v>
          </cell>
          <cell r="J204">
            <v>5.603828577390674</v>
          </cell>
        </row>
        <row r="205">
          <cell r="A205" t="str">
            <v>RHSA-WHELCHP</v>
          </cell>
          <cell r="B205" t="str">
            <v>VAR_ncap</v>
          </cell>
          <cell r="C205" t="str">
            <v>-</v>
          </cell>
          <cell r="D205">
            <v>3.0310659094796301E-5</v>
          </cell>
          <cell r="E205">
            <v>3.3017868546791999E-2</v>
          </cell>
          <cell r="F205">
            <v>7.9375059513779003E-2</v>
          </cell>
          <cell r="G205">
            <v>0.17379910293193901</v>
          </cell>
          <cell r="H205">
            <v>0.34566981568782801</v>
          </cell>
          <cell r="I205">
            <v>0.37796855064254697</v>
          </cell>
          <cell r="J205">
            <v>0.62260634755676103</v>
          </cell>
        </row>
        <row r="206">
          <cell r="A206" t="str">
            <v>RHSA-WHELCHP</v>
          </cell>
          <cell r="B206" t="str">
            <v>VAR_cap</v>
          </cell>
          <cell r="C206" t="str">
            <v>-</v>
          </cell>
          <cell r="D206">
            <v>0.21338297307833579</v>
          </cell>
          <cell r="E206">
            <v>0.24639620315705729</v>
          </cell>
          <cell r="F206">
            <v>0.32576477538184495</v>
          </cell>
          <cell r="G206">
            <v>0.49955917690513002</v>
          </cell>
          <cell r="H206">
            <v>0.67107261941956309</v>
          </cell>
          <cell r="I206">
            <v>0.85639031596925552</v>
          </cell>
          <cell r="J206">
            <v>1.0431234765811639</v>
          </cell>
          <cell r="K206"/>
        </row>
        <row r="207">
          <cell r="A207" t="str">
            <v>D-ITOT_LTH_CHP</v>
          </cell>
          <cell r="B207" t="str">
            <v>VAR_fout</v>
          </cell>
          <cell r="C207" t="str">
            <v>ITOT_LTH_CHP_ON</v>
          </cell>
          <cell r="D207">
            <v>5.6088509880527848</v>
          </cell>
          <cell r="E207">
            <v>6.0096829821632367</v>
          </cell>
          <cell r="F207">
            <v>6.3257294623133511</v>
          </cell>
          <cell r="G207">
            <v>6.8231644023985361</v>
          </cell>
          <cell r="H207">
            <v>8.6580517733357922</v>
          </cell>
          <cell r="I207">
            <v>8.5519598897579936</v>
          </cell>
          <cell r="J207">
            <v>9.9771256916320485</v>
          </cell>
          <cell r="K207"/>
        </row>
        <row r="208">
          <cell r="A208" t="str">
            <v>D-ITOT_LTH_CHP</v>
          </cell>
          <cell r="B208" t="str">
            <v>VAR_fout</v>
          </cell>
          <cell r="C208" t="str">
            <v>LTH</v>
          </cell>
          <cell r="D208"/>
          <cell r="E208">
            <v>6.1511254032327073E-4</v>
          </cell>
          <cell r="F208">
            <v>1.9567870384876889E-3</v>
          </cell>
          <cell r="G208">
            <v>1.9908921101169548E-3</v>
          </cell>
          <cell r="H208">
            <v>1.0431848109020913E-2</v>
          </cell>
          <cell r="I208">
            <v>1.9958046393266596E-2</v>
          </cell>
          <cell r="J208">
            <v>3.1706917596514691E-3</v>
          </cell>
          <cell r="K208"/>
        </row>
        <row r="209">
          <cell r="A209" t="str">
            <v>D-ITOT_LTH_CHP</v>
          </cell>
          <cell r="B209" t="str">
            <v>VAR_fin</v>
          </cell>
          <cell r="C209" t="str">
            <v>ITOT_LTH_CHP</v>
          </cell>
          <cell r="D209">
            <v>5.6088509880527848</v>
          </cell>
          <cell r="E209">
            <v>6.0102980947035585</v>
          </cell>
          <cell r="F209">
            <v>6.3276862493518342</v>
          </cell>
          <cell r="G209">
            <v>6.8251552945086491</v>
          </cell>
          <cell r="H209">
            <v>8.668483621444814</v>
          </cell>
          <cell r="I209">
            <v>8.5719179361512623</v>
          </cell>
          <cell r="J209">
            <v>9.980296383391698</v>
          </cell>
        </row>
        <row r="210">
          <cell r="A210" t="str">
            <v>RHEM-SHCONBR9</v>
          </cell>
          <cell r="B210" t="str">
            <v>VAR_fout</v>
          </cell>
          <cell r="C210" t="str">
            <v>RHEM-SHCON</v>
          </cell>
          <cell r="D210"/>
          <cell r="E210">
            <v>6.1305718856393689E-4</v>
          </cell>
          <cell r="F210">
            <v>5.0428126648462612E-4</v>
          </cell>
          <cell r="G210">
            <v>3.4091585925575754E-4</v>
          </cell>
          <cell r="H210">
            <v>4.7451116767847077E-4</v>
          </cell>
          <cell r="I210">
            <v>4.2357155859391811E-4</v>
          </cell>
          <cell r="J210">
            <v>3.0088070778870607E-4</v>
          </cell>
          <cell r="K210"/>
        </row>
        <row r="211">
          <cell r="A211" t="str">
            <v>RHEM-SHCONBR9</v>
          </cell>
          <cell r="B211" t="str">
            <v>VAR_fin</v>
          </cell>
          <cell r="C211" t="str">
            <v>CON</v>
          </cell>
          <cell r="D211"/>
          <cell r="E211">
            <v>6.1305718856393689E-4</v>
          </cell>
          <cell r="F211">
            <v>5.0428126648462612E-4</v>
          </cell>
          <cell r="G211">
            <v>3.4091585925575754E-4</v>
          </cell>
          <cell r="H211">
            <v>4.7451116767847077E-4</v>
          </cell>
          <cell r="I211">
            <v>4.2357155859391811E-4</v>
          </cell>
          <cell r="J211">
            <v>3.0088070778870607E-4</v>
          </cell>
          <cell r="K211"/>
        </row>
        <row r="212">
          <cell r="A212" t="str">
            <v>RHEM-SHCONBR9</v>
          </cell>
          <cell r="B212" t="str">
            <v>VAR_ncap</v>
          </cell>
          <cell r="C212" t="str">
            <v>-</v>
          </cell>
          <cell r="D212"/>
          <cell r="E212">
            <v>3.0530712870233E-7</v>
          </cell>
          <cell r="F212">
            <v>1.27864383280242E-6</v>
          </cell>
          <cell r="G212">
            <v>4.9552869065299004E-7</v>
          </cell>
          <cell r="H212">
            <v>2.7104883085760701E-7</v>
          </cell>
          <cell r="I212">
            <v>1.9460053273513699E-7</v>
          </cell>
          <cell r="J212">
            <v>2.4809056703004001E-7</v>
          </cell>
          <cell r="K212"/>
        </row>
        <row r="213">
          <cell r="A213" t="str">
            <v>RHEM-SHCONBR9</v>
          </cell>
          <cell r="B213" t="str">
            <v>VAR_cap</v>
          </cell>
          <cell r="C213" t="str">
            <v>-</v>
          </cell>
          <cell r="D213"/>
          <cell r="E213">
            <v>3.0530712870233E-7</v>
          </cell>
          <cell r="F213">
            <v>1.365415282036947E-6</v>
          </cell>
          <cell r="G213">
            <v>1.7258281105164899E-6</v>
          </cell>
          <cell r="H213">
            <v>1.7404560190734991E-6</v>
          </cell>
          <cell r="I213">
            <v>1.8043204449850318E-6</v>
          </cell>
          <cell r="J213">
            <v>1.8193564940879399E-6</v>
          </cell>
        </row>
        <row r="214">
          <cell r="A214" t="str">
            <v>SCOM-SHELCHP</v>
          </cell>
          <cell r="B214" t="str">
            <v>VAR_fout</v>
          </cell>
          <cell r="C214" t="str">
            <v>SCOM-SHAELCH</v>
          </cell>
          <cell r="D214">
            <v>4.2617262197864543</v>
          </cell>
          <cell r="E214">
            <v>4.6178551473715137</v>
          </cell>
          <cell r="F214">
            <v>4.7411865930509869</v>
          </cell>
          <cell r="G214">
            <v>8.1724895490911926</v>
          </cell>
          <cell r="H214">
            <v>11.580974593806914</v>
          </cell>
          <cell r="I214">
            <v>15.847027969103261</v>
          </cell>
          <cell r="J214">
            <v>18.4892094809505</v>
          </cell>
          <cell r="K214"/>
        </row>
        <row r="215">
          <cell r="A215" t="str">
            <v>SCOM-SHELCHP</v>
          </cell>
          <cell r="B215" t="str">
            <v>VAR_fin</v>
          </cell>
          <cell r="C215" t="str">
            <v>SCOMELCHPC</v>
          </cell>
          <cell r="D215">
            <v>4.2617262197864543</v>
          </cell>
          <cell r="E215">
            <v>4.6178551473715137</v>
          </cell>
          <cell r="F215">
            <v>4.7411865930509869</v>
          </cell>
          <cell r="G215">
            <v>8.1724895490911926</v>
          </cell>
          <cell r="H215">
            <v>11.580974593806914</v>
          </cell>
          <cell r="I215">
            <v>15.847027969103261</v>
          </cell>
          <cell r="J215">
            <v>18.4892094809505</v>
          </cell>
        </row>
        <row r="216">
          <cell r="A216" t="str">
            <v>SCOM-SHELCHP</v>
          </cell>
          <cell r="B216" t="str">
            <v>VAR_fin</v>
          </cell>
          <cell r="C216" t="str">
            <v>SCOM_ELC</v>
          </cell>
          <cell r="D216">
            <v>1.3317894436832673</v>
          </cell>
          <cell r="E216">
            <v>1.4252639343739246</v>
          </cell>
          <cell r="F216">
            <v>1.6815575406656758</v>
          </cell>
          <cell r="G216">
            <v>2.593608142969277</v>
          </cell>
          <cell r="H216">
            <v>3.4368066028351967</v>
          </cell>
          <cell r="I216">
            <v>4.4365094956719702</v>
          </cell>
          <cell r="J216">
            <v>4.797012383359947</v>
          </cell>
        </row>
        <row r="217">
          <cell r="A217" t="str">
            <v>SCOM-SHELCHP</v>
          </cell>
          <cell r="B217" t="str">
            <v>VAR_ncap</v>
          </cell>
          <cell r="C217" t="str">
            <v>-</v>
          </cell>
          <cell r="D217">
            <v>6.6486584764040704E-6</v>
          </cell>
          <cell r="E217">
            <v>1.51399875747709E-5</v>
          </cell>
          <cell r="F217">
            <v>4.8005337205155101E-5</v>
          </cell>
          <cell r="G217">
            <v>0.20195300993288201</v>
          </cell>
          <cell r="H217">
            <v>0.58288150543255701</v>
          </cell>
          <cell r="I217">
            <v>0.50569610424995903</v>
          </cell>
          <cell r="J217">
            <v>0.82103120734597601</v>
          </cell>
          <cell r="K217"/>
        </row>
        <row r="218">
          <cell r="A218" t="str">
            <v>SCOM-SHELCHP</v>
          </cell>
          <cell r="B218" t="str">
            <v>VAR_cap</v>
          </cell>
          <cell r="C218" t="str">
            <v>-</v>
          </cell>
          <cell r="D218">
            <v>0.43062396211226439</v>
          </cell>
          <cell r="E218">
            <v>0.43062109165418205</v>
          </cell>
          <cell r="F218">
            <v>0.43065670907275672</v>
          </cell>
          <cell r="G218">
            <v>0.63261851548300374</v>
          </cell>
          <cell r="H218">
            <v>0.89653273656274612</v>
          </cell>
          <cell r="I218">
            <v>1.2265059934409552</v>
          </cell>
          <cell r="J218">
            <v>1.4345822786917395</v>
          </cell>
        </row>
        <row r="219">
          <cell r="A219" t="str">
            <v>D-ITOT_NKEV_OIL_ELC_CHP</v>
          </cell>
          <cell r="B219" t="str">
            <v>VAR_fout</v>
          </cell>
          <cell r="C219" t="str">
            <v>ITOT_ELC</v>
          </cell>
          <cell r="D219">
            <v>4.8959306840296209E-2</v>
          </cell>
          <cell r="E219">
            <v>0.14059359000261218</v>
          </cell>
          <cell r="F219">
            <v>9.6975582639591135E-2</v>
          </cell>
          <cell r="G219">
            <v>0.1500514401400993</v>
          </cell>
          <cell r="H219">
            <v>0.10597655580676792</v>
          </cell>
          <cell r="I219"/>
          <cell r="J219"/>
        </row>
        <row r="220">
          <cell r="A220" t="str">
            <v>D-ITOT_NKEV_OIL_ELC_CHP</v>
          </cell>
          <cell r="B220" t="str">
            <v>VAR_fout</v>
          </cell>
          <cell r="C220" t="str">
            <v>ELC5</v>
          </cell>
          <cell r="D220">
            <v>2.1594579518456905E-2</v>
          </cell>
          <cell r="E220">
            <v>2.5971872394766941E-2</v>
          </cell>
          <cell r="F220">
            <v>2.8768544440016051E-2</v>
          </cell>
          <cell r="G220">
            <v>1.1506042097067294E-2</v>
          </cell>
          <cell r="H220">
            <v>3.3214513323613026E-2</v>
          </cell>
          <cell r="I220"/>
          <cell r="J220"/>
        </row>
        <row r="221">
          <cell r="A221" t="str">
            <v>D-ITOT_NKEV_OIL_ELC_CHP</v>
          </cell>
          <cell r="B221" t="str">
            <v>VAR_fin</v>
          </cell>
          <cell r="C221" t="str">
            <v>ITOT_NKEV_OIL_ELC_CHP</v>
          </cell>
          <cell r="D221">
            <v>7.0553886358753079E-2</v>
          </cell>
          <cell r="E221">
            <v>0.16656546239737904</v>
          </cell>
          <cell r="F221">
            <v>0.12551260495420383</v>
          </cell>
          <cell r="G221">
            <v>0.16131818156861827</v>
          </cell>
          <cell r="H221">
            <v>0.13889698933842837</v>
          </cell>
          <cell r="I221"/>
          <cell r="J221"/>
        </row>
        <row r="222">
          <cell r="A222" t="str">
            <v>RHSA-WHCONBR1</v>
          </cell>
          <cell r="B222" t="str">
            <v>VAR_ncap</v>
          </cell>
          <cell r="C222" t="str">
            <v>-</v>
          </cell>
          <cell r="D222"/>
          <cell r="E222"/>
          <cell r="F222">
            <v>375</v>
          </cell>
          <cell r="G222">
            <v>4.73106761837278</v>
          </cell>
          <cell r="H222">
            <v>4.3003918622553901</v>
          </cell>
          <cell r="I222"/>
          <cell r="J222"/>
          <cell r="K222"/>
        </row>
        <row r="223">
          <cell r="A223" t="str">
            <v>RHSA-WHCONBR1</v>
          </cell>
          <cell r="B223" t="str">
            <v>VAR_cap</v>
          </cell>
          <cell r="C223" t="str">
            <v>-</v>
          </cell>
          <cell r="D223"/>
          <cell r="E223"/>
          <cell r="F223">
            <v>375</v>
          </cell>
          <cell r="G223">
            <v>11.848368678838028</v>
          </cell>
          <cell r="H223">
            <v>10.947118884980966</v>
          </cell>
          <cell r="I223">
            <v>6.3311927241839498</v>
          </cell>
          <cell r="J223">
            <v>2.8355470014540174</v>
          </cell>
          <cell r="K223"/>
        </row>
        <row r="224">
          <cell r="A224" t="str">
            <v>RHNS-SHELCBR</v>
          </cell>
          <cell r="B224" t="str">
            <v>VAR_fout</v>
          </cell>
          <cell r="C224" t="str">
            <v>RHNS-SHAELCB</v>
          </cell>
          <cell r="D224"/>
          <cell r="E224">
            <v>6.9113187218625804E-2</v>
          </cell>
          <cell r="F224">
            <v>4.4314296878840724E-3</v>
          </cell>
          <cell r="G224">
            <v>1.0612758938215821E-2</v>
          </cell>
          <cell r="H224">
            <v>1.1020479708289427E-2</v>
          </cell>
          <cell r="I224">
            <v>1.1313978598475487E-2</v>
          </cell>
          <cell r="J224">
            <v>9.6021724634759026E-3</v>
          </cell>
        </row>
        <row r="225">
          <cell r="A225" t="str">
            <v>RHNS-SHELCBR</v>
          </cell>
          <cell r="B225" t="str">
            <v>VAR_fin</v>
          </cell>
          <cell r="C225" t="str">
            <v>RHNS_ELC</v>
          </cell>
          <cell r="D225"/>
          <cell r="E225">
            <v>7.27507233880271E-2</v>
          </cell>
          <cell r="F225">
            <v>4.6646628293516576E-3</v>
          </cell>
          <cell r="G225">
            <v>1.1171325198121928E-2</v>
          </cell>
          <cell r="H225">
            <v>1.1600504956094142E-2</v>
          </cell>
          <cell r="I225">
            <v>1.1909451156289993E-2</v>
          </cell>
          <cell r="J225">
            <v>1.0107549961553587E-2</v>
          </cell>
        </row>
        <row r="226">
          <cell r="A226" t="str">
            <v>RHNS-SHELCBR</v>
          </cell>
          <cell r="B226" t="str">
            <v>VAR_ncap</v>
          </cell>
          <cell r="C226" t="str">
            <v>-</v>
          </cell>
          <cell r="D226"/>
          <cell r="E226">
            <v>8.8505591998820198E-3</v>
          </cell>
          <cell r="F226"/>
          <cell r="G226"/>
          <cell r="H226">
            <v>8.6792111770925204E-3</v>
          </cell>
          <cell r="I226"/>
          <cell r="J226"/>
        </row>
        <row r="227">
          <cell r="A227" t="str">
            <v>RHNS-SHELCBR</v>
          </cell>
          <cell r="B227" t="str">
            <v>VAR_cap</v>
          </cell>
          <cell r="C227" t="str">
            <v>-</v>
          </cell>
          <cell r="D227"/>
          <cell r="E227">
            <v>8.8505591998820198E-3</v>
          </cell>
          <cell r="F227">
            <v>8.8391859498805833E-3</v>
          </cell>
          <cell r="G227">
            <v>8.8187263081048895E-3</v>
          </cell>
          <cell r="H227">
            <v>1.3151320561674102E-2</v>
          </cell>
          <cell r="I227">
            <v>8.6744628056238081E-3</v>
          </cell>
          <cell r="J227">
            <v>3.6629054485844688E-3</v>
          </cell>
          <cell r="K227"/>
        </row>
        <row r="228">
          <cell r="A228" t="str">
            <v>RHSA-WHCONBR2</v>
          </cell>
          <cell r="B228" t="str">
            <v>VAR_ncap</v>
          </cell>
          <cell r="C228" t="str">
            <v>-</v>
          </cell>
          <cell r="D228"/>
          <cell r="E228"/>
          <cell r="F228">
            <v>375</v>
          </cell>
          <cell r="G228">
            <v>4.7310676183725198</v>
          </cell>
          <cell r="H228">
            <v>4.3003918622550996</v>
          </cell>
          <cell r="I228"/>
          <cell r="J228"/>
          <cell r="K228"/>
        </row>
        <row r="229">
          <cell r="A229" t="str">
            <v>RHSA-WHCONBR2</v>
          </cell>
          <cell r="B229" t="str">
            <v>VAR_cap</v>
          </cell>
          <cell r="C229" t="str">
            <v>-</v>
          </cell>
          <cell r="D229"/>
          <cell r="E229"/>
          <cell r="F229">
            <v>375</v>
          </cell>
          <cell r="G229">
            <v>11.848368678838995</v>
          </cell>
          <cell r="H229">
            <v>10.947118884982956</v>
          </cell>
          <cell r="I229">
            <v>6.3311927241859962</v>
          </cell>
          <cell r="J229">
            <v>2.8355470014540174</v>
          </cell>
          <cell r="K229"/>
        </row>
        <row r="230">
          <cell r="A230" t="str">
            <v>ITOT-SWHSTG-SOL</v>
          </cell>
          <cell r="B230" t="str">
            <v>VAR_fout</v>
          </cell>
          <cell r="C230" t="str">
            <v>ITOT-SWHASOL</v>
          </cell>
          <cell r="D230">
            <v>1.85377881560165E-3</v>
          </cell>
          <cell r="E230">
            <v>1.9848204310787933E-3</v>
          </cell>
          <cell r="F230">
            <v>4.391579573518033E-3</v>
          </cell>
          <cell r="G230">
            <v>5.5723493923584477E-3</v>
          </cell>
          <cell r="H230">
            <v>8.0350857958086247E-3</v>
          </cell>
          <cell r="I230">
            <v>0.10918857674711055</v>
          </cell>
          <cell r="J230">
            <v>3.7325625615396645E-2</v>
          </cell>
        </row>
        <row r="231">
          <cell r="A231" t="str">
            <v>ITOT-SWHSTG-SOL</v>
          </cell>
          <cell r="B231" t="str">
            <v>VAR_fin</v>
          </cell>
          <cell r="C231" t="str">
            <v>ITOT-SWHASOL</v>
          </cell>
          <cell r="D231">
            <v>1.5068292140901518E-3</v>
          </cell>
          <cell r="E231">
            <v>1.8182264337344837E-3</v>
          </cell>
          <cell r="F231">
            <v>4.8464037033492755E-3</v>
          </cell>
          <cell r="G231">
            <v>6.3099543582036356E-3</v>
          </cell>
          <cell r="H231">
            <v>8.9186202077781926E-3</v>
          </cell>
          <cell r="I231">
            <v>0.12778520791844133</v>
          </cell>
          <cell r="J231">
            <v>4.0988527579840346E-2</v>
          </cell>
        </row>
        <row r="232">
          <cell r="A232" t="str">
            <v>ITOT-SWHSTG-SOL</v>
          </cell>
          <cell r="B232" t="str">
            <v>VAR_ncap</v>
          </cell>
          <cell r="C232" t="str">
            <v>-</v>
          </cell>
          <cell r="D232">
            <v>2.8614709799588099E-4</v>
          </cell>
          <cell r="E232">
            <v>4.2548390034515098E-7</v>
          </cell>
          <cell r="F232">
            <v>2.5005160557767199E-4</v>
          </cell>
          <cell r="G232">
            <v>3.9861057840108699E-4</v>
          </cell>
          <cell r="H232">
            <v>2.8774551753269699E-4</v>
          </cell>
          <cell r="I232">
            <v>8.0339650362907897E-2</v>
          </cell>
          <cell r="J232">
            <v>1.87248942358358E-6</v>
          </cell>
        </row>
        <row r="233">
          <cell r="A233" t="str">
            <v>ITOT-SWHSTG-SOL</v>
          </cell>
          <cell r="B233" t="str">
            <v>VAR_cap</v>
          </cell>
          <cell r="C233" t="str">
            <v>-</v>
          </cell>
          <cell r="D233">
            <v>2.8614709799588099E-4</v>
          </cell>
          <cell r="E233">
            <v>2.8657258189622599E-4</v>
          </cell>
          <cell r="F233">
            <v>5.3662418747389804E-4</v>
          </cell>
          <cell r="G233">
            <v>9.3523476587498502E-4</v>
          </cell>
          <cell r="H233">
            <v>1.01083351455918E-3</v>
          </cell>
          <cell r="I233">
            <v>8.0943931069666894E-2</v>
          </cell>
          <cell r="J233">
            <v>5.84287648691054E-2</v>
          </cell>
        </row>
        <row r="234">
          <cell r="A234" t="str">
            <v>RHES-SHLTHCHPNGA</v>
          </cell>
          <cell r="B234" t="str">
            <v>VAR_fout</v>
          </cell>
          <cell r="C234" t="str">
            <v>RHES-SHLTHC-NGA</v>
          </cell>
          <cell r="D234">
            <v>3.9928770963883045E-2</v>
          </cell>
          <cell r="E234">
            <v>2.0081631597735329E-2</v>
          </cell>
          <cell r="F234"/>
          <cell r="G234"/>
          <cell r="H234"/>
          <cell r="I234"/>
          <cell r="J234"/>
          <cell r="K234"/>
        </row>
        <row r="235">
          <cell r="A235" t="str">
            <v>RHES-SHLTHCHPNGA</v>
          </cell>
          <cell r="B235" t="str">
            <v>VAR_fin</v>
          </cell>
          <cell r="C235" t="str">
            <v>RHESLTHCHPC</v>
          </cell>
          <cell r="D235">
            <v>3.9928770963883045E-2</v>
          </cell>
          <cell r="E235">
            <v>2.0081631597735329E-2</v>
          </cell>
          <cell r="F235"/>
          <cell r="G235"/>
          <cell r="H235"/>
          <cell r="I235"/>
          <cell r="J235"/>
        </row>
        <row r="236">
          <cell r="A236" t="str">
            <v>RHES-SHLTHCHPNGA</v>
          </cell>
          <cell r="B236" t="str">
            <v>VAR_fin</v>
          </cell>
          <cell r="C236" t="str">
            <v>RHES_LTH_CHPNGA_ON</v>
          </cell>
          <cell r="D236">
            <v>4.0332091882710149E-2</v>
          </cell>
          <cell r="E236">
            <v>2.0284476361348801E-2</v>
          </cell>
          <cell r="F236"/>
          <cell r="G236"/>
          <cell r="H236"/>
          <cell r="I236"/>
          <cell r="J236"/>
          <cell r="K236"/>
        </row>
        <row r="237">
          <cell r="A237" t="str">
            <v>RHES-SHLTHCHPNGA</v>
          </cell>
          <cell r="B237" t="str">
            <v>VAR_ncap</v>
          </cell>
          <cell r="C237" t="str">
            <v>-</v>
          </cell>
          <cell r="D237"/>
          <cell r="E237">
            <v>1.6935852571470301E-3</v>
          </cell>
          <cell r="F237">
            <v>1.40135780098112E-3</v>
          </cell>
          <cell r="G237">
            <v>9.3513592927187996E-4</v>
          </cell>
          <cell r="H237">
            <v>4.8862685188422704E-4</v>
          </cell>
          <cell r="I237">
            <v>1.5436296650026701E-4</v>
          </cell>
          <cell r="J237">
            <v>3.1865955080565103E-7</v>
          </cell>
          <cell r="K237"/>
        </row>
        <row r="238">
          <cell r="A238" t="str">
            <v>RHES-SHLTHCHPNGA</v>
          </cell>
          <cell r="B238" t="str">
            <v>VAR_cap</v>
          </cell>
          <cell r="C238" t="str">
            <v>-</v>
          </cell>
          <cell r="D238">
            <v>5.3757649990155603E-3</v>
          </cell>
          <cell r="E238">
            <v>2.7261342861108302E-3</v>
          </cell>
          <cell r="F238">
            <v>2.52363335304291E-3</v>
          </cell>
          <cell r="G238">
            <v>1.9609195185307906E-3</v>
          </cell>
          <cell r="H238">
            <v>1.0154165270780001E-3</v>
          </cell>
          <cell r="I238">
            <v>3.3435429436274016E-4</v>
          </cell>
          <cell r="J238"/>
          <cell r="K238"/>
        </row>
        <row r="239">
          <cell r="A239" t="str">
            <v>RHSA-WHSTG-ELC</v>
          </cell>
          <cell r="B239" t="str">
            <v>VAR_fout</v>
          </cell>
          <cell r="C239" t="str">
            <v>RHSA-WHAELCB</v>
          </cell>
          <cell r="D239">
            <v>1.0757778745708435</v>
          </cell>
          <cell r="E239">
            <v>1.2789441938586927</v>
          </cell>
          <cell r="F239">
            <v>0.83732512697493355</v>
          </cell>
          <cell r="G239">
            <v>0.63527302635627758</v>
          </cell>
          <cell r="H239">
            <v>0.30403285560987531</v>
          </cell>
          <cell r="I239">
            <v>0.27727928130943297</v>
          </cell>
          <cell r="J239">
            <v>0.26139965282084959</v>
          </cell>
          <cell r="K239"/>
        </row>
        <row r="240">
          <cell r="A240" t="str">
            <v>RHSA-WHSTG-ELC</v>
          </cell>
          <cell r="B240" t="str">
            <v>VAR_fout</v>
          </cell>
          <cell r="C240" t="str">
            <v>AUX_RHSA-WHSTG-ELC_OUT</v>
          </cell>
          <cell r="D240">
            <v>1.0768536524454142</v>
          </cell>
          <cell r="E240">
            <v>1.2802231380525515</v>
          </cell>
          <cell r="F240">
            <v>0.83816245210190787</v>
          </cell>
          <cell r="G240">
            <v>0.63590829938263382</v>
          </cell>
          <cell r="H240">
            <v>0.30433688846548507</v>
          </cell>
          <cell r="I240">
            <v>0.27755656059074252</v>
          </cell>
          <cell r="J240">
            <v>0.26166105247367022</v>
          </cell>
          <cell r="K240"/>
        </row>
        <row r="241">
          <cell r="A241" t="str">
            <v>RHSA-WHSTG-ELC</v>
          </cell>
          <cell r="B241" t="str">
            <v>VAR_fin</v>
          </cell>
          <cell r="C241" t="str">
            <v>RHSA-WHAELCB</v>
          </cell>
          <cell r="D241">
            <v>1.0760554524358916</v>
          </cell>
          <cell r="E241">
            <v>1.2789388295957727</v>
          </cell>
          <cell r="F241">
            <v>0.83728344028727386</v>
          </cell>
          <cell r="G241">
            <v>0.63524385817749618</v>
          </cell>
          <cell r="H241">
            <v>0.30403005698608176</v>
          </cell>
          <cell r="I241">
            <v>0.27728452700203127</v>
          </cell>
          <cell r="J241">
            <v>0.26139696925420564</v>
          </cell>
        </row>
        <row r="242">
          <cell r="A242" t="str">
            <v>RHSA-WHSTG-ELC</v>
          </cell>
          <cell r="B242" t="str">
            <v>VAR_ncap</v>
          </cell>
          <cell r="C242" t="str">
            <v>-</v>
          </cell>
          <cell r="D242">
            <v>0.11738976400545301</v>
          </cell>
          <cell r="E242">
            <v>3.0304667462482899E-4</v>
          </cell>
          <cell r="F242">
            <v>3.0326524186028098E-4</v>
          </cell>
          <cell r="G242">
            <v>5.0669045352248298E-4</v>
          </cell>
          <cell r="H242">
            <v>1.6199673555334401E-2</v>
          </cell>
          <cell r="I242">
            <v>1.90021464522197E-2</v>
          </cell>
          <cell r="J242">
            <v>1.27177485593713E-2</v>
          </cell>
          <cell r="K242"/>
        </row>
        <row r="243">
          <cell r="A243" t="str">
            <v>RHSA-WHSTG-ELC</v>
          </cell>
          <cell r="B243" t="str">
            <v>VAR_cap</v>
          </cell>
          <cell r="C243" t="str">
            <v>-</v>
          </cell>
          <cell r="D243">
            <v>0.11739067337434173</v>
          </cell>
          <cell r="E243">
            <v>0.11112207712770494</v>
          </cell>
          <cell r="F243">
            <v>8.193051732997482E-2</v>
          </cell>
          <cell r="G243">
            <v>6.0005404601844226E-2</v>
          </cell>
          <cell r="H243">
            <v>3.149475050321203E-2</v>
          </cell>
          <cell r="I243">
            <v>3.4887886983474017E-2</v>
          </cell>
          <cell r="J243">
            <v>3.2518097350266999E-2</v>
          </cell>
          <cell r="K243"/>
        </row>
        <row r="244">
          <cell r="A244" t="str">
            <v>ITOT-SWHLFOBR</v>
          </cell>
          <cell r="B244" t="str">
            <v>VAR_fout</v>
          </cell>
          <cell r="C244" t="str">
            <v>ITOT-SWH</v>
          </cell>
          <cell r="D244">
            <v>6.91791002273958</v>
          </cell>
          <cell r="E244">
            <v>6.3246703469299703</v>
          </cell>
          <cell r="F244">
            <v>6.4457194252637864</v>
          </cell>
          <cell r="G244">
            <v>5.2391430723309336</v>
          </cell>
          <cell r="H244">
            <v>4.2507372275274404</v>
          </cell>
          <cell r="I244">
            <v>2.4433890957717601</v>
          </cell>
          <cell r="J244">
            <v>0.18759520473818372</v>
          </cell>
          <cell r="K244"/>
        </row>
        <row r="245">
          <cell r="A245" t="str">
            <v>ITOT-SWHLFOBR</v>
          </cell>
          <cell r="B245" t="str">
            <v>VAR_fout</v>
          </cell>
          <cell r="C245" t="str">
            <v>CO2_I</v>
          </cell>
          <cell r="D245">
            <v>655.78752653143204</v>
          </cell>
          <cell r="E245">
            <v>598.58263948154399</v>
          </cell>
          <cell r="F245">
            <v>608.56463794788601</v>
          </cell>
          <cell r="G245">
            <v>492.66271310107697</v>
          </cell>
          <cell r="H245">
            <v>398.12074175802599</v>
          </cell>
          <cell r="I245">
            <v>227.93510761506499</v>
          </cell>
          <cell r="J245">
            <v>17.361889906915799</v>
          </cell>
        </row>
        <row r="246">
          <cell r="A246" t="str">
            <v>ITOT-SWHLFOBR</v>
          </cell>
          <cell r="B246" t="str">
            <v>VAR_fin</v>
          </cell>
          <cell r="C246" t="str">
            <v>ILFO</v>
          </cell>
          <cell r="D246">
            <v>8.8980668457453493</v>
          </cell>
          <cell r="E246">
            <v>8.1218811327210911</v>
          </cell>
          <cell r="F246">
            <v>8.257322088845136</v>
          </cell>
          <cell r="G246">
            <v>6.6847043840037541</v>
          </cell>
          <cell r="H246">
            <v>5.401909657503742</v>
          </cell>
          <cell r="I246">
            <v>3.0927423014255768</v>
          </cell>
          <cell r="J246">
            <v>0.23557516834349768</v>
          </cell>
          <cell r="K246"/>
        </row>
        <row r="247">
          <cell r="A247" t="str">
            <v>ITOT-SWHLFOBR</v>
          </cell>
          <cell r="B247" t="str">
            <v>VAR_ncap</v>
          </cell>
          <cell r="C247" t="str">
            <v>-</v>
          </cell>
          <cell r="D247"/>
          <cell r="E247">
            <v>7.8921284084253508E-3</v>
          </cell>
          <cell r="F247">
            <v>9.1047211546281797E-3</v>
          </cell>
          <cell r="G247">
            <v>2.0393629661559199E-3</v>
          </cell>
          <cell r="H247">
            <v>0.163235851799127</v>
          </cell>
          <cell r="I247">
            <v>1.8585613628677899E-2</v>
          </cell>
          <cell r="J247">
            <v>1.2124535355030699E-3</v>
          </cell>
          <cell r="K247"/>
        </row>
        <row r="248">
          <cell r="A248" t="str">
            <v>ITOT-SWHLFOBR</v>
          </cell>
          <cell r="B248" t="str">
            <v>VAR_cap</v>
          </cell>
          <cell r="C248" t="str">
            <v>-</v>
          </cell>
          <cell r="D248">
            <v>0.37633543963083199</v>
          </cell>
          <cell r="E248">
            <v>0.38411922150184863</v>
          </cell>
          <cell r="F248">
            <v>0.3927695108812071</v>
          </cell>
          <cell r="G248">
            <v>0.38994178396841428</v>
          </cell>
          <cell r="H248">
            <v>0.27258679426036481</v>
          </cell>
          <cell r="I248">
            <v>0.18004565938802874</v>
          </cell>
          <cell r="J248">
            <v>1.6924111506060699E-2</v>
          </cell>
        </row>
        <row r="249">
          <cell r="A249" t="str">
            <v>D-SCOM_LTH_CHPNGA</v>
          </cell>
          <cell r="B249" t="str">
            <v>VAR_fout</v>
          </cell>
          <cell r="C249" t="str">
            <v>LTH</v>
          </cell>
          <cell r="D249"/>
          <cell r="E249">
            <v>7.4517210011869987E-5</v>
          </cell>
          <cell r="F249"/>
          <cell r="G249"/>
          <cell r="H249"/>
          <cell r="I249"/>
          <cell r="J249"/>
        </row>
        <row r="250">
          <cell r="A250" t="str">
            <v>D-SCOM_LTH_CHPNGA</v>
          </cell>
          <cell r="B250" t="str">
            <v>VAR_fout</v>
          </cell>
          <cell r="C250" t="str">
            <v>SCOM_LTH_CHPNGA_ON</v>
          </cell>
          <cell r="D250">
            <v>0.69264836837935517</v>
          </cell>
          <cell r="E250">
            <v>0.75030097401736406</v>
          </cell>
          <cell r="F250"/>
          <cell r="G250"/>
          <cell r="H250"/>
          <cell r="I250"/>
          <cell r="J250"/>
        </row>
        <row r="251">
          <cell r="A251" t="str">
            <v>D-SCOM_LTH_CHPNGA</v>
          </cell>
          <cell r="B251" t="str">
            <v>VAR_fin</v>
          </cell>
          <cell r="C251" t="str">
            <v>SCOM_LTH_CHPNGA</v>
          </cell>
          <cell r="D251">
            <v>0.69264836837935517</v>
          </cell>
          <cell r="E251">
            <v>0.75037549122737524</v>
          </cell>
          <cell r="F251"/>
          <cell r="G251"/>
          <cell r="H251"/>
          <cell r="I251"/>
          <cell r="J251"/>
        </row>
        <row r="252">
          <cell r="A252" t="str">
            <v>RHSA-WHCONBR3</v>
          </cell>
          <cell r="B252" t="str">
            <v>VAR_ncap</v>
          </cell>
          <cell r="C252" t="str">
            <v>-</v>
          </cell>
          <cell r="D252"/>
          <cell r="E252"/>
          <cell r="F252">
            <v>375</v>
          </cell>
          <cell r="G252">
            <v>4.73106761837278</v>
          </cell>
          <cell r="H252">
            <v>4.3003918622553901</v>
          </cell>
          <cell r="I252"/>
          <cell r="J252"/>
          <cell r="K252"/>
        </row>
        <row r="253">
          <cell r="A253" t="str">
            <v>RHSA-WHCONBR3</v>
          </cell>
          <cell r="B253" t="str">
            <v>VAR_cap</v>
          </cell>
          <cell r="C253" t="str">
            <v>-</v>
          </cell>
          <cell r="D253"/>
          <cell r="E253"/>
          <cell r="F253">
            <v>375</v>
          </cell>
          <cell r="G253">
            <v>11.848368678838028</v>
          </cell>
          <cell r="H253">
            <v>10.947118884980966</v>
          </cell>
          <cell r="I253">
            <v>6.3311927241839498</v>
          </cell>
          <cell r="J253">
            <v>2.8355470014540174</v>
          </cell>
          <cell r="K253"/>
        </row>
        <row r="254">
          <cell r="A254" t="str">
            <v>D-IWOD</v>
          </cell>
          <cell r="B254" t="str">
            <v>VAR_fout</v>
          </cell>
          <cell r="C254" t="str">
            <v>IWOD</v>
          </cell>
          <cell r="D254">
            <v>9.8748429320267928</v>
          </cell>
          <cell r="E254">
            <v>12.395647905897523</v>
          </cell>
          <cell r="F254">
            <v>14.827886847223827</v>
          </cell>
          <cell r="G254">
            <v>19.339376831810846</v>
          </cell>
          <cell r="H254">
            <v>22.121789163665717</v>
          </cell>
          <cell r="I254">
            <v>21.479451284661369</v>
          </cell>
          <cell r="J254">
            <v>24.63668722009108</v>
          </cell>
          <cell r="K254"/>
        </row>
        <row r="255">
          <cell r="A255" t="str">
            <v>D-IWOD</v>
          </cell>
          <cell r="B255" t="str">
            <v>VAR_fin</v>
          </cell>
          <cell r="C255" t="str">
            <v>WOD</v>
          </cell>
          <cell r="D255">
            <v>9.8748429320267928</v>
          </cell>
          <cell r="E255">
            <v>12.395647905897523</v>
          </cell>
          <cell r="F255">
            <v>14.827886847223827</v>
          </cell>
          <cell r="G255">
            <v>19.339376831810846</v>
          </cell>
          <cell r="H255">
            <v>22.121789163665717</v>
          </cell>
          <cell r="I255">
            <v>21.479451284661369</v>
          </cell>
          <cell r="J255">
            <v>24.63668722009108</v>
          </cell>
        </row>
        <row r="256">
          <cell r="A256" t="str">
            <v>RHSA-WHCONBR4</v>
          </cell>
          <cell r="B256" t="str">
            <v>VAR_ncap</v>
          </cell>
          <cell r="C256" t="str">
            <v>-</v>
          </cell>
          <cell r="D256"/>
          <cell r="E256"/>
          <cell r="F256">
            <v>375</v>
          </cell>
          <cell r="G256">
            <v>4.7310676183725198</v>
          </cell>
          <cell r="H256">
            <v>4.3003918622550996</v>
          </cell>
          <cell r="I256"/>
          <cell r="J256"/>
        </row>
        <row r="257">
          <cell r="A257" t="str">
            <v>RHSA-WHCONBR4</v>
          </cell>
          <cell r="B257" t="str">
            <v>VAR_cap</v>
          </cell>
          <cell r="C257" t="str">
            <v>-</v>
          </cell>
          <cell r="D257"/>
          <cell r="E257"/>
          <cell r="F257">
            <v>375</v>
          </cell>
          <cell r="G257">
            <v>11.848368678838995</v>
          </cell>
          <cell r="H257">
            <v>10.947118884982956</v>
          </cell>
          <cell r="I257">
            <v>6.3311927241859962</v>
          </cell>
          <cell r="J257">
            <v>2.8355470014540174</v>
          </cell>
          <cell r="K257"/>
        </row>
        <row r="258">
          <cell r="A258" t="str">
            <v>SCOM-ELCSPEC</v>
          </cell>
          <cell r="B258" t="str">
            <v>VAR_fout</v>
          </cell>
          <cell r="C258" t="str">
            <v>SCOM-ELS</v>
          </cell>
          <cell r="D258">
            <v>56.994774574912441</v>
          </cell>
          <cell r="E258">
            <v>58.701922753786299</v>
          </cell>
          <cell r="F258">
            <v>45.095920320379449</v>
          </cell>
          <cell r="G258">
            <v>37.222773055465339</v>
          </cell>
          <cell r="H258">
            <v>34.440211385320268</v>
          </cell>
          <cell r="I258">
            <v>31.276685488162961</v>
          </cell>
          <cell r="J258">
            <v>25.370186740920264</v>
          </cell>
        </row>
        <row r="259">
          <cell r="A259" t="str">
            <v>SCOM-ELCSPEC</v>
          </cell>
          <cell r="B259" t="str">
            <v>VAR_fin</v>
          </cell>
          <cell r="C259" t="str">
            <v>SCOM_ELC</v>
          </cell>
          <cell r="D259">
            <v>56.994774574912441</v>
          </cell>
          <cell r="E259">
            <v>58.701922753786299</v>
          </cell>
          <cell r="F259">
            <v>45.095920320379449</v>
          </cell>
          <cell r="G259">
            <v>37.222773055465339</v>
          </cell>
          <cell r="H259">
            <v>34.440211385320268</v>
          </cell>
          <cell r="I259">
            <v>31.276685488162961</v>
          </cell>
          <cell r="J259">
            <v>25.370186740920264</v>
          </cell>
          <cell r="K259"/>
        </row>
        <row r="260">
          <cell r="A260" t="str">
            <v>SCOM-ELCSPEC</v>
          </cell>
          <cell r="B260" t="str">
            <v>VAR_ncap</v>
          </cell>
          <cell r="C260" t="str">
            <v>-</v>
          </cell>
          <cell r="D260">
            <v>9.2493821887260005E-6</v>
          </cell>
          <cell r="E260">
            <v>6.0373229132833102E-5</v>
          </cell>
          <cell r="F260">
            <v>4.0414591506182301E-5</v>
          </cell>
          <cell r="G260">
            <v>3.2238227378480097E-5</v>
          </cell>
          <cell r="H260">
            <v>5.4288394043497497E-5</v>
          </cell>
          <cell r="I260">
            <v>4.5744366063432999E-5</v>
          </cell>
          <cell r="J260">
            <v>2.3879010754327399</v>
          </cell>
          <cell r="K260"/>
        </row>
        <row r="261">
          <cell r="A261" t="str">
            <v>SCOM-ELCSPEC</v>
          </cell>
          <cell r="B261" t="str">
            <v>VAR_cap</v>
          </cell>
          <cell r="C261" t="str">
            <v>-</v>
          </cell>
          <cell r="D261">
            <v>6.6055405177360491</v>
          </cell>
          <cell r="E261">
            <v>6.2048518713301934</v>
          </cell>
          <cell r="F261">
            <v>4.7667325273495376</v>
          </cell>
          <cell r="G261">
            <v>3.9344762753585862</v>
          </cell>
          <cell r="H261">
            <v>3.6404332430512496</v>
          </cell>
          <cell r="I261">
            <v>3.3060505311732133</v>
          </cell>
          <cell r="J261">
            <v>2.6816254465295879</v>
          </cell>
          <cell r="K261"/>
        </row>
        <row r="262">
          <cell r="A262" t="str">
            <v>D-ITOT_KEV_WST_ELC_CHP</v>
          </cell>
          <cell r="B262" t="str">
            <v>VAR_fout</v>
          </cell>
          <cell r="C262" t="str">
            <v>ITOT_ELC</v>
          </cell>
          <cell r="D262">
            <v>1.42855652761993E-2</v>
          </cell>
          <cell r="E262">
            <v>5.9725908689306087E-3</v>
          </cell>
          <cell r="F262">
            <v>4.8526862327608724E-3</v>
          </cell>
          <cell r="G262">
            <v>8.0296628153016421E-3</v>
          </cell>
          <cell r="H262">
            <v>1.2002156605108578E-2</v>
          </cell>
          <cell r="I262">
            <v>0.11824384749662097</v>
          </cell>
          <cell r="J262">
            <v>0.2756680420228938</v>
          </cell>
          <cell r="K262"/>
        </row>
        <row r="263">
          <cell r="A263" t="str">
            <v>D-ITOT_KEV_WST_ELC_CHP</v>
          </cell>
          <cell r="B263" t="str">
            <v>VAR_fout</v>
          </cell>
          <cell r="C263" t="str">
            <v>ELC5</v>
          </cell>
          <cell r="D263">
            <v>0.21585912184730061</v>
          </cell>
          <cell r="E263">
            <v>0.23760991549475308</v>
          </cell>
          <cell r="F263">
            <v>8.0132532269757313E-3</v>
          </cell>
          <cell r="G263">
            <v>6.5758269800956243E-3</v>
          </cell>
          <cell r="H263">
            <v>9.5123528355772948E-3</v>
          </cell>
          <cell r="I263">
            <v>3.7195787743393889E-2</v>
          </cell>
          <cell r="J263">
            <v>4.6135885407942383E-2</v>
          </cell>
        </row>
        <row r="264">
          <cell r="A264" t="str">
            <v>D-ITOT_KEV_WST_ELC_CHP</v>
          </cell>
          <cell r="B264" t="str">
            <v>VAR_fin</v>
          </cell>
          <cell r="C264" t="str">
            <v>ITOT_KEV_WST_ELC_CHP</v>
          </cell>
          <cell r="D264">
            <v>0.23014468712349984</v>
          </cell>
          <cell r="E264">
            <v>0.24358250636368389</v>
          </cell>
          <cell r="F264">
            <v>1.2725045049717524E-2</v>
          </cell>
          <cell r="G264">
            <v>1.446874655622681E-2</v>
          </cell>
          <cell r="H264">
            <v>2.1246614524318998E-2</v>
          </cell>
          <cell r="I264">
            <v>0.15543963524001503</v>
          </cell>
          <cell r="J264">
            <v>0.32180392743083619</v>
          </cell>
        </row>
        <row r="265">
          <cell r="A265" t="str">
            <v>RHSA-WHCONBR5</v>
          </cell>
          <cell r="B265" t="str">
            <v>VAR_ncap</v>
          </cell>
          <cell r="C265" t="str">
            <v>-</v>
          </cell>
          <cell r="D265"/>
          <cell r="E265"/>
          <cell r="F265">
            <v>375</v>
          </cell>
          <cell r="G265">
            <v>4.73106761837278</v>
          </cell>
          <cell r="H265">
            <v>4.3003918622553901</v>
          </cell>
          <cell r="I265"/>
          <cell r="J265"/>
        </row>
        <row r="266">
          <cell r="A266" t="str">
            <v>RHSA-WHCONBR5</v>
          </cell>
          <cell r="B266" t="str">
            <v>VAR_cap</v>
          </cell>
          <cell r="C266" t="str">
            <v>-</v>
          </cell>
          <cell r="D266"/>
          <cell r="E266"/>
          <cell r="F266">
            <v>375</v>
          </cell>
          <cell r="G266">
            <v>11.848368678838028</v>
          </cell>
          <cell r="H266">
            <v>10.947118884980966</v>
          </cell>
          <cell r="I266">
            <v>6.3311927241839498</v>
          </cell>
          <cell r="J266">
            <v>2.8355470014540174</v>
          </cell>
        </row>
        <row r="267">
          <cell r="A267" t="str">
            <v>D-RHNM_SOLELC</v>
          </cell>
          <cell r="B267" t="str">
            <v>VAR_fout</v>
          </cell>
          <cell r="C267" t="str">
            <v>ELC5</v>
          </cell>
          <cell r="D267"/>
          <cell r="E267">
            <v>4.9167194570802952E-4</v>
          </cell>
          <cell r="F267">
            <v>1.4821856051929346E-2</v>
          </cell>
          <cell r="G267">
            <v>9.4271947155576546E-3</v>
          </cell>
          <cell r="H267">
            <v>1.8452436080996018E-2</v>
          </cell>
          <cell r="I267">
            <v>6.2641686947849898E-2</v>
          </cell>
          <cell r="J267">
            <v>7.1816064962355278E-2</v>
          </cell>
        </row>
        <row r="268">
          <cell r="A268" t="str">
            <v>D-RHNM_SOLELC</v>
          </cell>
          <cell r="B268" t="str">
            <v>VAR_fout</v>
          </cell>
          <cell r="C268" t="str">
            <v>RHNM_ELC</v>
          </cell>
          <cell r="D268"/>
          <cell r="E268">
            <v>5.2275630555925409E-4</v>
          </cell>
          <cell r="F268">
            <v>1.3019438924460032</v>
          </cell>
          <cell r="G268">
            <v>1.4556211246953368</v>
          </cell>
          <cell r="H268">
            <v>1.5280216221091916</v>
          </cell>
          <cell r="I268">
            <v>5.0886884652633668</v>
          </cell>
          <cell r="J268">
            <v>5.5263993081160434</v>
          </cell>
        </row>
        <row r="269">
          <cell r="A269" t="str">
            <v>D-RHNM_SOLELC</v>
          </cell>
          <cell r="B269" t="str">
            <v>VAR_fin</v>
          </cell>
          <cell r="C269" t="str">
            <v>RHNM_SOL_ELC</v>
          </cell>
          <cell r="D269"/>
          <cell r="E269">
            <v>9.6002379843435418E-4</v>
          </cell>
          <cell r="F269">
            <v>1.3167657484979329</v>
          </cell>
          <cell r="G269">
            <v>1.4650483194108943</v>
          </cell>
          <cell r="H269">
            <v>1.5464740581901883</v>
          </cell>
          <cell r="I269">
            <v>5.1513301522112158</v>
          </cell>
          <cell r="J269">
            <v>5.5982153730783972</v>
          </cell>
        </row>
        <row r="270">
          <cell r="A270" t="str">
            <v>RHNM-SHSTG-ELCHP</v>
          </cell>
          <cell r="B270" t="str">
            <v>VAR_fout</v>
          </cell>
          <cell r="C270" t="str">
            <v>AUX_RHNM-SHSTG-ELCHP_OUT</v>
          </cell>
          <cell r="D270"/>
          <cell r="E270">
            <v>5.6646885553547069E-4</v>
          </cell>
          <cell r="F270">
            <v>9.8733141883989906E-2</v>
          </cell>
          <cell r="G270">
            <v>0.2020542696426138</v>
          </cell>
          <cell r="H270">
            <v>0.19166763025943204</v>
          </cell>
          <cell r="I270">
            <v>0.32155065132697314</v>
          </cell>
          <cell r="J270">
            <v>0.44163400009454096</v>
          </cell>
          <cell r="K270"/>
        </row>
        <row r="271">
          <cell r="A271" t="str">
            <v>RHNM-SHSTG-ELCHP</v>
          </cell>
          <cell r="B271" t="str">
            <v>VAR_fout</v>
          </cell>
          <cell r="C271" t="str">
            <v>RHNM-SHAELCH</v>
          </cell>
          <cell r="D271"/>
          <cell r="E271">
            <v>5.6590295258288764E-4</v>
          </cell>
          <cell r="F271">
            <v>9.8634507376613223E-2</v>
          </cell>
          <cell r="G271">
            <v>0.20185241722538846</v>
          </cell>
          <cell r="H271">
            <v>0.19147615410532665</v>
          </cell>
          <cell r="I271">
            <v>0.32122942190506826</v>
          </cell>
          <cell r="J271">
            <v>0.4411928072872538</v>
          </cell>
          <cell r="K271"/>
        </row>
        <row r="272">
          <cell r="A272" t="str">
            <v>RHNM-SHSTG-ELCHP</v>
          </cell>
          <cell r="B272" t="str">
            <v>VAR_fin</v>
          </cell>
          <cell r="C272" t="str">
            <v>RHNM-SHAELCH</v>
          </cell>
          <cell r="D272"/>
          <cell r="E272">
            <v>5.8699940335687562E-4</v>
          </cell>
          <cell r="F272">
            <v>9.8628301577940627E-2</v>
          </cell>
          <cell r="G272">
            <v>0.20190410006510764</v>
          </cell>
          <cell r="H272">
            <v>0.19155210951665333</v>
          </cell>
          <cell r="I272">
            <v>0.32135501995935334</v>
          </cell>
          <cell r="J272">
            <v>0.44129056324534793</v>
          </cell>
          <cell r="K272"/>
        </row>
        <row r="273">
          <cell r="A273" t="str">
            <v>RHNM-SHSTG-ELCHP</v>
          </cell>
          <cell r="B273" t="str">
            <v>VAR_ncap</v>
          </cell>
          <cell r="C273" t="str">
            <v>-</v>
          </cell>
          <cell r="D273">
            <v>5.0026376091130004E-4</v>
          </cell>
          <cell r="E273">
            <v>5.12639486724543E-4</v>
          </cell>
          <cell r="F273">
            <v>1.73285129315848E-2</v>
          </cell>
          <cell r="G273">
            <v>9.9423397680718402E-3</v>
          </cell>
          <cell r="H273">
            <v>1.0257511301131001E-2</v>
          </cell>
          <cell r="I273">
            <v>2.5695415751104799E-2</v>
          </cell>
          <cell r="J273">
            <v>3.3115034909369498E-2</v>
          </cell>
          <cell r="K273"/>
        </row>
        <row r="274">
          <cell r="A274" t="str">
            <v>RHNM-SHSTG-ELCHP</v>
          </cell>
          <cell r="B274" t="str">
            <v>VAR_cap</v>
          </cell>
          <cell r="C274" t="str">
            <v>-</v>
          </cell>
          <cell r="D274">
            <v>5.0026376091130004E-4</v>
          </cell>
          <cell r="E274">
            <v>6.5453787761354993E-4</v>
          </cell>
          <cell r="F274">
            <v>1.772065439351787E-2</v>
          </cell>
          <cell r="G274">
            <v>2.7286656708216801E-2</v>
          </cell>
          <cell r="H274">
            <v>3.6200381562062428E-2</v>
          </cell>
          <cell r="I274">
            <v>4.4177278307030547E-2</v>
          </cell>
          <cell r="J274">
            <v>5.5177903589134776E-2</v>
          </cell>
          <cell r="K274"/>
        </row>
        <row r="275">
          <cell r="A275" t="str">
            <v>D-SCOM_LTH</v>
          </cell>
          <cell r="B275" t="str">
            <v>VAR_fout</v>
          </cell>
          <cell r="C275" t="str">
            <v>SCOM_LTH_DH</v>
          </cell>
          <cell r="D275">
            <v>5.6100715303282938</v>
          </cell>
          <cell r="E275">
            <v>6.0767494295611515</v>
          </cell>
          <cell r="F275">
            <v>5.9482898181497221</v>
          </cell>
          <cell r="G275">
            <v>7.6471325057742057</v>
          </cell>
          <cell r="H275">
            <v>8.3305403502838278</v>
          </cell>
          <cell r="I275">
            <v>9.2533105005175731</v>
          </cell>
          <cell r="J275">
            <v>8.9440405195947381</v>
          </cell>
          <cell r="K275"/>
        </row>
        <row r="276">
          <cell r="A276" t="str">
            <v>D-SCOM_LTH</v>
          </cell>
          <cell r="B276" t="str">
            <v>VAR_fin</v>
          </cell>
          <cell r="C276" t="str">
            <v>LTH</v>
          </cell>
          <cell r="D276">
            <v>6.0988534961654368</v>
          </cell>
          <cell r="E276">
            <v>6.604454893473072</v>
          </cell>
          <cell r="F276">
            <v>6.4622922851122029</v>
          </cell>
          <cell r="G276">
            <v>8.3024822056838818</v>
          </cell>
          <cell r="H276">
            <v>9.0385249008194926</v>
          </cell>
          <cell r="I276">
            <v>10.033137343820743</v>
          </cell>
          <cell r="J276">
            <v>9.6851067143521306</v>
          </cell>
          <cell r="K276"/>
        </row>
        <row r="277">
          <cell r="A277" t="str">
            <v>D-SCOM_LTH</v>
          </cell>
          <cell r="B277" t="str">
            <v>VAR_ncap</v>
          </cell>
          <cell r="C277" t="str">
            <v>-</v>
          </cell>
          <cell r="D277">
            <v>0.84970301217908395</v>
          </cell>
          <cell r="E277">
            <v>2.4656683704450402E-6</v>
          </cell>
          <cell r="F277">
            <v>2.90973852282062E-6</v>
          </cell>
          <cell r="G277">
            <v>3.0216633111235002E-6</v>
          </cell>
          <cell r="H277">
            <v>6.4644833772158899E-6</v>
          </cell>
          <cell r="I277">
            <v>8.7275361588910693E-6</v>
          </cell>
          <cell r="J277">
            <v>4.4355477584625003E-6</v>
          </cell>
          <cell r="K277"/>
        </row>
        <row r="278">
          <cell r="A278" t="str">
            <v>D-SCOM_LTH</v>
          </cell>
          <cell r="B278" t="str">
            <v>VAR_cap</v>
          </cell>
          <cell r="C278" t="str">
            <v>-</v>
          </cell>
          <cell r="D278">
            <v>0.84970301217908395</v>
          </cell>
          <cell r="E278">
            <v>0.84970547784745498</v>
          </cell>
          <cell r="F278">
            <v>0.849708387585978</v>
          </cell>
          <cell r="G278">
            <v>0.84971140924928901</v>
          </cell>
          <cell r="H278">
            <v>0.84971787373266605</v>
          </cell>
          <cell r="I278">
            <v>0.84972660126882504</v>
          </cell>
          <cell r="J278">
            <v>0.84973103681658302</v>
          </cell>
        </row>
        <row r="279">
          <cell r="A279" t="str">
            <v>ITOT-SWHBIOBR</v>
          </cell>
          <cell r="B279" t="str">
            <v>VAR_fout</v>
          </cell>
          <cell r="C279" t="str">
            <v>ITOT-SWH</v>
          </cell>
          <cell r="D279">
            <v>0.31061522130000835</v>
          </cell>
          <cell r="E279">
            <v>0.39257019678593641</v>
          </cell>
          <cell r="F279">
            <v>1.1406488507800474</v>
          </cell>
          <cell r="G279">
            <v>2.2379419643213079</v>
          </cell>
          <cell r="H279">
            <v>2.7150135784782963</v>
          </cell>
          <cell r="I279">
            <v>2.7152008943965207</v>
          </cell>
          <cell r="J279">
            <v>3.0713499218904392</v>
          </cell>
          <cell r="K279"/>
        </row>
        <row r="280">
          <cell r="A280" t="str">
            <v>ITOT-SWHBIOBR</v>
          </cell>
          <cell r="B280" t="str">
            <v>VAR_fin</v>
          </cell>
          <cell r="C280" t="str">
            <v>IBIO</v>
          </cell>
          <cell r="D280">
            <v>0.43687091603376721</v>
          </cell>
          <cell r="E280">
            <v>0.55213811081003705</v>
          </cell>
          <cell r="F280">
            <v>1.6042881164276321</v>
          </cell>
          <cell r="G280">
            <v>3.1475976994673842</v>
          </cell>
          <cell r="H280">
            <v>3.8185844985630042</v>
          </cell>
          <cell r="I280">
            <v>3.818847952737721</v>
          </cell>
          <cell r="J280">
            <v>4.2657637804033888</v>
          </cell>
          <cell r="K280"/>
        </row>
        <row r="281">
          <cell r="A281" t="str">
            <v>ITOT-SWHBIOBR</v>
          </cell>
          <cell r="B281" t="str">
            <v>VAR_ncap</v>
          </cell>
          <cell r="C281" t="str">
            <v>-</v>
          </cell>
          <cell r="D281"/>
          <cell r="E281">
            <v>1.6098035857658E-2</v>
          </cell>
          <cell r="F281">
            <v>7.1009789241017807E-2</v>
          </cell>
          <cell r="G281">
            <v>3.3983535961932702E-2</v>
          </cell>
          <cell r="H281">
            <v>5.1380359023425699E-2</v>
          </cell>
          <cell r="I281">
            <v>0.130421423029177</v>
          </cell>
          <cell r="J281">
            <v>0.104955121594748</v>
          </cell>
        </row>
        <row r="282">
          <cell r="A282" t="str">
            <v>ITOT-SWHBIOBR</v>
          </cell>
          <cell r="B282" t="str">
            <v>VAR_cap</v>
          </cell>
          <cell r="C282" t="str">
            <v>-</v>
          </cell>
          <cell r="D282">
            <v>1.7013611085743299E-2</v>
          </cell>
          <cell r="E282">
            <v>3.3023683413623328E-2</v>
          </cell>
          <cell r="F282">
            <v>0.10378587035716326</v>
          </cell>
          <cell r="G282">
            <v>0.13750134252111448</v>
          </cell>
          <cell r="H282">
            <v>0.1672733120733072</v>
          </cell>
          <cell r="I282">
            <v>0.20371676834368141</v>
          </cell>
          <cell r="J282">
            <v>0.21917142598048475</v>
          </cell>
          <cell r="K282"/>
        </row>
        <row r="283">
          <cell r="A283" t="str">
            <v>RHNS-SHPLTBR</v>
          </cell>
          <cell r="B283" t="str">
            <v>VAR_fout</v>
          </cell>
          <cell r="C283" t="str">
            <v>RHNS-SHPLT</v>
          </cell>
          <cell r="D283"/>
          <cell r="E283"/>
          <cell r="F283">
            <v>8.1627240057534193E-4</v>
          </cell>
          <cell r="G283">
            <v>6.3220562980970361E-3</v>
          </cell>
          <cell r="H283">
            <v>6.7552893445275951E-3</v>
          </cell>
          <cell r="I283">
            <v>7.2629180594172048E-3</v>
          </cell>
          <cell r="J283">
            <v>1.0358231053382757E-2</v>
          </cell>
          <cell r="K283"/>
        </row>
        <row r="284">
          <cell r="A284" t="str">
            <v>RHNS-SHPLTBR</v>
          </cell>
          <cell r="B284" t="str">
            <v>VAR_fin</v>
          </cell>
          <cell r="C284" t="str">
            <v>RPLT</v>
          </cell>
          <cell r="D284"/>
          <cell r="E284"/>
          <cell r="F284">
            <v>1.098314827641675E-3</v>
          </cell>
          <cell r="G284">
            <v>8.2863611847680749E-3</v>
          </cell>
          <cell r="H284">
            <v>8.8400882658759457E-3</v>
          </cell>
          <cell r="I284">
            <v>9.4761490453772988E-3</v>
          </cell>
          <cell r="J284">
            <v>1.3397270445875888E-2</v>
          </cell>
          <cell r="K284"/>
        </row>
        <row r="285">
          <cell r="A285" t="str">
            <v>RHNS-SHPLTBR</v>
          </cell>
          <cell r="B285" t="str">
            <v>VAR_ncap</v>
          </cell>
          <cell r="C285" t="str">
            <v>-</v>
          </cell>
          <cell r="D285"/>
          <cell r="E285">
            <v>3.7288681887828399E-6</v>
          </cell>
          <cell r="F285">
            <v>9.3222412422330596E-4</v>
          </cell>
          <cell r="G285">
            <v>7.9091501808749797E-4</v>
          </cell>
          <cell r="H285">
            <v>3.49122771010274E-5</v>
          </cell>
          <cell r="I285">
            <v>2.9447035939222E-4</v>
          </cell>
          <cell r="J285">
            <v>8.2057284841902198E-4</v>
          </cell>
          <cell r="K285"/>
        </row>
        <row r="286">
          <cell r="A286" t="str">
            <v>RHNS-SHPLTBR</v>
          </cell>
          <cell r="B286" t="str">
            <v>VAR_cap</v>
          </cell>
          <cell r="C286" t="str">
            <v>-</v>
          </cell>
          <cell r="D286"/>
          <cell r="E286">
            <v>3.7288681887828399E-6</v>
          </cell>
          <cell r="F286">
            <v>9.3359453382834193E-4</v>
          </cell>
          <cell r="G286">
            <v>1.7186624128792479E-3</v>
          </cell>
          <cell r="H286">
            <v>1.7454751588396513E-3</v>
          </cell>
          <cell r="I286">
            <v>1.0251491880977238E-3</v>
          </cell>
          <cell r="J286">
            <v>1.0461395472329269E-3</v>
          </cell>
        </row>
        <row r="287">
          <cell r="A287" t="str">
            <v>SCOM-SHLTHCHPNGA</v>
          </cell>
          <cell r="B287" t="str">
            <v>VAR_fout</v>
          </cell>
          <cell r="C287" t="str">
            <v>SCOM-SHLTHC-NGA</v>
          </cell>
          <cell r="D287">
            <v>0.68572188469556261</v>
          </cell>
          <cell r="E287">
            <v>0.74279796427719036</v>
          </cell>
          <cell r="F287"/>
          <cell r="G287"/>
          <cell r="H287"/>
          <cell r="I287"/>
          <cell r="J287"/>
          <cell r="K287"/>
        </row>
        <row r="288">
          <cell r="A288" t="str">
            <v>SCOM-SHLTHCHPNGA</v>
          </cell>
          <cell r="B288" t="str">
            <v>VAR_fin</v>
          </cell>
          <cell r="C288" t="str">
            <v>SCOMLTHCHPC</v>
          </cell>
          <cell r="D288">
            <v>0.68572188469556261</v>
          </cell>
          <cell r="E288">
            <v>0.74279796427719036</v>
          </cell>
          <cell r="F288"/>
          <cell r="G288"/>
          <cell r="H288"/>
          <cell r="I288"/>
          <cell r="J288"/>
        </row>
        <row r="289">
          <cell r="A289" t="str">
            <v>SCOM-SHLTHCHPNGA</v>
          </cell>
          <cell r="B289" t="str">
            <v>VAR_fin</v>
          </cell>
          <cell r="C289" t="str">
            <v>SCOM_LTH_CHPNGA_ON</v>
          </cell>
          <cell r="D289">
            <v>0.69264836837935517</v>
          </cell>
          <cell r="E289">
            <v>0.75030097401736406</v>
          </cell>
          <cell r="F289"/>
          <cell r="G289"/>
          <cell r="H289"/>
          <cell r="I289"/>
          <cell r="J289"/>
          <cell r="K289"/>
        </row>
        <row r="290">
          <cell r="A290" t="str">
            <v>SCOM-SHLTHCHPNGA</v>
          </cell>
          <cell r="B290" t="str">
            <v>VAR_ncap</v>
          </cell>
          <cell r="C290" t="str">
            <v>-</v>
          </cell>
          <cell r="D290">
            <v>1.2702321524874301E-6</v>
          </cell>
          <cell r="E290">
            <v>4.3276698905717698E-2</v>
          </cell>
          <cell r="F290">
            <v>2.63943160085599E-2</v>
          </cell>
          <cell r="G290">
            <v>2.5432427326418099E-3</v>
          </cell>
          <cell r="H290">
            <v>3.9955027645004497E-3</v>
          </cell>
          <cell r="I290">
            <v>2.1349746475030299E-3</v>
          </cell>
          <cell r="J290">
            <v>4.8604091244397403E-6</v>
          </cell>
          <cell r="K290"/>
        </row>
        <row r="291">
          <cell r="A291" t="str">
            <v>SCOM-SHLTHCHPNGA</v>
          </cell>
          <cell r="B291" t="str">
            <v>VAR_cap</v>
          </cell>
          <cell r="C291" t="str">
            <v>-</v>
          </cell>
          <cell r="D291">
            <v>7.5970539190679393E-2</v>
          </cell>
          <cell r="E291">
            <v>5.7614229916979405E-2</v>
          </cell>
          <cell r="F291">
            <v>3.7497385145030995E-2</v>
          </cell>
          <cell r="G291">
            <v>5.2091264451548103E-3</v>
          </cell>
          <cell r="H291">
            <v>5.9639764625146058E-3</v>
          </cell>
          <cell r="I291">
            <v>3.2521442504904099E-3</v>
          </cell>
          <cell r="J291">
            <v>3.6375272613499432E-6</v>
          </cell>
          <cell r="K291"/>
        </row>
        <row r="292">
          <cell r="A292" t="str">
            <v>ITOT-PROCESSCO2</v>
          </cell>
          <cell r="B292" t="str">
            <v>VAR_fout</v>
          </cell>
          <cell r="C292" t="str">
            <v>CO2</v>
          </cell>
          <cell r="D292">
            <v>2089.34680048464</v>
          </cell>
          <cell r="E292">
            <v>2111.0131698740802</v>
          </cell>
          <cell r="F292">
            <v>2102.26947106126</v>
          </cell>
          <cell r="G292">
            <v>2093.6594329631698</v>
          </cell>
          <cell r="H292">
            <v>2085.5443580044098</v>
          </cell>
          <cell r="I292">
            <v>2077.5818055649602</v>
          </cell>
          <cell r="J292">
            <v>2063.7661117810098</v>
          </cell>
          <cell r="K292"/>
        </row>
        <row r="293">
          <cell r="A293" t="str">
            <v>ITOT-PROCESSCO2</v>
          </cell>
          <cell r="B293" t="str">
            <v>VAR_fout</v>
          </cell>
          <cell r="C293" t="str">
            <v>CO2P</v>
          </cell>
          <cell r="D293">
            <v>2089.34680048464</v>
          </cell>
          <cell r="E293">
            <v>2111.0131698740802</v>
          </cell>
          <cell r="F293">
            <v>2102.26947106126</v>
          </cell>
          <cell r="G293">
            <v>2093.6594329631707</v>
          </cell>
          <cell r="H293">
            <v>2085.5443580044066</v>
          </cell>
          <cell r="I293">
            <v>2077.5818055649643</v>
          </cell>
          <cell r="J293">
            <v>2063.7661117810148</v>
          </cell>
          <cell r="K293"/>
        </row>
        <row r="294">
          <cell r="A294" t="str">
            <v>RHNM-SHWODBR</v>
          </cell>
          <cell r="B294" t="str">
            <v>VAR_fout</v>
          </cell>
          <cell r="C294" t="str">
            <v>RHNM-SHWOD</v>
          </cell>
          <cell r="D294"/>
          <cell r="E294">
            <v>8.1188320236315017E-2</v>
          </cell>
          <cell r="F294">
            <v>5.3666897917739709E-2</v>
          </cell>
          <cell r="G294">
            <v>8.5742789420056767E-2</v>
          </cell>
          <cell r="H294">
            <v>9.063004598594529E-2</v>
          </cell>
          <cell r="I294">
            <v>9.541054907304887E-2</v>
          </cell>
          <cell r="J294">
            <v>8.4745618360357169E-2</v>
          </cell>
          <cell r="K294"/>
        </row>
        <row r="295">
          <cell r="A295" t="str">
            <v>RHNM-SHWODBR</v>
          </cell>
          <cell r="B295" t="str">
            <v>VAR_fin</v>
          </cell>
          <cell r="C295" t="str">
            <v>RHNMWODBRC</v>
          </cell>
          <cell r="D295"/>
          <cell r="E295">
            <v>8.1188320236315017E-2</v>
          </cell>
          <cell r="F295">
            <v>5.3666897917739709E-2</v>
          </cell>
          <cell r="G295">
            <v>8.5742789420056767E-2</v>
          </cell>
          <cell r="H295">
            <v>9.063004598594529E-2</v>
          </cell>
          <cell r="I295">
            <v>9.541054907304887E-2</v>
          </cell>
          <cell r="J295">
            <v>8.4745618360357169E-2</v>
          </cell>
          <cell r="K295"/>
        </row>
        <row r="296">
          <cell r="A296" t="str">
            <v>RHNM-SHWODBR</v>
          </cell>
          <cell r="B296" t="str">
            <v>VAR_fin</v>
          </cell>
          <cell r="C296" t="str">
            <v>RWOD</v>
          </cell>
          <cell r="D296"/>
          <cell r="E296">
            <v>0.11276155588377094</v>
          </cell>
          <cell r="F296">
            <v>7.2410404321898048E-2</v>
          </cell>
          <cell r="G296">
            <v>0.11440846234583238</v>
          </cell>
          <cell r="H296">
            <v>0.12057227153404185</v>
          </cell>
          <cell r="I296">
            <v>0.12626544215890856</v>
          </cell>
          <cell r="J296">
            <v>0.11215157105015783</v>
          </cell>
          <cell r="K296"/>
        </row>
        <row r="297">
          <cell r="A297" t="str">
            <v>RHNM-SHWODBR</v>
          </cell>
          <cell r="B297" t="str">
            <v>VAR_ncap</v>
          </cell>
          <cell r="C297" t="str">
            <v>-</v>
          </cell>
          <cell r="D297"/>
          <cell r="E297">
            <v>7.3557983568274003E-3</v>
          </cell>
          <cell r="F297">
            <v>8.9611257851874399E-4</v>
          </cell>
          <cell r="G297"/>
          <cell r="H297">
            <v>1.64759588453556E-2</v>
          </cell>
          <cell r="I297"/>
          <cell r="J297"/>
          <cell r="K297"/>
        </row>
        <row r="298">
          <cell r="A298" t="str">
            <v>RHNM-SHWODBR</v>
          </cell>
          <cell r="B298" t="str">
            <v>VAR_cap</v>
          </cell>
          <cell r="C298" t="str">
            <v>-</v>
          </cell>
          <cell r="D298"/>
          <cell r="E298">
            <v>7.3557983568274003E-3</v>
          </cell>
          <cell r="F298">
            <v>8.2455694569129202E-3</v>
          </cell>
          <cell r="G298">
            <v>8.2387297061267007E-3</v>
          </cell>
          <cell r="H298">
            <v>2.0929191379198953E-2</v>
          </cell>
          <cell r="I298">
            <v>1.6598977772025097E-2</v>
          </cell>
          <cell r="J298">
            <v>6.967399530219286E-3</v>
          </cell>
          <cell r="K298"/>
        </row>
        <row r="299">
          <cell r="A299" t="str">
            <v>RHNS-SHDEM</v>
          </cell>
          <cell r="B299" t="str">
            <v>VAR_fout</v>
          </cell>
          <cell r="C299" t="str">
            <v>RHNS-SHD</v>
          </cell>
          <cell r="D299"/>
          <cell r="E299">
            <v>0.40468474157116097</v>
          </cell>
          <cell r="F299">
            <v>1.3774834661508395</v>
          </cell>
          <cell r="G299">
            <v>2.6284899959265395</v>
          </cell>
          <cell r="H299">
            <v>3.3756392547901024</v>
          </cell>
          <cell r="I299">
            <v>3.979952757698809</v>
          </cell>
          <cell r="J299">
            <v>4.7581342917708733</v>
          </cell>
          <cell r="K299"/>
        </row>
        <row r="300">
          <cell r="A300" t="str">
            <v>RHNS-SHDEM</v>
          </cell>
          <cell r="B300" t="str">
            <v>VAR_fin</v>
          </cell>
          <cell r="C300" t="str">
            <v>RHNS-SHLTHC-WOD</v>
          </cell>
          <cell r="D300"/>
          <cell r="E300">
            <v>4.5987436438437113E-4</v>
          </cell>
          <cell r="F300">
            <v>6.6199902876881061E-4</v>
          </cell>
          <cell r="G300">
            <v>8.3959070590166186E-5</v>
          </cell>
          <cell r="H300">
            <v>4.7622857368628265E-4</v>
          </cell>
          <cell r="I300">
            <v>6.1543771883148417E-4</v>
          </cell>
          <cell r="J300">
            <v>8.5074082536925786E-4</v>
          </cell>
          <cell r="K300"/>
        </row>
        <row r="301">
          <cell r="A301" t="str">
            <v>RHNS-SHDEM</v>
          </cell>
          <cell r="B301" t="str">
            <v>VAR_fin</v>
          </cell>
          <cell r="C301" t="str">
            <v>RHNS-SHLFO</v>
          </cell>
          <cell r="D301"/>
          <cell r="E301">
            <v>3.0704762018409046E-3</v>
          </cell>
          <cell r="F301">
            <v>1.9276121669889162E-2</v>
          </cell>
          <cell r="G301">
            <v>4.8696130567477423E-2</v>
          </cell>
          <cell r="H301">
            <v>4.8373552361740679E-2</v>
          </cell>
          <cell r="I301">
            <v>4.2836969246603941E-2</v>
          </cell>
          <cell r="J301"/>
          <cell r="K301"/>
        </row>
        <row r="302">
          <cell r="A302" t="str">
            <v>RHNS-SHDEM</v>
          </cell>
          <cell r="B302" t="str">
            <v>VAR_fin</v>
          </cell>
          <cell r="C302" t="str">
            <v>RHNS-SHNGAH</v>
          </cell>
          <cell r="D302"/>
          <cell r="E302">
            <v>4.7419725962890094E-4</v>
          </cell>
          <cell r="F302">
            <v>0.18246246301041652</v>
          </cell>
          <cell r="G302">
            <v>0.53402187774964671</v>
          </cell>
          <cell r="H302">
            <v>0.75862502595783388</v>
          </cell>
          <cell r="I302">
            <v>0.94182262355696555</v>
          </cell>
          <cell r="J302">
            <v>1.1572217899860251</v>
          </cell>
          <cell r="K302"/>
        </row>
        <row r="303">
          <cell r="A303" t="str">
            <v>RHNS-SHDEM</v>
          </cell>
          <cell r="B303" t="str">
            <v>VAR_fin</v>
          </cell>
          <cell r="C303" t="str">
            <v>RHNS-SHCON</v>
          </cell>
          <cell r="D303"/>
          <cell r="E303"/>
          <cell r="F303">
            <v>2.1804404966817584E-2</v>
          </cell>
          <cell r="G303">
            <v>2.1784211677031373E-2</v>
          </cell>
          <cell r="H303">
            <v>2.4626714860505806E-2</v>
          </cell>
          <cell r="I303">
            <v>2.656002919064674E-2</v>
          </cell>
          <cell r="J303">
            <v>2.6309800984479926E-2</v>
          </cell>
          <cell r="K303"/>
        </row>
        <row r="304">
          <cell r="A304" t="str">
            <v>RHNS-SHDEM</v>
          </cell>
          <cell r="B304" t="str">
            <v>VAR_fin</v>
          </cell>
          <cell r="C304" t="str">
            <v>RHNS-SHWOD</v>
          </cell>
          <cell r="D304"/>
          <cell r="E304">
            <v>2.5553559698656345E-2</v>
          </cell>
          <cell r="F304">
            <v>2.0984444579926015E-2</v>
          </cell>
          <cell r="G304">
            <v>7.4976132146115343E-2</v>
          </cell>
          <cell r="H304">
            <v>7.6246421892393668E-2</v>
          </cell>
          <cell r="I304">
            <v>7.8659813778144377E-2</v>
          </cell>
          <cell r="J304">
            <v>8.0361107763795847E-2</v>
          </cell>
          <cell r="K304"/>
        </row>
        <row r="305">
          <cell r="A305" t="str">
            <v>RHNS-SHDEM</v>
          </cell>
          <cell r="B305" t="str">
            <v>VAR_fin</v>
          </cell>
          <cell r="C305" t="str">
            <v>RHNS-SHNST</v>
          </cell>
          <cell r="D305"/>
          <cell r="E305">
            <v>4.9457274944198079E-4</v>
          </cell>
          <cell r="F305">
            <v>1.0173696245329635E-3</v>
          </cell>
          <cell r="G305">
            <v>1.5453981697529356E-3</v>
          </cell>
          <cell r="H305">
            <v>2.4340847170159982E-3</v>
          </cell>
          <cell r="I305">
            <v>2.4042426501150222E-3</v>
          </cell>
          <cell r="J305">
            <v>2.1176046375600823E-3</v>
          </cell>
        </row>
        <row r="306">
          <cell r="A306" t="str">
            <v>RHNS-SHDEM</v>
          </cell>
          <cell r="B306" t="str">
            <v>VAR_fin</v>
          </cell>
          <cell r="C306" t="str">
            <v>RHNS-SHPLT</v>
          </cell>
          <cell r="D306"/>
          <cell r="E306">
            <v>4.0169462571567596E-4</v>
          </cell>
          <cell r="F306">
            <v>3.9743011822011218E-3</v>
          </cell>
          <cell r="G306">
            <v>8.4005866511821532E-3</v>
          </cell>
          <cell r="H306">
            <v>9.1186910108346179E-3</v>
          </cell>
          <cell r="I306">
            <v>9.8582868041284487E-3</v>
          </cell>
          <cell r="J306">
            <v>1.2301543839307965E-2</v>
          </cell>
          <cell r="K306"/>
        </row>
        <row r="307">
          <cell r="A307" t="str">
            <v>RHNS-SHDEM</v>
          </cell>
          <cell r="B307" t="str">
            <v>VAR_fin</v>
          </cell>
          <cell r="C307" t="str">
            <v>RHNS-SHLTHD</v>
          </cell>
          <cell r="D307"/>
          <cell r="E307">
            <v>5.1516679602852028E-2</v>
          </cell>
          <cell r="F307">
            <v>4.7037563208302633E-3</v>
          </cell>
          <cell r="G307">
            <v>0.14545058692932811</v>
          </cell>
          <cell r="H307">
            <v>0.15512397764866717</v>
          </cell>
          <cell r="I307">
            <v>0.16682467124395597</v>
          </cell>
          <cell r="J307">
            <v>0.19420478583873976</v>
          </cell>
        </row>
        <row r="308">
          <cell r="A308" t="str">
            <v>RHNS-SHDEM</v>
          </cell>
          <cell r="B308" t="str">
            <v>VAR_fin</v>
          </cell>
          <cell r="C308" t="str">
            <v>RHNS-SHELCB</v>
          </cell>
          <cell r="D308"/>
          <cell r="E308">
            <v>6.6305704002775245E-2</v>
          </cell>
          <cell r="F308">
            <v>5.6695716405342871E-3</v>
          </cell>
          <cell r="G308">
            <v>1.1615335191462999E-2</v>
          </cell>
          <cell r="H308">
            <v>1.2093785327012753E-2</v>
          </cell>
          <cell r="I308">
            <v>1.2532006420509535E-2</v>
          </cell>
          <cell r="J308">
            <v>1.1247564429527011E-2</v>
          </cell>
          <cell r="K308"/>
        </row>
        <row r="309">
          <cell r="A309" t="str">
            <v>RHNS-SHDEM</v>
          </cell>
          <cell r="B309" t="str">
            <v>VAR_fin</v>
          </cell>
          <cell r="C309" t="str">
            <v>RHNS-SHELCH</v>
          </cell>
          <cell r="D309"/>
          <cell r="E309">
            <v>0.1435781323222898</v>
          </cell>
          <cell r="F309">
            <v>1.0784130432088146</v>
          </cell>
          <cell r="G309">
            <v>1.6945548550660672</v>
          </cell>
          <cell r="H309">
            <v>2.202070544171518</v>
          </cell>
          <cell r="I309">
            <v>2.6163378538178659</v>
          </cell>
          <cell r="J309">
            <v>3.2358307462176445</v>
          </cell>
          <cell r="K309"/>
        </row>
        <row r="310">
          <cell r="A310" t="str">
            <v>RHNS-SHDEM</v>
          </cell>
          <cell r="B310" t="str">
            <v>VAR_fin</v>
          </cell>
          <cell r="C310" t="str">
            <v>RHNS-SHSOL</v>
          </cell>
          <cell r="D310"/>
          <cell r="E310">
            <v>1.3354794027029602E-2</v>
          </cell>
          <cell r="F310">
            <v>3.8370898897346559E-3</v>
          </cell>
          <cell r="G310">
            <v>4.7340632088681608E-3</v>
          </cell>
          <cell r="H310">
            <v>5.2576990554866867E-3</v>
          </cell>
          <cell r="I310">
            <v>5.1156746076609456E-3</v>
          </cell>
          <cell r="J310">
            <v>4.85213542718864E-3</v>
          </cell>
          <cell r="K310"/>
        </row>
        <row r="311">
          <cell r="A311" t="str">
            <v>RHNS-SHDEM</v>
          </cell>
          <cell r="B311" t="str">
            <v>VAR_fin</v>
          </cell>
          <cell r="C311" t="str">
            <v>RHNS-SHLTHC-NGA</v>
          </cell>
          <cell r="D311"/>
          <cell r="E311">
            <v>3.1485710960436359E-3</v>
          </cell>
          <cell r="F311">
            <v>7.6774646785329954E-4</v>
          </cell>
          <cell r="G311">
            <v>1.2922357397789029E-3</v>
          </cell>
          <cell r="H311">
            <v>3.5808318307754334E-4</v>
          </cell>
          <cell r="I311">
            <v>1.6671245264001457E-4</v>
          </cell>
          <cell r="J311"/>
        </row>
        <row r="312">
          <cell r="A312" t="str">
            <v>RHNS-SHDEM</v>
          </cell>
          <cell r="B312" t="str">
            <v>VAR_fin</v>
          </cell>
          <cell r="C312" t="str">
            <v>RHNS-SHNGA</v>
          </cell>
          <cell r="D312"/>
          <cell r="E312">
            <v>9.8807312941432829E-2</v>
          </cell>
          <cell r="F312">
            <v>3.8255198166547884E-2</v>
          </cell>
          <cell r="G312">
            <v>8.5219300285433841E-2</v>
          </cell>
          <cell r="H312">
            <v>8.4794599467669207E-2</v>
          </cell>
          <cell r="I312">
            <v>7.9291593719307954E-2</v>
          </cell>
          <cell r="J312">
            <v>3.5346653209351965E-2</v>
          </cell>
        </row>
        <row r="313">
          <cell r="A313" t="str">
            <v>RES-ELCSPEC</v>
          </cell>
          <cell r="B313" t="str">
            <v>VAR_fout</v>
          </cell>
          <cell r="C313" t="str">
            <v>RHSA-ELS</v>
          </cell>
          <cell r="D313">
            <v>44.576954446539794</v>
          </cell>
          <cell r="E313">
            <v>44.86121202262008</v>
          </cell>
          <cell r="F313">
            <v>49.523393789107622</v>
          </cell>
          <cell r="G313">
            <v>40.72647805814286</v>
          </cell>
          <cell r="H313">
            <v>36.725810230383374</v>
          </cell>
          <cell r="I313">
            <v>32.104016885474778</v>
          </cell>
          <cell r="J313">
            <v>22.279252868976563</v>
          </cell>
          <cell r="K313"/>
        </row>
        <row r="314">
          <cell r="A314" t="str">
            <v>RES-ELCSPEC</v>
          </cell>
          <cell r="B314" t="str">
            <v>VAR_fin</v>
          </cell>
          <cell r="C314" t="str">
            <v>RHSA_ELC</v>
          </cell>
          <cell r="D314">
            <v>44.576954446539794</v>
          </cell>
          <cell r="E314">
            <v>44.86121202262008</v>
          </cell>
          <cell r="F314">
            <v>49.523393789107622</v>
          </cell>
          <cell r="G314">
            <v>40.72647805814286</v>
          </cell>
          <cell r="H314">
            <v>36.725810230383374</v>
          </cell>
          <cell r="I314">
            <v>32.104016885474778</v>
          </cell>
          <cell r="J314">
            <v>22.279252868976563</v>
          </cell>
        </row>
        <row r="315">
          <cell r="A315" t="str">
            <v>RES-ELCSPEC</v>
          </cell>
          <cell r="B315" t="str">
            <v>VAR_ncap</v>
          </cell>
          <cell r="C315" t="str">
            <v>-</v>
          </cell>
          <cell r="D315">
            <v>0.19329384175746001</v>
          </cell>
          <cell r="E315">
            <v>2.4031849342008601E-4</v>
          </cell>
          <cell r="F315">
            <v>0.47608922201013798</v>
          </cell>
          <cell r="G315">
            <v>4.5383945627330897E-5</v>
          </cell>
          <cell r="H315">
            <v>6.4187249986481304E-5</v>
          </cell>
          <cell r="I315">
            <v>3.7328265416388302E-5</v>
          </cell>
          <cell r="J315">
            <v>1.8865158849686801</v>
          </cell>
        </row>
        <row r="316">
          <cell r="A316" t="str">
            <v>RES-ELCSPEC</v>
          </cell>
          <cell r="B316" t="str">
            <v>VAR_cap</v>
          </cell>
          <cell r="C316" t="str">
            <v>-</v>
          </cell>
          <cell r="D316">
            <v>4.7118305258879296</v>
          </cell>
          <cell r="E316">
            <v>4.7426681143768006</v>
          </cell>
          <cell r="F316">
            <v>5.2346109377135805</v>
          </cell>
          <cell r="G316">
            <v>4.304979586959333</v>
          </cell>
          <cell r="H316">
            <v>3.8824346664251017</v>
          </cell>
          <cell r="I316">
            <v>3.3941970378199082</v>
          </cell>
          <cell r="J316">
            <v>2.3549350777358136</v>
          </cell>
          <cell r="K316"/>
        </row>
        <row r="317">
          <cell r="A317" t="str">
            <v>SCOM-SHCONBR1</v>
          </cell>
          <cell r="B317" t="str">
            <v>VAR_fout</v>
          </cell>
          <cell r="C317" t="str">
            <v>SCOM-SHCON</v>
          </cell>
          <cell r="D317"/>
          <cell r="E317">
            <v>2.6179382048769853</v>
          </cell>
          <cell r="F317">
            <v>0.75803682245817983</v>
          </cell>
          <cell r="G317">
            <v>1.3834224056181899</v>
          </cell>
          <cell r="H317">
            <v>1.9831505711146085</v>
          </cell>
          <cell r="I317">
            <v>2.61765930063022</v>
          </cell>
          <cell r="J317">
            <v>2.6178764680302669</v>
          </cell>
          <cell r="K317"/>
        </row>
        <row r="318">
          <cell r="A318" t="str">
            <v>SCOM-SHCONBR1</v>
          </cell>
          <cell r="B318" t="str">
            <v>VAR_fin</v>
          </cell>
          <cell r="C318" t="str">
            <v>CON</v>
          </cell>
          <cell r="D318"/>
          <cell r="E318">
            <v>2.6179382048769853</v>
          </cell>
          <cell r="F318">
            <v>0.75803682245817983</v>
          </cell>
          <cell r="G318">
            <v>1.3834224056181899</v>
          </cell>
          <cell r="H318">
            <v>1.9831505711146085</v>
          </cell>
          <cell r="I318">
            <v>2.61765930063022</v>
          </cell>
          <cell r="J318">
            <v>2.6178764680302669</v>
          </cell>
          <cell r="K318"/>
        </row>
        <row r="319">
          <cell r="A319" t="str">
            <v>SCOM-SHCONBR1</v>
          </cell>
          <cell r="B319" t="str">
            <v>VAR_ncap</v>
          </cell>
          <cell r="C319" t="str">
            <v>-</v>
          </cell>
          <cell r="D319"/>
          <cell r="E319">
            <v>0.202666012530827</v>
          </cell>
          <cell r="F319">
            <v>8.1460107778160799E-6</v>
          </cell>
          <cell r="G319">
            <v>1.4610646642594599E-5</v>
          </cell>
          <cell r="H319">
            <v>9.7076325242794106E-6</v>
          </cell>
          <cell r="I319">
            <v>1.7917150413409799E-2</v>
          </cell>
          <cell r="J319">
            <v>8.6273308310276603E-2</v>
          </cell>
        </row>
        <row r="320">
          <cell r="A320" t="str">
            <v>SCOM-SHCONBR1</v>
          </cell>
          <cell r="B320" t="str">
            <v>VAR_cap</v>
          </cell>
          <cell r="C320" t="str">
            <v>-</v>
          </cell>
          <cell r="E320">
            <v>0.202666012530827</v>
          </cell>
          <cell r="F320">
            <v>0.20266905624602755</v>
          </cell>
          <cell r="G320">
            <v>0.20267597200645995</v>
          </cell>
          <cell r="H320">
            <v>0.20268038344743985</v>
          </cell>
          <cell r="I320">
            <v>0.22060022152960843</v>
          </cell>
          <cell r="J320">
            <v>0.22137202176550216</v>
          </cell>
        </row>
        <row r="321">
          <cell r="A321" t="str">
            <v>RHSA-WHSTG-SOL</v>
          </cell>
          <cell r="B321" t="str">
            <v>VAR_fout</v>
          </cell>
          <cell r="C321" t="str">
            <v>RHSA-WHASOL</v>
          </cell>
          <cell r="D321">
            <v>0.44905828762932315</v>
          </cell>
          <cell r="E321">
            <v>0.45673279269025191</v>
          </cell>
          <cell r="F321">
            <v>0.37327267861651342</v>
          </cell>
          <cell r="G321">
            <v>0.43028594427782146</v>
          </cell>
          <cell r="H321">
            <v>0.36986600497865657</v>
          </cell>
          <cell r="I321">
            <v>0.41538048158922863</v>
          </cell>
          <cell r="J321">
            <v>0.40590325132432042</v>
          </cell>
          <cell r="K321"/>
        </row>
        <row r="322">
          <cell r="A322" t="str">
            <v>RHSA-WHSTG-SOL</v>
          </cell>
          <cell r="B322" t="str">
            <v>VAR_fout</v>
          </cell>
          <cell r="C322" t="str">
            <v>AUX_RHSA-WHSTG-SOL_OUT</v>
          </cell>
          <cell r="D322">
            <v>0.44950734591695229</v>
          </cell>
          <cell r="E322">
            <v>0.45718952548294195</v>
          </cell>
          <cell r="F322">
            <v>0.37364595129512979</v>
          </cell>
          <cell r="G322">
            <v>0.43071623022209926</v>
          </cell>
          <cell r="H322">
            <v>0.37023587098363508</v>
          </cell>
          <cell r="I322">
            <v>0.41579586207081759</v>
          </cell>
          <cell r="J322">
            <v>0.40630915457564482</v>
          </cell>
          <cell r="K322"/>
        </row>
        <row r="323">
          <cell r="A323" t="str">
            <v>RHSA-WHSTG-SOL</v>
          </cell>
          <cell r="B323" t="str">
            <v>VAR_fin</v>
          </cell>
          <cell r="C323" t="str">
            <v>RHSA-WHASOL</v>
          </cell>
          <cell r="D323">
            <v>0.44872887396654254</v>
          </cell>
          <cell r="E323">
            <v>0.45701255262814899</v>
          </cell>
          <cell r="F323">
            <v>0.37353098150345715</v>
          </cell>
          <cell r="G323">
            <v>0.43033595011746339</v>
          </cell>
          <cell r="H323">
            <v>0.36988373507606964</v>
          </cell>
          <cell r="I323">
            <v>0.41536157345730779</v>
          </cell>
          <cell r="J323">
            <v>0.40588447640544884</v>
          </cell>
        </row>
        <row r="324">
          <cell r="A324" t="str">
            <v>RHSA-WHSTG-SOL</v>
          </cell>
          <cell r="B324" t="str">
            <v>VAR_ncap</v>
          </cell>
          <cell r="C324" t="str">
            <v>-</v>
          </cell>
          <cell r="D324">
            <v>7.8147057793906294E-2</v>
          </cell>
          <cell r="E324">
            <v>1.04550837320319E-4</v>
          </cell>
          <cell r="F324">
            <v>1.4442256774281699E-5</v>
          </cell>
          <cell r="G324">
            <v>3.0543906099534198E-5</v>
          </cell>
          <cell r="H324">
            <v>3.7540840928141299E-2</v>
          </cell>
          <cell r="I324">
            <v>2.63130859723609E-2</v>
          </cell>
          <cell r="J324">
            <v>2.6427786134069101E-2</v>
          </cell>
        </row>
        <row r="325">
          <cell r="A325" t="str">
            <v>RHSA-WHSTG-SOL</v>
          </cell>
          <cell r="B325" t="str">
            <v>VAR_cap</v>
          </cell>
          <cell r="C325" t="str">
            <v>-</v>
          </cell>
          <cell r="D325">
            <v>7.8148120346869895E-2</v>
          </cell>
          <cell r="E325">
            <v>7.8252671184190201E-2</v>
          </cell>
          <cell r="F325">
            <v>7.82671134409645E-2</v>
          </cell>
          <cell r="G325">
            <v>7.8297657347063995E-2</v>
          </cell>
          <cell r="H325">
            <v>5.7905897988671073E-2</v>
          </cell>
          <cell r="I325">
            <v>6.3877346010507693E-2</v>
          </cell>
          <cell r="J325">
            <v>6.14036496603724E-2</v>
          </cell>
        </row>
        <row r="326">
          <cell r="A326" t="str">
            <v>SCOM-SHCONBR2</v>
          </cell>
          <cell r="B326" t="str">
            <v>VAR_fout</v>
          </cell>
          <cell r="C326" t="str">
            <v>SCOM-SHCON</v>
          </cell>
          <cell r="D326"/>
          <cell r="E326">
            <v>4.0772364341206604</v>
          </cell>
          <cell r="F326">
            <v>0.94794613297323627</v>
          </cell>
          <cell r="G326">
            <v>2.2185656920952073</v>
          </cell>
          <cell r="H326">
            <v>3.2751860924992906</v>
          </cell>
          <cell r="I326">
            <v>4.0770561500353386</v>
          </cell>
          <cell r="J326">
            <v>4.0773432794073852</v>
          </cell>
          <cell r="K326"/>
        </row>
        <row r="327">
          <cell r="A327" t="str">
            <v>SCOM-SHCONBR2</v>
          </cell>
          <cell r="B327" t="str">
            <v>VAR_fin</v>
          </cell>
          <cell r="C327" t="str">
            <v>CON</v>
          </cell>
          <cell r="D327"/>
          <cell r="E327">
            <v>4.0772364341206604</v>
          </cell>
          <cell r="F327">
            <v>0.94794613297323627</v>
          </cell>
          <cell r="G327">
            <v>2.2185656920952073</v>
          </cell>
          <cell r="H327">
            <v>3.2751860924992906</v>
          </cell>
          <cell r="I327">
            <v>4.0770561500353386</v>
          </cell>
          <cell r="J327">
            <v>4.0773432794073852</v>
          </cell>
          <cell r="K327"/>
        </row>
        <row r="328">
          <cell r="A328" t="str">
            <v>SCOM-SHCONBR2</v>
          </cell>
          <cell r="B328" t="str">
            <v>VAR_ncap</v>
          </cell>
          <cell r="C328" t="str">
            <v>-</v>
          </cell>
          <cell r="D328"/>
          <cell r="E328">
            <v>0.31541671970462198</v>
          </cell>
          <cell r="F328">
            <v>8.5454900541924606E-6</v>
          </cell>
          <cell r="G328">
            <v>2.0247467911461101E-5</v>
          </cell>
          <cell r="H328">
            <v>1.03196653340116E-5</v>
          </cell>
          <cell r="I328">
            <v>1.8539240320225001E-2</v>
          </cell>
          <cell r="J328">
            <v>0.130232692947861</v>
          </cell>
        </row>
        <row r="329">
          <cell r="A329" t="str">
            <v>SCOM-SHCONBR2</v>
          </cell>
          <cell r="B329" t="str">
            <v>VAR_cap</v>
          </cell>
          <cell r="C329" t="str">
            <v>-</v>
          </cell>
          <cell r="D329"/>
          <cell r="E329">
            <v>0.31541671970462198</v>
          </cell>
          <cell r="F329">
            <v>0.31542011877057458</v>
          </cell>
          <cell r="G329">
            <v>0.31543285223933665</v>
          </cell>
          <cell r="H329">
            <v>0.31543823606944188</v>
          </cell>
          <cell r="I329">
            <v>0.33398058172780121</v>
          </cell>
          <cell r="J329">
            <v>0.33114207746326979</v>
          </cell>
          <cell r="K329"/>
        </row>
        <row r="330">
          <cell r="A330" t="str">
            <v>SCOM-SHCONBR3</v>
          </cell>
          <cell r="B330" t="str">
            <v>VAR_fout</v>
          </cell>
          <cell r="C330" t="str">
            <v>SCOM-SHCON</v>
          </cell>
          <cell r="D330"/>
          <cell r="E330">
            <v>2.3310096814958956</v>
          </cell>
          <cell r="F330">
            <v>0.57112993032906034</v>
          </cell>
          <cell r="G330">
            <v>1.0396988621990344</v>
          </cell>
          <cell r="H330">
            <v>1.6761353165635997</v>
          </cell>
          <cell r="I330">
            <v>2.4046515550524963</v>
          </cell>
          <cell r="J330">
            <v>3.2761780559345182</v>
          </cell>
          <cell r="K330"/>
        </row>
        <row r="331">
          <cell r="A331" t="str">
            <v>SCOM-SHCONBR3</v>
          </cell>
          <cell r="B331" t="str">
            <v>VAR_fin</v>
          </cell>
          <cell r="C331" t="str">
            <v>CON</v>
          </cell>
          <cell r="D331"/>
          <cell r="E331">
            <v>2.3310096814958956</v>
          </cell>
          <cell r="F331">
            <v>0.57112993032906034</v>
          </cell>
          <cell r="G331">
            <v>1.0396988621990344</v>
          </cell>
          <cell r="H331">
            <v>1.6761353165635997</v>
          </cell>
          <cell r="I331">
            <v>2.4046515550524963</v>
          </cell>
          <cell r="J331">
            <v>3.2761780559345182</v>
          </cell>
        </row>
        <row r="332">
          <cell r="A332" t="str">
            <v>SCOM-SHCONBR3</v>
          </cell>
          <cell r="B332" t="str">
            <v>VAR_ncap</v>
          </cell>
          <cell r="C332" t="str">
            <v>-</v>
          </cell>
          <cell r="D332"/>
          <cell r="E332">
            <v>0.18036162124863001</v>
          </cell>
          <cell r="F332">
            <v>6.2939738756010897E-6</v>
          </cell>
          <cell r="G332">
            <v>1.8242870938722101E-5</v>
          </cell>
          <cell r="H332">
            <v>6.1267087263804997E-6</v>
          </cell>
          <cell r="I332">
            <v>6.0531570340570202E-3</v>
          </cell>
          <cell r="J332">
            <v>0.143173251282531</v>
          </cell>
          <cell r="K332"/>
        </row>
        <row r="333">
          <cell r="A333" t="str">
            <v>SCOM-SHCONBR3</v>
          </cell>
          <cell r="B333" t="str">
            <v>VAR_cap</v>
          </cell>
          <cell r="C333" t="str">
            <v>-</v>
          </cell>
          <cell r="D333"/>
          <cell r="E333">
            <v>0.18036162124863001</v>
          </cell>
          <cell r="F333">
            <v>0.18036334165438661</v>
          </cell>
          <cell r="G333">
            <v>0.18037549285654381</v>
          </cell>
          <cell r="H333">
            <v>0.18037832306489571</v>
          </cell>
          <cell r="I333">
            <v>0.18643544027428621</v>
          </cell>
          <cell r="J333">
            <v>0.25351676790346961</v>
          </cell>
          <cell r="K333"/>
        </row>
        <row r="334">
          <cell r="A334" t="str">
            <v>SCOM-SHCONBR4</v>
          </cell>
          <cell r="B334" t="str">
            <v>VAR_fout</v>
          </cell>
          <cell r="C334" t="str">
            <v>SCOM-SHCON</v>
          </cell>
          <cell r="D334"/>
          <cell r="E334">
            <v>3.5813862341337974E-2</v>
          </cell>
          <cell r="F334">
            <v>1.7186035097943177E-2</v>
          </cell>
          <cell r="G334">
            <v>1.8194804341797089E-2</v>
          </cell>
          <cell r="H334">
            <v>1.9720247977388073E-2</v>
          </cell>
          <cell r="I334">
            <v>3.4359429784250668E-2</v>
          </cell>
          <cell r="J334">
            <v>3.2865805346304051</v>
          </cell>
          <cell r="K334"/>
        </row>
        <row r="335">
          <cell r="A335" t="str">
            <v>SCOM-SHCONBR4</v>
          </cell>
          <cell r="B335" t="str">
            <v>VAR_fin</v>
          </cell>
          <cell r="C335" t="str">
            <v>CON</v>
          </cell>
          <cell r="D335"/>
          <cell r="E335">
            <v>3.5813862341337974E-2</v>
          </cell>
          <cell r="F335">
            <v>1.7186035097943177E-2</v>
          </cell>
          <cell r="G335">
            <v>1.8194804341797089E-2</v>
          </cell>
          <cell r="H335">
            <v>1.9720247977388073E-2</v>
          </cell>
          <cell r="I335">
            <v>3.4359429784250668E-2</v>
          </cell>
          <cell r="J335">
            <v>3.2865805346304051</v>
          </cell>
          <cell r="K335"/>
        </row>
        <row r="336">
          <cell r="A336" t="str">
            <v>SCOM-SHCONBR4</v>
          </cell>
          <cell r="B336" t="str">
            <v>VAR_ncap</v>
          </cell>
          <cell r="C336" t="str">
            <v>-</v>
          </cell>
          <cell r="D336"/>
          <cell r="E336">
            <v>2.9713482136123999E-3</v>
          </cell>
          <cell r="F336">
            <v>5.4365050677787496E-6</v>
          </cell>
          <cell r="G336">
            <v>1.385723965344E-5</v>
          </cell>
          <cell r="H336">
            <v>4.5618527056896603E-6</v>
          </cell>
          <cell r="I336">
            <v>4.3185483311026102E-5</v>
          </cell>
          <cell r="J336">
            <v>0.25239767398235002</v>
          </cell>
          <cell r="K336"/>
        </row>
        <row r="337">
          <cell r="A337" t="str">
            <v>SCOM-SHCONBR4</v>
          </cell>
          <cell r="B337" t="str">
            <v>VAR_cap</v>
          </cell>
          <cell r="C337" t="str">
            <v>-</v>
          </cell>
          <cell r="D337"/>
          <cell r="E337">
            <v>2.9713482136123999E-3</v>
          </cell>
          <cell r="F337">
            <v>2.9737660382763349E-3</v>
          </cell>
          <cell r="G337">
            <v>2.9828677769021682E-3</v>
          </cell>
          <cell r="H337">
            <v>2.9840137956372356E-3</v>
          </cell>
          <cell r="I337">
            <v>3.0300626699982817E-3</v>
          </cell>
          <cell r="J337">
            <v>0.25417622991156241</v>
          </cell>
          <cell r="K337"/>
        </row>
        <row r="338">
          <cell r="A338" t="str">
            <v>RHEM-SHNGABR</v>
          </cell>
          <cell r="B338" t="str">
            <v>VAR_fout</v>
          </cell>
          <cell r="C338" t="str">
            <v>CO2_R</v>
          </cell>
          <cell r="D338">
            <v>1127.97272019907</v>
          </cell>
          <cell r="E338">
            <v>1120.96952212052</v>
          </cell>
          <cell r="F338">
            <v>1260.6116011224699</v>
          </cell>
          <cell r="G338">
            <v>909.76400001043805</v>
          </cell>
          <cell r="H338">
            <v>566.40829486924599</v>
          </cell>
          <cell r="I338">
            <v>230.79134630894501</v>
          </cell>
          <cell r="J338">
            <v>85.864841403745402</v>
          </cell>
          <cell r="K338"/>
        </row>
        <row r="339">
          <cell r="A339" t="str">
            <v>RHEM-SHNGABR</v>
          </cell>
          <cell r="B339" t="str">
            <v>VAR_fout</v>
          </cell>
          <cell r="C339" t="str">
            <v>RHEM-SHNGA</v>
          </cell>
          <cell r="D339">
            <v>18.999540499806997</v>
          </cell>
          <cell r="E339">
            <v>18.881578830044191</v>
          </cell>
          <cell r="F339">
            <v>21.081515944282845</v>
          </cell>
          <cell r="G339">
            <v>15.214205751142652</v>
          </cell>
          <cell r="H339">
            <v>9.4721843656109783</v>
          </cell>
          <cell r="I339">
            <v>3.8595800980113828</v>
          </cell>
          <cell r="J339">
            <v>1.4359387312432954</v>
          </cell>
        </row>
        <row r="340">
          <cell r="A340" t="str">
            <v>RHEM-SHNGABR</v>
          </cell>
          <cell r="B340" t="str">
            <v>VAR_fin</v>
          </cell>
          <cell r="C340" t="str">
            <v>RNGA</v>
          </cell>
          <cell r="D340">
            <v>19.999516315586309</v>
          </cell>
          <cell r="E340">
            <v>19.875346136888588</v>
          </cell>
          <cell r="F340">
            <v>22.351269523448014</v>
          </cell>
          <cell r="G340">
            <v>16.130567376071603</v>
          </cell>
          <cell r="H340">
            <v>10.042700263639116</v>
          </cell>
          <cell r="I340">
            <v>4.0920451473217314</v>
          </cell>
          <cell r="J340">
            <v>1.5224262660238541</v>
          </cell>
          <cell r="K340"/>
        </row>
        <row r="341">
          <cell r="A341" t="str">
            <v>RHEM-SHNGABR</v>
          </cell>
          <cell r="B341" t="str">
            <v>VAR_ncap</v>
          </cell>
          <cell r="C341" t="str">
            <v>-</v>
          </cell>
          <cell r="D341"/>
          <cell r="E341">
            <v>4.60967217305965E-4</v>
          </cell>
          <cell r="F341">
            <v>0.142030657945828</v>
          </cell>
          <cell r="G341">
            <v>1.2879825674397001E-5</v>
          </cell>
          <cell r="H341">
            <v>0.194130618678369</v>
          </cell>
          <cell r="I341">
            <v>5.8896462396693001E-2</v>
          </cell>
          <cell r="J341">
            <v>8.8694199501568306E-6</v>
          </cell>
          <cell r="K341"/>
        </row>
        <row r="342">
          <cell r="A342" t="str">
            <v>RHEM-SHNGABR</v>
          </cell>
          <cell r="B342" t="str">
            <v>VAR_cap</v>
          </cell>
          <cell r="C342" t="str">
            <v>-</v>
          </cell>
          <cell r="D342">
            <v>1.34683498965227</v>
          </cell>
          <cell r="E342">
            <v>1.3472878198689167</v>
          </cell>
          <cell r="F342">
            <v>1.4893169983016741</v>
          </cell>
          <cell r="G342">
            <v>1.488656461458965</v>
          </cell>
          <cell r="H342">
            <v>0.68542386327495253</v>
          </cell>
          <cell r="I342">
            <v>0.27817163638149828</v>
          </cell>
          <cell r="J342">
            <v>0.12478409850713032</v>
          </cell>
        </row>
        <row r="343">
          <cell r="A343" t="str">
            <v>RHNS-SHCONBR1</v>
          </cell>
          <cell r="B343" t="str">
            <v>VAR_ncap</v>
          </cell>
          <cell r="C343" t="str">
            <v>-</v>
          </cell>
          <cell r="D343"/>
          <cell r="F343">
            <v>375</v>
          </cell>
          <cell r="G343">
            <v>4.7310676183725198</v>
          </cell>
          <cell r="H343">
            <v>4.3003918622550996</v>
          </cell>
          <cell r="I343"/>
          <cell r="J343"/>
        </row>
        <row r="344">
          <cell r="A344" t="str">
            <v>RHNS-SHCONBR1</v>
          </cell>
          <cell r="B344" t="str">
            <v>VAR_cap</v>
          </cell>
          <cell r="C344" t="str">
            <v>-</v>
          </cell>
          <cell r="D344"/>
          <cell r="F344">
            <v>375</v>
          </cell>
          <cell r="G344">
            <v>11.848368678838995</v>
          </cell>
          <cell r="H344">
            <v>10.947118884982956</v>
          </cell>
          <cell r="I344">
            <v>6.3311927241859962</v>
          </cell>
          <cell r="J344">
            <v>2.8355470014540174</v>
          </cell>
        </row>
        <row r="345">
          <cell r="A345" t="str">
            <v>SCOM-SHCONBR5</v>
          </cell>
          <cell r="B345" t="str">
            <v>VAR_fout</v>
          </cell>
          <cell r="C345" t="str">
            <v>SCOM-SHCON</v>
          </cell>
          <cell r="D345"/>
          <cell r="E345">
            <v>2.6982497403005363E-2</v>
          </cell>
          <cell r="F345">
            <v>1.3022517269351408E-2</v>
          </cell>
          <cell r="G345">
            <v>1.3866083699543577E-2</v>
          </cell>
          <cell r="H345">
            <v>1.4976973248824545E-2</v>
          </cell>
          <cell r="I345">
            <v>2.5309858025686E-2</v>
          </cell>
          <cell r="J345">
            <v>0.58581212722343667</v>
          </cell>
          <cell r="K345"/>
        </row>
        <row r="346">
          <cell r="A346" t="str">
            <v>SCOM-SHCONBR5</v>
          </cell>
          <cell r="B346" t="str">
            <v>VAR_fin</v>
          </cell>
          <cell r="C346" t="str">
            <v>CON</v>
          </cell>
          <cell r="D346"/>
          <cell r="E346">
            <v>2.6982497403005363E-2</v>
          </cell>
          <cell r="F346">
            <v>1.3022517269351408E-2</v>
          </cell>
          <cell r="G346">
            <v>1.3866083699543577E-2</v>
          </cell>
          <cell r="H346">
            <v>1.4976973248824545E-2</v>
          </cell>
          <cell r="I346">
            <v>2.5309858025686E-2</v>
          </cell>
          <cell r="J346">
            <v>0.58581212722343667</v>
          </cell>
          <cell r="K346"/>
        </row>
        <row r="347">
          <cell r="A347" t="str">
            <v>SCOM-SHCONBR5</v>
          </cell>
          <cell r="B347" t="str">
            <v>VAR_ncap</v>
          </cell>
          <cell r="C347" t="str">
            <v>-</v>
          </cell>
          <cell r="D347"/>
          <cell r="E347">
            <v>2.2796818360879198E-3</v>
          </cell>
          <cell r="F347">
            <v>5.3309817953933397E-6</v>
          </cell>
          <cell r="G347">
            <v>1.3324196696740399E-5</v>
          </cell>
          <cell r="H347">
            <v>4.3227793461048997E-6</v>
          </cell>
          <cell r="I347">
            <v>6.8933359177075303E-6</v>
          </cell>
          <cell r="J347">
            <v>4.4117503214027999E-2</v>
          </cell>
          <cell r="K347"/>
        </row>
        <row r="348">
          <cell r="A348" t="str">
            <v>SCOM-SHCONBR5</v>
          </cell>
          <cell r="B348" t="str">
            <v>VAR_cap</v>
          </cell>
          <cell r="C348" t="str">
            <v>-</v>
          </cell>
          <cell r="D348"/>
          <cell r="E348">
            <v>2.2796818360879198E-3</v>
          </cell>
          <cell r="F348">
            <v>2.2823060069849816E-3</v>
          </cell>
          <cell r="G348">
            <v>2.2912409591563446E-3</v>
          </cell>
          <cell r="H348">
            <v>2.2921848022823439E-3</v>
          </cell>
          <cell r="I348">
            <v>2.301668395734082E-3</v>
          </cell>
          <cell r="J348">
            <v>4.5459370735549856E-2</v>
          </cell>
          <cell r="K348"/>
        </row>
        <row r="349">
          <cell r="A349" t="str">
            <v>RHNS-SHCONBR2</v>
          </cell>
          <cell r="B349" t="str">
            <v>VAR_ncap</v>
          </cell>
          <cell r="C349" t="str">
            <v>-</v>
          </cell>
          <cell r="D349"/>
          <cell r="F349">
            <v>375</v>
          </cell>
          <cell r="G349">
            <v>4.73106761837278</v>
          </cell>
          <cell r="H349">
            <v>4.3003918622553901</v>
          </cell>
          <cell r="I349"/>
          <cell r="J349"/>
          <cell r="K349"/>
        </row>
        <row r="350">
          <cell r="A350" t="str">
            <v>RHNS-SHCONBR2</v>
          </cell>
          <cell r="B350" t="str">
            <v>VAR_cap</v>
          </cell>
          <cell r="C350" t="str">
            <v>-</v>
          </cell>
          <cell r="D350"/>
          <cell r="F350">
            <v>375</v>
          </cell>
          <cell r="G350">
            <v>11.848368678838028</v>
          </cell>
          <cell r="H350">
            <v>10.947118884980966</v>
          </cell>
          <cell r="I350">
            <v>6.3311927241839498</v>
          </cell>
          <cell r="J350">
            <v>2.8355470014540174</v>
          </cell>
          <cell r="K350"/>
        </row>
        <row r="351">
          <cell r="A351" t="str">
            <v>RHES-SHSTG-ELCHP</v>
          </cell>
          <cell r="B351" t="str">
            <v>VAR_fout</v>
          </cell>
          <cell r="C351" t="str">
            <v>RHES-SHAELCH</v>
          </cell>
          <cell r="D351">
            <v>1.0740071981839934</v>
          </cell>
          <cell r="E351">
            <v>1.2396664994643132</v>
          </cell>
          <cell r="F351">
            <v>2.9560109702515494</v>
          </cell>
          <cell r="G351">
            <v>3.7478696944793182</v>
          </cell>
          <cell r="H351">
            <v>3.4883280756247852</v>
          </cell>
          <cell r="I351">
            <v>3.5303736211767678</v>
          </cell>
          <cell r="J351">
            <v>3.6261749046966427</v>
          </cell>
          <cell r="K351"/>
        </row>
        <row r="352">
          <cell r="A352" t="str">
            <v>RHES-SHSTG-ELCHP</v>
          </cell>
          <cell r="B352" t="str">
            <v>VAR_fout</v>
          </cell>
          <cell r="C352" t="str">
            <v>AUX_RHES-SHSTG-ELCHP_OUT</v>
          </cell>
          <cell r="D352">
            <v>1.0750812053821774</v>
          </cell>
          <cell r="E352">
            <v>1.240906165963777</v>
          </cell>
          <cell r="F352">
            <v>2.9589669812218</v>
          </cell>
          <cell r="G352">
            <v>3.7516175641737948</v>
          </cell>
          <cell r="H352">
            <v>3.4918164037004109</v>
          </cell>
          <cell r="I352">
            <v>3.5339039947979445</v>
          </cell>
          <cell r="J352">
            <v>3.6298010796013411</v>
          </cell>
          <cell r="K352"/>
        </row>
        <row r="353">
          <cell r="A353" t="str">
            <v>RHES-SHSTG-ELCHP</v>
          </cell>
          <cell r="B353" t="str">
            <v>VAR_fin</v>
          </cell>
          <cell r="C353" t="str">
            <v>RHES-SHAELCH</v>
          </cell>
          <cell r="D353">
            <v>1.0743072332162378</v>
          </cell>
          <cell r="E353">
            <v>1.239815880542537</v>
          </cell>
          <cell r="F353">
            <v>2.9560510876050463</v>
          </cell>
          <cell r="G353">
            <v>3.7479629562017847</v>
          </cell>
          <cell r="H353">
            <v>3.4884351032824861</v>
          </cell>
          <cell r="I353">
            <v>3.5304769667322988</v>
          </cell>
          <cell r="J353">
            <v>3.6262892507151201</v>
          </cell>
          <cell r="K353"/>
        </row>
        <row r="354">
          <cell r="A354" t="str">
            <v>RHES-SHSTG-ELCHP</v>
          </cell>
          <cell r="B354" t="str">
            <v>VAR_ncap</v>
          </cell>
          <cell r="C354" t="str">
            <v>-</v>
          </cell>
          <cell r="D354">
            <v>0.147686296336562</v>
          </cell>
          <cell r="E354">
            <v>1.1292186294184099E-3</v>
          </cell>
          <cell r="F354">
            <v>0.136505231302537</v>
          </cell>
          <cell r="G354">
            <v>5.5980133696504099E-2</v>
          </cell>
          <cell r="H354">
            <v>0.13465744107080199</v>
          </cell>
          <cell r="I354">
            <v>0.19273615041300801</v>
          </cell>
          <cell r="J354">
            <v>0.17754848706005499</v>
          </cell>
          <cell r="K354"/>
        </row>
        <row r="355">
          <cell r="A355" t="str">
            <v>RHES-SHSTG-ELCHP</v>
          </cell>
          <cell r="B355" t="str">
            <v>VAR_cap</v>
          </cell>
          <cell r="C355" t="str">
            <v>-</v>
          </cell>
          <cell r="D355">
            <v>0.147686296336562</v>
          </cell>
          <cell r="E355">
            <v>0.14650066386113492</v>
          </cell>
          <cell r="F355">
            <v>0.28266669275050726</v>
          </cell>
          <cell r="G355">
            <v>0.33829384739392432</v>
          </cell>
          <cell r="H355">
            <v>0.36286524322301861</v>
          </cell>
          <cell r="I355">
            <v>0.38869981373579587</v>
          </cell>
          <cell r="J355">
            <v>0.37365108186954094</v>
          </cell>
          <cell r="K355"/>
        </row>
        <row r="356">
          <cell r="A356" t="str">
            <v>SCOM-SHCONBR6</v>
          </cell>
          <cell r="B356" t="str">
            <v>VAR_fout</v>
          </cell>
          <cell r="C356" t="str">
            <v>SCOM-SHCON</v>
          </cell>
          <cell r="D356"/>
          <cell r="E356">
            <v>1.6313007320769193E-2</v>
          </cell>
          <cell r="F356">
            <v>8.1684608800727775E-3</v>
          </cell>
          <cell r="G356">
            <v>8.6661290366681597E-3</v>
          </cell>
          <cell r="H356">
            <v>9.1826921665011038E-3</v>
          </cell>
          <cell r="I356">
            <v>1.5021758719123389E-2</v>
          </cell>
          <cell r="J356">
            <v>1.014662149331759E-2</v>
          </cell>
          <cell r="K356"/>
        </row>
        <row r="357">
          <cell r="A357" t="str">
            <v>SCOM-SHCONBR6</v>
          </cell>
          <cell r="B357" t="str">
            <v>VAR_fin</v>
          </cell>
          <cell r="C357" t="str">
            <v>CON</v>
          </cell>
          <cell r="D357"/>
          <cell r="E357">
            <v>1.6313007320769193E-2</v>
          </cell>
          <cell r="F357">
            <v>8.1684608800727775E-3</v>
          </cell>
          <cell r="G357">
            <v>8.6661290366681597E-3</v>
          </cell>
          <cell r="H357">
            <v>9.1826921665011038E-3</v>
          </cell>
          <cell r="I357">
            <v>1.5021758719123389E-2</v>
          </cell>
          <cell r="J357">
            <v>1.014662149331759E-2</v>
          </cell>
          <cell r="K357"/>
        </row>
        <row r="358">
          <cell r="A358" t="str">
            <v>SCOM-SHCONBR6</v>
          </cell>
          <cell r="B358" t="str">
            <v>VAR_ncap</v>
          </cell>
          <cell r="C358" t="str">
            <v>-</v>
          </cell>
          <cell r="E358">
            <v>1.4298021534303899E-3</v>
          </cell>
          <cell r="F358">
            <v>4.9297704257264599E-6</v>
          </cell>
          <cell r="G358">
            <v>1.31193852402964E-5</v>
          </cell>
          <cell r="H358">
            <v>3.6388867608080701E-6</v>
          </cell>
          <cell r="I358">
            <v>4.0320712650553597E-6</v>
          </cell>
          <cell r="J358">
            <v>7.0790886948318398E-5</v>
          </cell>
          <cell r="K358"/>
        </row>
        <row r="359">
          <cell r="A359" t="str">
            <v>SCOM-SHCONBR6</v>
          </cell>
          <cell r="B359" t="str">
            <v>VAR_cap</v>
          </cell>
          <cell r="C359" t="str">
            <v>-</v>
          </cell>
          <cell r="D359"/>
          <cell r="E359">
            <v>1.4298021534303899E-3</v>
          </cell>
          <cell r="F359">
            <v>1.4326222955666208E-3</v>
          </cell>
          <cell r="G359">
            <v>1.4422408178356688E-3</v>
          </cell>
          <cell r="H359">
            <v>1.4427614380631056E-3</v>
          </cell>
          <cell r="I359">
            <v>1.4486430856024482E-3</v>
          </cell>
          <cell r="J359">
            <v>9.1797921168284777E-4</v>
          </cell>
          <cell r="K359"/>
        </row>
        <row r="360">
          <cell r="A360" t="str">
            <v>RHNM-SHDEM</v>
          </cell>
          <cell r="B360" t="str">
            <v>VAR_fout</v>
          </cell>
          <cell r="C360" t="str">
            <v>RHNM-SHD</v>
          </cell>
          <cell r="D360"/>
          <cell r="E360">
            <v>1.2071502183152301</v>
          </cell>
          <cell r="F360">
            <v>1.4940672474796899</v>
          </cell>
          <cell r="G360">
            <v>2.7265280033424797</v>
          </cell>
          <cell r="H360">
            <v>3.5735945294822868</v>
          </cell>
          <cell r="I360">
            <v>4.2100864621501017</v>
          </cell>
          <cell r="J360">
            <v>4.9967985117250997</v>
          </cell>
          <cell r="K360"/>
        </row>
        <row r="361">
          <cell r="A361" t="str">
            <v>RHNM-SHDEM</v>
          </cell>
          <cell r="B361" t="str">
            <v>VAR_fin</v>
          </cell>
          <cell r="C361" t="str">
            <v>RHNM-SHLFO</v>
          </cell>
          <cell r="D361"/>
          <cell r="E361">
            <v>3.3414628808709969E-2</v>
          </cell>
          <cell r="F361">
            <v>5.9364813418117633E-2</v>
          </cell>
          <cell r="G361">
            <v>9.2696925855734622E-2</v>
          </cell>
          <cell r="H361">
            <v>9.220617779233356E-2</v>
          </cell>
          <cell r="I361">
            <v>6.3852628780661877E-2</v>
          </cell>
          <cell r="J361">
            <v>5.3640800723962052E-4</v>
          </cell>
          <cell r="K361"/>
        </row>
        <row r="362">
          <cell r="A362" t="str">
            <v>RHNM-SHDEM</v>
          </cell>
          <cell r="B362" t="str">
            <v>VAR_fin</v>
          </cell>
          <cell r="C362" t="str">
            <v>RHNM-SHLTHD</v>
          </cell>
          <cell r="D362"/>
          <cell r="E362">
            <v>0.2304657906224763</v>
          </cell>
          <cell r="F362">
            <v>5.026878588593528E-2</v>
          </cell>
          <cell r="G362">
            <v>0.22880547172923224</v>
          </cell>
          <cell r="H362">
            <v>0.26534778751839305</v>
          </cell>
          <cell r="I362">
            <v>0.30884040383178041</v>
          </cell>
          <cell r="J362">
            <v>0.37886810662453618</v>
          </cell>
          <cell r="K362"/>
        </row>
        <row r="363">
          <cell r="A363" t="str">
            <v>RHNM-SHDEM</v>
          </cell>
          <cell r="B363" t="str">
            <v>VAR_fin</v>
          </cell>
          <cell r="C363" t="str">
            <v>RHNM-SHCON</v>
          </cell>
          <cell r="D363"/>
          <cell r="F363">
            <v>2.3543076813399379E-2</v>
          </cell>
          <cell r="G363">
            <v>2.3607720378268787E-2</v>
          </cell>
          <cell r="H363">
            <v>2.6775095471073831E-2</v>
          </cell>
          <cell r="I363">
            <v>2.7574022251344678E-2</v>
          </cell>
          <cell r="J363">
            <v>2.6967833521528543E-2</v>
          </cell>
          <cell r="K363"/>
        </row>
        <row r="364">
          <cell r="A364" t="str">
            <v>RHNM-SHDEM</v>
          </cell>
          <cell r="B364" t="str">
            <v>VAR_fin</v>
          </cell>
          <cell r="C364" t="str">
            <v>RHNM-SHELCB</v>
          </cell>
          <cell r="D364"/>
          <cell r="E364">
            <v>0.11985396678813839</v>
          </cell>
          <cell r="F364">
            <v>4.6972050935477176E-3</v>
          </cell>
          <cell r="G364">
            <v>5.5417606227858704E-3</v>
          </cell>
          <cell r="H364">
            <v>6.1655505941002721E-3</v>
          </cell>
          <cell r="I364">
            <v>5.7764982678068311E-3</v>
          </cell>
          <cell r="J364">
            <v>6.9006781836974561E-3</v>
          </cell>
        </row>
        <row r="365">
          <cell r="A365" t="str">
            <v>RHNM-SHDEM</v>
          </cell>
          <cell r="B365" t="str">
            <v>VAR_fin</v>
          </cell>
          <cell r="C365" t="str">
            <v>RHNM-SHWOD</v>
          </cell>
          <cell r="D365"/>
          <cell r="E365">
            <v>6.9841489919059641E-2</v>
          </cell>
          <cell r="F365">
            <v>5.1625544836898768E-2</v>
          </cell>
          <cell r="G365">
            <v>8.3463208904477199E-2</v>
          </cell>
          <cell r="H365">
            <v>8.7869780912806048E-2</v>
          </cell>
          <cell r="I365">
            <v>9.3210143032357973E-2</v>
          </cell>
          <cell r="J365">
            <v>8.2731751560227482E-2</v>
          </cell>
        </row>
        <row r="366">
          <cell r="A366" t="str">
            <v>RHNM-SHDEM</v>
          </cell>
          <cell r="B366" t="str">
            <v>VAR_fin</v>
          </cell>
          <cell r="C366" t="str">
            <v>RHNM-SHELCH</v>
          </cell>
          <cell r="D366"/>
          <cell r="E366">
            <v>3.5510341365491686E-2</v>
          </cell>
          <cell r="F366">
            <v>0.92514934630880052</v>
          </cell>
          <cell r="G366">
            <v>1.428719920957449</v>
          </cell>
          <cell r="H366">
            <v>1.9360347329962166</v>
          </cell>
          <cell r="I366">
            <v>2.3579364254361765</v>
          </cell>
          <cell r="J366">
            <v>2.9942090871133207</v>
          </cell>
          <cell r="K366"/>
        </row>
        <row r="367">
          <cell r="A367" t="str">
            <v>RHNM-SHDEM</v>
          </cell>
          <cell r="B367" t="str">
            <v>VAR_fin</v>
          </cell>
          <cell r="C367" t="str">
            <v>RHNM-SHNST</v>
          </cell>
          <cell r="D367"/>
          <cell r="E367">
            <v>8.0215783934090984E-3</v>
          </cell>
          <cell r="F367">
            <v>1.6002383561310087E-3</v>
          </cell>
          <cell r="G367">
            <v>2.2124738730015339E-3</v>
          </cell>
          <cell r="H367">
            <v>1.6832423143797483E-3</v>
          </cell>
          <cell r="I367">
            <v>2.343070165584465E-3</v>
          </cell>
          <cell r="J367">
            <v>1.0580973492087531E-4</v>
          </cell>
          <cell r="K367"/>
        </row>
        <row r="368">
          <cell r="A368" t="str">
            <v>RHNM-SHDEM</v>
          </cell>
          <cell r="B368" t="str">
            <v>VAR_fin</v>
          </cell>
          <cell r="C368" t="str">
            <v>RHNM-SHPLT</v>
          </cell>
          <cell r="D368"/>
          <cell r="E368">
            <v>6.4708754969214952E-2</v>
          </cell>
          <cell r="F368">
            <v>8.7899480072555145E-3</v>
          </cell>
          <cell r="G368">
            <v>1.6986951272929124E-2</v>
          </cell>
          <cell r="H368">
            <v>1.9716036876625181E-2</v>
          </cell>
          <cell r="I368">
            <v>2.2358635423137711E-2</v>
          </cell>
          <cell r="J368">
            <v>2.7487520046097873E-2</v>
          </cell>
        </row>
        <row r="369">
          <cell r="A369" t="str">
            <v>RHNM-SHDEM</v>
          </cell>
          <cell r="B369" t="str">
            <v>VAR_fin</v>
          </cell>
          <cell r="C369" t="str">
            <v>RHNM-SHLTHC-NGA</v>
          </cell>
          <cell r="E369">
            <v>3.3857180231233547E-2</v>
          </cell>
          <cell r="F369">
            <v>5.4116242849267893E-4</v>
          </cell>
          <cell r="G369">
            <v>5.8057325257178188E-4</v>
          </cell>
          <cell r="H369">
            <v>3.2538815872005004E-4</v>
          </cell>
          <cell r="I369">
            <v>2.4248701215603014E-4</v>
          </cell>
          <cell r="J369">
            <v>3.2779946853094956E-3</v>
          </cell>
          <cell r="K369"/>
        </row>
        <row r="370">
          <cell r="A370" t="str">
            <v>RHNM-SHDEM</v>
          </cell>
          <cell r="B370" t="str">
            <v>VAR_fin</v>
          </cell>
          <cell r="C370" t="str">
            <v>RHNM-SHSOL</v>
          </cell>
          <cell r="E370">
            <v>3.9982570370686019E-2</v>
          </cell>
          <cell r="F370">
            <v>4.542866615380994E-3</v>
          </cell>
          <cell r="G370">
            <v>5.0893594797164149E-3</v>
          </cell>
          <cell r="H370">
            <v>5.657061365227584E-3</v>
          </cell>
          <cell r="I370">
            <v>5.0792895073811881E-3</v>
          </cell>
          <cell r="J370">
            <v>6.3196432834355058E-3</v>
          </cell>
          <cell r="K370"/>
        </row>
        <row r="371">
          <cell r="A371" t="str">
            <v>RHNM-SHDEM</v>
          </cell>
          <cell r="B371" t="str">
            <v>VAR_fin</v>
          </cell>
          <cell r="C371" t="str">
            <v>RHNM-SHLTHC-WOD</v>
          </cell>
          <cell r="E371">
            <v>6.3252028723277606E-3</v>
          </cell>
          <cell r="F371">
            <v>7.3657936524618216E-4</v>
          </cell>
          <cell r="G371">
            <v>3.901930270104871E-4</v>
          </cell>
          <cell r="H371">
            <v>1.5486112153335204E-3</v>
          </cell>
          <cell r="I371">
            <v>5.895651568826101E-4</v>
          </cell>
          <cell r="J371"/>
          <cell r="K371"/>
        </row>
        <row r="372">
          <cell r="A372" t="str">
            <v>RHNM-SHDEM</v>
          </cell>
          <cell r="B372" t="str">
            <v>VAR_fin</v>
          </cell>
          <cell r="C372" t="str">
            <v>RHNM-SHNGAH</v>
          </cell>
          <cell r="E372">
            <v>7.5930148482105993E-3</v>
          </cell>
          <cell r="F372">
            <v>0.26125990626572737</v>
          </cell>
          <cell r="G372">
            <v>0.6971580384077507</v>
          </cell>
          <cell r="H372">
            <v>0.99135293870382502</v>
          </cell>
          <cell r="I372">
            <v>1.2386740121591773</v>
          </cell>
          <cell r="J372">
            <v>1.4716284862846518</v>
          </cell>
          <cell r="K372"/>
        </row>
        <row r="373">
          <cell r="A373" t="str">
            <v>RHNM-SHDEM</v>
          </cell>
          <cell r="B373" t="str">
            <v>VAR_fin</v>
          </cell>
          <cell r="C373" t="str">
            <v>RHNM-SHNGA</v>
          </cell>
          <cell r="D373"/>
          <cell r="E373">
            <v>0.56035727647009803</v>
          </cell>
          <cell r="F373">
            <v>0.10634813327629823</v>
          </cell>
          <cell r="G373">
            <v>0.14523168089482347</v>
          </cell>
          <cell r="H373">
            <v>0.14293328427907057</v>
          </cell>
          <cell r="I373">
            <v>8.6762070245557252E-2</v>
          </cell>
          <cell r="J373">
            <v>4.3673428390307799E-5</v>
          </cell>
        </row>
        <row r="374">
          <cell r="A374" t="str">
            <v>SCOM-STG-ELCSPEC</v>
          </cell>
          <cell r="B374" t="str">
            <v>VAR_fout</v>
          </cell>
          <cell r="C374" t="str">
            <v>SCOM-ELS</v>
          </cell>
          <cell r="E374">
            <v>0.22625251185451281</v>
          </cell>
          <cell r="F374">
            <v>0.23044032285380323</v>
          </cell>
          <cell r="G374">
            <v>0.23924387095164446</v>
          </cell>
          <cell r="H374">
            <v>0.24853276932837914</v>
          </cell>
          <cell r="I374">
            <v>0.54663616655457103</v>
          </cell>
          <cell r="J374">
            <v>0.68567489642790735</v>
          </cell>
          <cell r="K374"/>
        </row>
        <row r="375">
          <cell r="A375" t="str">
            <v>SCOM-STG-ELCSPEC</v>
          </cell>
          <cell r="B375" t="str">
            <v>VAR_fin</v>
          </cell>
          <cell r="C375" t="str">
            <v>SCOM-ELS</v>
          </cell>
          <cell r="E375">
            <v>0.22628306087602978</v>
          </cell>
          <cell r="F375">
            <v>0.23047087187531981</v>
          </cell>
          <cell r="G375">
            <v>0.23927451089286803</v>
          </cell>
          <cell r="H375">
            <v>0.24856331834989565</v>
          </cell>
          <cell r="I375">
            <v>0.54666780661257031</v>
          </cell>
          <cell r="J375">
            <v>0.68569071645690749</v>
          </cell>
          <cell r="K375"/>
        </row>
        <row r="376">
          <cell r="A376" t="str">
            <v>SCOM-STG-ELCSPEC</v>
          </cell>
          <cell r="B376" t="str">
            <v>VAR_ncap</v>
          </cell>
          <cell r="C376" t="str">
            <v>-</v>
          </cell>
          <cell r="E376">
            <v>8.5905238700216199E-3</v>
          </cell>
          <cell r="F376">
            <v>1.34934624371106E-4</v>
          </cell>
          <cell r="G376">
            <v>5.9639737282127002E-5</v>
          </cell>
          <cell r="H376">
            <v>5.9011249591610197E-4</v>
          </cell>
          <cell r="I376">
            <v>1.52243942194431E-2</v>
          </cell>
          <cell r="J376">
            <v>1.0798745774788499E-2</v>
          </cell>
          <cell r="K376"/>
        </row>
        <row r="377">
          <cell r="A377" t="str">
            <v>SCOM-STG-ELCSPEC</v>
          </cell>
          <cell r="B377" t="str">
            <v>VAR_cap</v>
          </cell>
          <cell r="C377" t="str">
            <v>-</v>
          </cell>
          <cell r="D377"/>
          <cell r="E377">
            <v>8.5905238700216199E-3</v>
          </cell>
          <cell r="F377">
            <v>8.7171040219034233E-3</v>
          </cell>
          <cell r="G377">
            <v>8.7614818531841238E-3</v>
          </cell>
          <cell r="H377">
            <v>9.3249022542115905E-3</v>
          </cell>
          <cell r="I377">
            <v>2.0399628289615959E-2</v>
          </cell>
          <cell r="J377">
            <v>2.6487977215988629E-2</v>
          </cell>
          <cell r="K377"/>
        </row>
        <row r="378">
          <cell r="A378" t="str">
            <v>RHNS-SHCONBR3</v>
          </cell>
          <cell r="B378" t="str">
            <v>VAR_ncap</v>
          </cell>
          <cell r="C378" t="str">
            <v>-</v>
          </cell>
          <cell r="F378">
            <v>375</v>
          </cell>
          <cell r="G378">
            <v>4.7310676183725198</v>
          </cell>
          <cell r="H378">
            <v>4.3003918622550996</v>
          </cell>
          <cell r="I378"/>
          <cell r="J378"/>
          <cell r="K378"/>
        </row>
        <row r="379">
          <cell r="A379" t="str">
            <v>RHNS-SHCONBR3</v>
          </cell>
          <cell r="B379" t="str">
            <v>VAR_cap</v>
          </cell>
          <cell r="C379" t="str">
            <v>-</v>
          </cell>
          <cell r="D379"/>
          <cell r="F379">
            <v>375</v>
          </cell>
          <cell r="G379">
            <v>11.848368678838995</v>
          </cell>
          <cell r="H379">
            <v>10.947118884982956</v>
          </cell>
          <cell r="I379">
            <v>6.3311927241859962</v>
          </cell>
          <cell r="J379">
            <v>2.8355470014540174</v>
          </cell>
          <cell r="K379"/>
        </row>
        <row r="380">
          <cell r="A380" t="str">
            <v>SCOM-SHCONBR7</v>
          </cell>
          <cell r="B380" t="str">
            <v>VAR_fout</v>
          </cell>
          <cell r="C380" t="str">
            <v>SCOM-SHCON</v>
          </cell>
          <cell r="E380">
            <v>9.6805820668917474E-3</v>
          </cell>
          <cell r="F380">
            <v>5.1192807526250061E-3</v>
          </cell>
          <cell r="G380">
            <v>5.3764232518322295E-3</v>
          </cell>
          <cell r="H380">
            <v>5.5967431241257387E-3</v>
          </cell>
          <cell r="I380">
            <v>8.696096095308286E-3</v>
          </cell>
          <cell r="J380">
            <v>5.4949644068946627E-3</v>
          </cell>
          <cell r="K380"/>
        </row>
        <row r="381">
          <cell r="A381" t="str">
            <v>SCOM-SHCONBR7</v>
          </cell>
          <cell r="B381" t="str">
            <v>VAR_fin</v>
          </cell>
          <cell r="C381" t="str">
            <v>CON</v>
          </cell>
          <cell r="E381">
            <v>9.6805820668917474E-3</v>
          </cell>
          <cell r="F381">
            <v>5.1192807526250061E-3</v>
          </cell>
          <cell r="G381">
            <v>5.3764232518322295E-3</v>
          </cell>
          <cell r="H381">
            <v>5.5967431241257387E-3</v>
          </cell>
          <cell r="I381">
            <v>8.696096095308286E-3</v>
          </cell>
          <cell r="J381">
            <v>5.4949644068946627E-3</v>
          </cell>
          <cell r="K381"/>
        </row>
        <row r="382">
          <cell r="A382" t="str">
            <v>SCOM-SHCONBR7</v>
          </cell>
          <cell r="B382" t="str">
            <v>VAR_ncap</v>
          </cell>
          <cell r="C382" t="str">
            <v>-</v>
          </cell>
          <cell r="D382"/>
          <cell r="E382">
            <v>8.86330791810184E-4</v>
          </cell>
          <cell r="F382">
            <v>4.2589276710133104E-6</v>
          </cell>
          <cell r="G382">
            <v>8.7407712894278293E-6</v>
          </cell>
          <cell r="H382">
            <v>2.4897070925110899E-6</v>
          </cell>
          <cell r="I382"/>
          <cell r="J382">
            <v>5.4896996690481501E-6</v>
          </cell>
          <cell r="K382"/>
        </row>
        <row r="383">
          <cell r="A383" t="str">
            <v>SCOM-SHCONBR7</v>
          </cell>
          <cell r="B383" t="str">
            <v>VAR_cap</v>
          </cell>
          <cell r="C383" t="str">
            <v>-</v>
          </cell>
          <cell r="E383">
            <v>8.86330791810184E-4</v>
          </cell>
          <cell r="F383">
            <v>8.8902556642092025E-4</v>
          </cell>
          <cell r="G383">
            <v>8.9524303347788094E-4</v>
          </cell>
          <cell r="H383">
            <v>8.9516312078073799E-4</v>
          </cell>
          <cell r="I383">
            <v>8.9607330537789717E-4</v>
          </cell>
          <cell r="J383">
            <v>5.2903909573543502E-4</v>
          </cell>
          <cell r="K383"/>
        </row>
        <row r="384">
          <cell r="A384" t="str">
            <v>RHNS-SHCONBR4</v>
          </cell>
          <cell r="B384" t="str">
            <v>VAR_ncap</v>
          </cell>
          <cell r="C384" t="str">
            <v>-</v>
          </cell>
          <cell r="F384">
            <v>375</v>
          </cell>
          <cell r="G384">
            <v>4.73106761837278</v>
          </cell>
          <cell r="H384">
            <v>4.3003918622553901</v>
          </cell>
          <cell r="I384"/>
          <cell r="J384"/>
          <cell r="K384"/>
        </row>
        <row r="385">
          <cell r="A385" t="str">
            <v>RHNS-SHCONBR4</v>
          </cell>
          <cell r="B385" t="str">
            <v>VAR_cap</v>
          </cell>
          <cell r="C385" t="str">
            <v>-</v>
          </cell>
          <cell r="D385"/>
          <cell r="F385">
            <v>375</v>
          </cell>
          <cell r="G385">
            <v>11.848368678838028</v>
          </cell>
          <cell r="H385">
            <v>10.947118884980966</v>
          </cell>
          <cell r="I385">
            <v>6.3311927241839498</v>
          </cell>
          <cell r="J385">
            <v>2.8355470014540174</v>
          </cell>
          <cell r="K385"/>
        </row>
        <row r="386">
          <cell r="A386" t="str">
            <v>SCOM-SHCONBR8</v>
          </cell>
          <cell r="B386" t="str">
            <v>VAR_fout</v>
          </cell>
          <cell r="C386" t="str">
            <v>SCOM-SHCON</v>
          </cell>
          <cell r="D386"/>
          <cell r="E386">
            <v>3.4235949234980639E-3</v>
          </cell>
          <cell r="F386">
            <v>2.1041424507701472E-3</v>
          </cell>
          <cell r="G386">
            <v>2.1302830240448596E-3</v>
          </cell>
          <cell r="H386">
            <v>2.150083401396673E-3</v>
          </cell>
          <cell r="I386">
            <v>2.8953361915438174E-3</v>
          </cell>
          <cell r="J386">
            <v>1.8672803117799168E-3</v>
          </cell>
        </row>
        <row r="387">
          <cell r="A387" t="str">
            <v>SCOM-SHCONBR8</v>
          </cell>
          <cell r="B387" t="str">
            <v>VAR_fin</v>
          </cell>
          <cell r="C387" t="str">
            <v>CON</v>
          </cell>
          <cell r="E387">
            <v>3.4235949234980639E-3</v>
          </cell>
          <cell r="F387">
            <v>2.1041424507701472E-3</v>
          </cell>
          <cell r="G387">
            <v>2.1302830240448596E-3</v>
          </cell>
          <cell r="H387">
            <v>2.150083401396673E-3</v>
          </cell>
          <cell r="I387">
            <v>2.8953361915438174E-3</v>
          </cell>
          <cell r="J387">
            <v>1.8672803117799168E-3</v>
          </cell>
        </row>
        <row r="388">
          <cell r="A388" t="str">
            <v>SCOM-SHCONBR8</v>
          </cell>
          <cell r="B388" t="str">
            <v>VAR_ncap</v>
          </cell>
          <cell r="C388" t="str">
            <v>-</v>
          </cell>
          <cell r="E388">
            <v>3.3677123631483801E-4</v>
          </cell>
          <cell r="F388">
            <v>2.7271545077337302E-6</v>
          </cell>
          <cell r="G388">
            <v>2.5557033082443301E-6</v>
          </cell>
          <cell r="H388">
            <v>1.02138221754703E-6</v>
          </cell>
          <cell r="I388"/>
          <cell r="J388">
            <v>1.1383899427918999E-6</v>
          </cell>
        </row>
        <row r="389">
          <cell r="A389" t="str">
            <v>SCOM-SHCONBR8</v>
          </cell>
          <cell r="B389" t="str">
            <v>VAR_cap</v>
          </cell>
          <cell r="C389" t="str">
            <v>-</v>
          </cell>
          <cell r="D389"/>
          <cell r="E389">
            <v>3.3677123631483801E-4</v>
          </cell>
          <cell r="F389">
            <v>3.3869378609182037E-4</v>
          </cell>
          <cell r="G389">
            <v>3.4016321540412443E-4</v>
          </cell>
          <cell r="H389">
            <v>3.3989341959968515E-4</v>
          </cell>
          <cell r="I389">
            <v>3.396092451211386E-4</v>
          </cell>
          <cell r="J389">
            <v>1.9944067096055009E-4</v>
          </cell>
          <cell r="K389"/>
        </row>
        <row r="390">
          <cell r="A390" t="str">
            <v>ITOT-ELCSPEC</v>
          </cell>
          <cell r="B390" t="str">
            <v>VAR_fout</v>
          </cell>
          <cell r="C390" t="str">
            <v>ITOT-ELS</v>
          </cell>
          <cell r="D390">
            <v>48.063397652170998</v>
          </cell>
          <cell r="E390">
            <v>48.833361569867286</v>
          </cell>
          <cell r="F390">
            <v>51.606348679527969</v>
          </cell>
          <cell r="G390">
            <v>52.871860088914175</v>
          </cell>
          <cell r="H390">
            <v>54.118790460389583</v>
          </cell>
          <cell r="I390">
            <v>50.876777768367283</v>
          </cell>
          <cell r="J390">
            <v>52.053393206381124</v>
          </cell>
          <cell r="K390"/>
        </row>
        <row r="391">
          <cell r="A391" t="str">
            <v>ITOT-ELCSPEC</v>
          </cell>
          <cell r="B391" t="str">
            <v>VAR_fin</v>
          </cell>
          <cell r="C391" t="str">
            <v>ITOT_ELC</v>
          </cell>
          <cell r="D391">
            <v>48.063397652170998</v>
          </cell>
          <cell r="E391">
            <v>48.833361569867286</v>
          </cell>
          <cell r="F391">
            <v>51.606348679527969</v>
          </cell>
          <cell r="G391">
            <v>52.871860088914175</v>
          </cell>
          <cell r="H391">
            <v>54.118790460389583</v>
          </cell>
          <cell r="I391">
            <v>50.876777768367283</v>
          </cell>
          <cell r="J391">
            <v>52.053393206381124</v>
          </cell>
          <cell r="K391"/>
        </row>
        <row r="392">
          <cell r="A392" t="str">
            <v>ITOT-ELCSPEC</v>
          </cell>
          <cell r="B392" t="str">
            <v>VAR_ncap</v>
          </cell>
          <cell r="C392" t="str">
            <v>-</v>
          </cell>
          <cell r="D392">
            <v>8.35608606090332E-2</v>
          </cell>
          <cell r="E392">
            <v>4.1901760742362397E-2</v>
          </cell>
          <cell r="F392">
            <v>0.15081071636267401</v>
          </cell>
          <cell r="G392">
            <v>6.8854571344486207E-2</v>
          </cell>
          <cell r="H392">
            <v>6.7898106662188401E-2</v>
          </cell>
          <cell r="I392">
            <v>7.3527231378380298E-5</v>
          </cell>
          <cell r="J392">
            <v>2.43044706312123</v>
          </cell>
          <cell r="K392"/>
        </row>
        <row r="393">
          <cell r="A393" t="str">
            <v>ITOT-ELCSPEC</v>
          </cell>
          <cell r="B393" t="str">
            <v>VAR_cap</v>
          </cell>
          <cell r="C393" t="str">
            <v>-</v>
          </cell>
          <cell r="D393">
            <v>2.6138880926417434</v>
          </cell>
          <cell r="E393">
            <v>2.655780716953176</v>
          </cell>
          <cell r="F393">
            <v>2.8065699957024881</v>
          </cell>
          <cell r="G393">
            <v>2.8753554708479991</v>
          </cell>
          <cell r="H393">
            <v>2.9431769336207396</v>
          </cell>
          <cell r="I393">
            <v>2.7669833896475251</v>
          </cell>
          <cell r="J393">
            <v>2.8308316467000192</v>
          </cell>
          <cell r="K393"/>
        </row>
        <row r="394">
          <cell r="A394" t="str">
            <v>RHNM-SHLTHDH</v>
          </cell>
          <cell r="B394" t="str">
            <v>VAR_fout</v>
          </cell>
          <cell r="C394" t="str">
            <v>RHNM-SHLTHD</v>
          </cell>
          <cell r="E394">
            <v>0.34687936915827844</v>
          </cell>
          <cell r="F394">
            <v>5.321807342758398E-2</v>
          </cell>
          <cell r="G394">
            <v>0.2340016431780729</v>
          </cell>
          <cell r="H394">
            <v>0.27124791734521675</v>
          </cell>
          <cell r="I394">
            <v>0.31462200954781405</v>
          </cell>
          <cell r="J394">
            <v>0.38704888143869137</v>
          </cell>
          <cell r="K394"/>
        </row>
        <row r="395">
          <cell r="A395" t="str">
            <v>RHNM-SHLTHDH</v>
          </cell>
          <cell r="B395" t="str">
            <v>VAR_fin</v>
          </cell>
          <cell r="C395" t="str">
            <v>RHNMLTHDHC</v>
          </cell>
          <cell r="E395">
            <v>0.34687936915827844</v>
          </cell>
          <cell r="F395">
            <v>5.321807342758398E-2</v>
          </cell>
          <cell r="G395">
            <v>0.2340016431780729</v>
          </cell>
          <cell r="H395">
            <v>0.27124791734521675</v>
          </cell>
          <cell r="I395">
            <v>0.31462200954781405</v>
          </cell>
          <cell r="J395">
            <v>0.38704888143869137</v>
          </cell>
          <cell r="K395"/>
        </row>
        <row r="396">
          <cell r="A396" t="str">
            <v>RHNM-SHLTHDH</v>
          </cell>
          <cell r="B396" t="str">
            <v>VAR_fin</v>
          </cell>
          <cell r="C396" t="str">
            <v>RHNM_LTH_DH</v>
          </cell>
          <cell r="D396"/>
          <cell r="E396">
            <v>0.35038320116997812</v>
          </cell>
          <cell r="F396">
            <v>5.8877796156853054E-2</v>
          </cell>
          <cell r="G396">
            <v>0.2576850732650941</v>
          </cell>
          <cell r="H396">
            <v>0.29846840245504824</v>
          </cell>
          <cell r="I396">
            <v>0.3458342880857227</v>
          </cell>
          <cell r="J396">
            <v>0.42544631432208502</v>
          </cell>
          <cell r="K396"/>
        </row>
        <row r="397">
          <cell r="A397" t="str">
            <v>RHNM-SHLTHDH</v>
          </cell>
          <cell r="B397" t="str">
            <v>VAR_ncap</v>
          </cell>
          <cell r="C397" t="str">
            <v>-</v>
          </cell>
          <cell r="E397">
            <v>4.8382809184743497E-2</v>
          </cell>
          <cell r="F397">
            <v>4.3096698378390599E-2</v>
          </cell>
          <cell r="G397">
            <v>1.8186158443812502E-2</v>
          </cell>
          <cell r="H397">
            <v>1.9142881310907401E-2</v>
          </cell>
          <cell r="I397">
            <v>1.43386790841721E-2</v>
          </cell>
          <cell r="J397">
            <v>2.4674058930402198E-2</v>
          </cell>
        </row>
        <row r="398">
          <cell r="A398" t="str">
            <v>RHNM-SHLTHDH</v>
          </cell>
          <cell r="B398" t="str">
            <v>VAR_cap</v>
          </cell>
          <cell r="C398" t="str">
            <v>-</v>
          </cell>
          <cell r="E398">
            <v>4.8382809184743497E-2</v>
          </cell>
          <cell r="F398">
            <v>5.9885466931002593E-2</v>
          </cell>
          <cell r="G398">
            <v>3.5063217545660691E-2</v>
          </cell>
          <cell r="H398">
            <v>3.6840502139145886E-2</v>
          </cell>
          <cell r="I398">
            <v>3.1327621956103016E-2</v>
          </cell>
          <cell r="J398">
            <v>3.9575530192074992E-2</v>
          </cell>
        </row>
        <row r="399">
          <cell r="A399" t="str">
            <v>RHNS-SHCONBR5</v>
          </cell>
          <cell r="B399" t="str">
            <v>VAR_ncap</v>
          </cell>
          <cell r="C399" t="str">
            <v>-</v>
          </cell>
          <cell r="D399"/>
          <cell r="F399">
            <v>375</v>
          </cell>
          <cell r="G399">
            <v>4.7310676183725198</v>
          </cell>
          <cell r="H399">
            <v>4.3003918622550996</v>
          </cell>
          <cell r="I399"/>
          <cell r="J399"/>
        </row>
        <row r="400">
          <cell r="A400" t="str">
            <v>RHNS-SHCONBR5</v>
          </cell>
          <cell r="B400" t="str">
            <v>VAR_cap</v>
          </cell>
          <cell r="C400" t="str">
            <v>-</v>
          </cell>
          <cell r="F400">
            <v>375</v>
          </cell>
          <cell r="G400">
            <v>11.848368678838995</v>
          </cell>
          <cell r="H400">
            <v>10.947118884982956</v>
          </cell>
          <cell r="I400">
            <v>6.3311927241859962</v>
          </cell>
          <cell r="J400">
            <v>2.8355470014540174</v>
          </cell>
        </row>
        <row r="401">
          <cell r="A401" t="str">
            <v>SCOM-SHCONBR9</v>
          </cell>
          <cell r="B401" t="str">
            <v>VAR_fout</v>
          </cell>
          <cell r="C401" t="str">
            <v>SCOM-SHCON</v>
          </cell>
          <cell r="E401">
            <v>1.2069867257982765E-3</v>
          </cell>
          <cell r="F401">
            <v>9.0463278355105211E-4</v>
          </cell>
          <cell r="G401">
            <v>8.6481944725124338E-4</v>
          </cell>
          <cell r="H401">
            <v>8.3869822076249154E-4</v>
          </cell>
          <cell r="I401">
            <v>9.5667322955571093E-4</v>
          </cell>
          <cell r="J401">
            <v>6.4381537826484485E-4</v>
          </cell>
          <cell r="K401"/>
        </row>
        <row r="402">
          <cell r="A402" t="str">
            <v>SCOM-SHCONBR9</v>
          </cell>
          <cell r="B402" t="str">
            <v>VAR_fin</v>
          </cell>
          <cell r="C402" t="str">
            <v>CON</v>
          </cell>
          <cell r="E402">
            <v>1.2069867257982765E-3</v>
          </cell>
          <cell r="F402">
            <v>9.0463278355105211E-4</v>
          </cell>
          <cell r="G402">
            <v>8.6481944725124338E-4</v>
          </cell>
          <cell r="H402">
            <v>8.3869822076249154E-4</v>
          </cell>
          <cell r="I402">
            <v>9.5667322955571093E-4</v>
          </cell>
          <cell r="J402">
            <v>6.4381537826484485E-4</v>
          </cell>
          <cell r="K402"/>
        </row>
        <row r="403">
          <cell r="A403" t="str">
            <v>SCOM-SHCONBR9</v>
          </cell>
          <cell r="B403" t="str">
            <v>VAR_ncap</v>
          </cell>
          <cell r="C403" t="str">
            <v>-</v>
          </cell>
          <cell r="E403">
            <v>1.13668210332729E-4</v>
          </cell>
          <cell r="F403">
            <v>1.76672814776608E-6</v>
          </cell>
          <cell r="G403">
            <v>1.2204642522365599E-6</v>
          </cell>
          <cell r="H403">
            <v>4.50896849417654E-7</v>
          </cell>
          <cell r="I403"/>
          <cell r="J403">
            <v>4.3803153209280698E-7</v>
          </cell>
          <cell r="K403"/>
        </row>
        <row r="404">
          <cell r="A404" t="str">
            <v>SCOM-SHCONBR9</v>
          </cell>
          <cell r="B404" t="str">
            <v>VAR_cap</v>
          </cell>
          <cell r="C404" t="str">
            <v>-</v>
          </cell>
          <cell r="E404">
            <v>1.13668210332729E-4</v>
          </cell>
          <cell r="F404">
            <v>1.1503581228330683E-4</v>
          </cell>
          <cell r="G404">
            <v>1.1581755626191148E-4</v>
          </cell>
          <cell r="H404">
            <v>1.1572189098294126E-4</v>
          </cell>
          <cell r="I404">
            <v>1.1537254365450789E-4</v>
          </cell>
          <cell r="J404">
            <v>6.816536040451169E-5</v>
          </cell>
          <cell r="K404"/>
        </row>
        <row r="405">
          <cell r="A405" t="str">
            <v>ITOT-SWHCOABR</v>
          </cell>
          <cell r="B405" t="str">
            <v>VAR_fout</v>
          </cell>
          <cell r="C405" t="str">
            <v>ITOT-SWH</v>
          </cell>
          <cell r="D405">
            <v>2.3675046449638706</v>
          </cell>
          <cell r="E405">
            <v>2.307526236939708</v>
          </cell>
          <cell r="F405">
            <v>8.6100965844087857E-2</v>
          </cell>
          <cell r="G405">
            <v>2.9365655056350394E-3</v>
          </cell>
          <cell r="H405">
            <v>2.6070217906024047E-2</v>
          </cell>
          <cell r="I405">
            <v>4.0795017065666109E-3</v>
          </cell>
          <cell r="J405">
            <v>2.3836737607569662E-5</v>
          </cell>
          <cell r="K405"/>
        </row>
        <row r="406">
          <cell r="A406" t="str">
            <v>ITOT-SWHCOABR</v>
          </cell>
          <cell r="B406" t="str">
            <v>VAR_fout</v>
          </cell>
          <cell r="C406" t="str">
            <v>CO2_I</v>
          </cell>
          <cell r="D406">
            <v>330.02658735060299</v>
          </cell>
          <cell r="E406">
            <v>321.18270595241898</v>
          </cell>
          <cell r="F406">
            <v>11.9573925599205</v>
          </cell>
          <cell r="G406">
            <v>0.40629794383935502</v>
          </cell>
          <cell r="H406">
            <v>3.5936196280868802</v>
          </cell>
          <cell r="I406">
            <v>0.56025156770181495</v>
          </cell>
          <cell r="J406">
            <v>3.24950820032604E-3</v>
          </cell>
          <cell r="K406"/>
        </row>
        <row r="407">
          <cell r="A407" t="str">
            <v>ITOT-SWHCOABR</v>
          </cell>
          <cell r="B407" t="str">
            <v>VAR_fin</v>
          </cell>
          <cell r="C407" t="str">
            <v>ICOA</v>
          </cell>
          <cell r="D407">
            <v>3.5601573608479287</v>
          </cell>
          <cell r="E407">
            <v>3.4647541095190793</v>
          </cell>
          <cell r="F407">
            <v>0.12899021100237884</v>
          </cell>
          <cell r="G407">
            <v>4.382933590500058E-3</v>
          </cell>
          <cell r="H407">
            <v>3.876612328033311E-2</v>
          </cell>
          <cell r="I407">
            <v>6.0437062319505354E-3</v>
          </cell>
          <cell r="J407">
            <v>3.5054025893484758E-5</v>
          </cell>
          <cell r="K407"/>
        </row>
        <row r="408">
          <cell r="A408" t="str">
            <v>ITOT-SWHCOABR</v>
          </cell>
          <cell r="B408" t="str">
            <v>VAR_ncap</v>
          </cell>
          <cell r="C408" t="str">
            <v>-</v>
          </cell>
          <cell r="E408">
            <v>1.34953670203996E-4</v>
          </cell>
          <cell r="F408">
            <v>1.54695638079946E-4</v>
          </cell>
          <cell r="G408">
            <v>1.7682412791727E-4</v>
          </cell>
          <cell r="H408">
            <v>2.2606975410579002E-3</v>
          </cell>
          <cell r="I408">
            <v>9.3792331652715801E-5</v>
          </cell>
          <cell r="J408">
            <v>9.9625660332793507E-6</v>
          </cell>
          <cell r="K408"/>
        </row>
        <row r="409">
          <cell r="A409" t="str">
            <v>ITOT-SWHCOABR</v>
          </cell>
          <cell r="B409" t="str">
            <v>VAR_cap</v>
          </cell>
          <cell r="C409" t="str">
            <v>-</v>
          </cell>
          <cell r="D409">
            <v>0.26172155007150499</v>
          </cell>
          <cell r="E409">
            <v>0.19891397974106109</v>
          </cell>
          <cell r="F409">
            <v>8.1722366375689415E-3</v>
          </cell>
          <cell r="G409">
            <v>2.8005988363022372E-4</v>
          </cell>
          <cell r="H409">
            <v>2.4215894081341116E-3</v>
          </cell>
          <cell r="I409">
            <v>3.8660272659986989E-4</v>
          </cell>
          <cell r="J409">
            <v>3.4319143262298828E-6</v>
          </cell>
          <cell r="K409"/>
        </row>
        <row r="410">
          <cell r="A410" t="str">
            <v>RHSA-WHDEM</v>
          </cell>
          <cell r="B410" t="str">
            <v>VAR_fout</v>
          </cell>
          <cell r="C410" t="str">
            <v>RHSA-WHD</v>
          </cell>
          <cell r="D410">
            <v>26.438654975424289</v>
          </cell>
          <cell r="E410">
            <v>25.92879146371218</v>
          </cell>
          <cell r="F410">
            <v>21.669378717171998</v>
          </cell>
          <cell r="G410">
            <v>22.092504130319799</v>
          </cell>
          <cell r="H410">
            <v>24.08147661452708</v>
          </cell>
          <cell r="I410">
            <v>26.685313554324502</v>
          </cell>
          <cell r="J410">
            <v>28.406752197009908</v>
          </cell>
        </row>
        <row r="411">
          <cell r="A411" t="str">
            <v>RHSA-WHDEM</v>
          </cell>
          <cell r="B411" t="str">
            <v>VAR_fin</v>
          </cell>
          <cell r="C411" t="str">
            <v>RHSA-WHNGA</v>
          </cell>
          <cell r="D411">
            <v>6.2141189557478809</v>
          </cell>
          <cell r="E411">
            <v>5.234427514074067</v>
          </cell>
          <cell r="F411">
            <v>5.2099595033103574</v>
          </cell>
          <cell r="G411">
            <v>3.4410111150976266</v>
          </cell>
          <cell r="H411">
            <v>2.3787463026388709</v>
          </cell>
          <cell r="I411">
            <v>1.4266726654080431</v>
          </cell>
          <cell r="J411">
            <v>0.63696238316615639</v>
          </cell>
          <cell r="K411"/>
        </row>
        <row r="412">
          <cell r="A412" t="str">
            <v>RHSA-WHDEM</v>
          </cell>
          <cell r="B412" t="str">
            <v>VAR_fin</v>
          </cell>
          <cell r="C412" t="str">
            <v>RHSA-WHLFO</v>
          </cell>
          <cell r="D412">
            <v>6.8073103847657119</v>
          </cell>
          <cell r="E412">
            <v>5.8533369348427566</v>
          </cell>
          <cell r="F412">
            <v>4.4838849417620761</v>
          </cell>
          <cell r="G412">
            <v>2.1233569891164636</v>
          </cell>
          <cell r="H412">
            <v>1.4576344151561547</v>
          </cell>
          <cell r="I412">
            <v>0.7336582495123265</v>
          </cell>
          <cell r="J412">
            <v>5.8377590972275684E-2</v>
          </cell>
          <cell r="K412"/>
        </row>
        <row r="413">
          <cell r="A413" t="str">
            <v>RHSA-WHDEM</v>
          </cell>
          <cell r="B413" t="str">
            <v>VAR_fin</v>
          </cell>
          <cell r="C413" t="str">
            <v>RHSA-WHWOD</v>
          </cell>
          <cell r="D413">
            <v>0.55631906756896887</v>
          </cell>
          <cell r="E413">
            <v>0.59639889242282418</v>
          </cell>
          <cell r="F413">
            <v>1.1874696275191177</v>
          </cell>
          <cell r="G413">
            <v>1.1596273046845882</v>
          </cell>
          <cell r="H413">
            <v>1.0750336478890454</v>
          </cell>
          <cell r="I413">
            <v>1.0025189772163225</v>
          </cell>
          <cell r="J413">
            <v>0.73458718736231066</v>
          </cell>
          <cell r="K413"/>
        </row>
        <row r="414">
          <cell r="A414" t="str">
            <v>RHSA-WHDEM</v>
          </cell>
          <cell r="B414" t="str">
            <v>VAR_fin</v>
          </cell>
          <cell r="C414" t="str">
            <v>RHSA-WHNGAH</v>
          </cell>
          <cell r="D414">
            <v>7.2128729389433127E-2</v>
          </cell>
          <cell r="E414">
            <v>1.0165150043234545E-3</v>
          </cell>
          <cell r="F414">
            <v>1.0926644785054909</v>
          </cell>
          <cell r="G414">
            <v>3.269919057941006</v>
          </cell>
          <cell r="H414">
            <v>4.5700176085521633</v>
          </cell>
          <cell r="I414">
            <v>5.9662844720483754</v>
          </cell>
          <cell r="J414">
            <v>6.6461530894050282</v>
          </cell>
        </row>
        <row r="415">
          <cell r="A415" t="str">
            <v>RHSA-WHDEM</v>
          </cell>
          <cell r="B415" t="str">
            <v>VAR_fin</v>
          </cell>
          <cell r="C415" t="str">
            <v>RHSA-WHNST</v>
          </cell>
          <cell r="D415">
            <v>2.5876170716456804E-2</v>
          </cell>
          <cell r="E415">
            <v>8.3374416397929507E-4</v>
          </cell>
          <cell r="F415">
            <v>9.9858092657333037E-5</v>
          </cell>
          <cell r="G415">
            <v>1.015975230837615E-4</v>
          </cell>
          <cell r="H415">
            <v>1.0900115390146497E-4</v>
          </cell>
          <cell r="I415">
            <v>1.1280270488939267E-4</v>
          </cell>
          <cell r="J415">
            <v>1.4070231269280037E-4</v>
          </cell>
        </row>
        <row r="416">
          <cell r="A416" t="str">
            <v>RHSA-WHDEM</v>
          </cell>
          <cell r="B416" t="str">
            <v>VAR_fin</v>
          </cell>
          <cell r="C416" t="str">
            <v>RHSA-WHPLT</v>
          </cell>
          <cell r="D416">
            <v>0.27002127484515764</v>
          </cell>
          <cell r="E416">
            <v>0.19438568313270321</v>
          </cell>
          <cell r="F416">
            <v>7.5412175777936102E-2</v>
          </cell>
          <cell r="G416">
            <v>0.10265907083754748</v>
          </cell>
          <cell r="H416">
            <v>0.11518950163641928</v>
          </cell>
          <cell r="I416">
            <v>0.13356185925187822</v>
          </cell>
          <cell r="J416">
            <v>0.1339551406786004</v>
          </cell>
          <cell r="K416"/>
        </row>
        <row r="417">
          <cell r="A417" t="str">
            <v>RHSA-WHDEM</v>
          </cell>
          <cell r="B417" t="str">
            <v>VAR_fin</v>
          </cell>
          <cell r="C417" t="str">
            <v>RHSA-WHLTHRD</v>
          </cell>
          <cell r="D417">
            <v>1.2756732442022332</v>
          </cell>
          <cell r="E417">
            <v>1.462363312970556</v>
          </cell>
          <cell r="F417">
            <v>0.95843876901028069</v>
          </cell>
          <cell r="G417">
            <v>1.4687673713999632</v>
          </cell>
          <cell r="H417">
            <v>1.691504571414981</v>
          </cell>
          <cell r="I417">
            <v>1.968016661271677</v>
          </cell>
          <cell r="J417">
            <v>2.1741278984645525</v>
          </cell>
          <cell r="K417"/>
        </row>
        <row r="418">
          <cell r="A418" t="str">
            <v>RHSA-WHDEM</v>
          </cell>
          <cell r="B418" t="str">
            <v>VAR_fin</v>
          </cell>
          <cell r="C418" t="str">
            <v>RHSA-WHELCB</v>
          </cell>
          <cell r="D418">
            <v>6.4723492587844653</v>
          </cell>
          <cell r="E418">
            <v>6.9676268868981461</v>
          </cell>
          <cell r="F418">
            <v>2.8224641674650459</v>
          </cell>
          <cell r="G418">
            <v>2.0095463626319026</v>
          </cell>
          <cell r="H418">
            <v>1.8601656617802675</v>
          </cell>
          <cell r="I418">
            <v>1.7216661835773075</v>
          </cell>
          <cell r="J418">
            <v>1.5552221046434098</v>
          </cell>
        </row>
        <row r="419">
          <cell r="A419" t="str">
            <v>RHSA-WHDEM</v>
          </cell>
          <cell r="B419" t="str">
            <v>VAR_fin</v>
          </cell>
          <cell r="C419" t="str">
            <v>RHSA-WHSOL</v>
          </cell>
          <cell r="D419">
            <v>1.6230417152948877</v>
          </cell>
          <cell r="E419">
            <v>1.9857357145221348</v>
          </cell>
          <cell r="F419">
            <v>0.93236758407444975</v>
          </cell>
          <cell r="G419">
            <v>1.0601286766748554</v>
          </cell>
          <cell r="H419">
            <v>1.1235728465051742</v>
          </cell>
          <cell r="I419">
            <v>1.2092592351113034</v>
          </cell>
          <cell r="J419">
            <v>1.2001718554086085</v>
          </cell>
        </row>
        <row r="420">
          <cell r="A420" t="str">
            <v>RHSA-WHDEM</v>
          </cell>
          <cell r="B420" t="str">
            <v>VAR_fin</v>
          </cell>
          <cell r="C420" t="str">
            <v>RHSA-WHELCH</v>
          </cell>
          <cell r="D420">
            <v>3.1235494429645434</v>
          </cell>
          <cell r="E420">
            <v>3.6343997734651601</v>
          </cell>
          <cell r="F420">
            <v>4.9090819278275069</v>
          </cell>
          <cell r="G420">
            <v>7.4598768871823147</v>
          </cell>
          <cell r="H420">
            <v>9.811866595632095</v>
          </cell>
          <cell r="I420">
            <v>12.525499988990321</v>
          </cell>
          <cell r="J420">
            <v>15.268982241950912</v>
          </cell>
          <cell r="K420"/>
        </row>
        <row r="421">
          <cell r="A421" t="str">
            <v>RHSA-WHNGAHP</v>
          </cell>
          <cell r="B421" t="str">
            <v>VAR_fout</v>
          </cell>
          <cell r="C421" t="str">
            <v>RHSA-WHANGAH</v>
          </cell>
          <cell r="F421">
            <v>1.0926357132304529</v>
          </cell>
          <cell r="G421">
            <v>3.2698639557431823</v>
          </cell>
          <cell r="H421">
            <v>4.5699062234998795</v>
          </cell>
          <cell r="I421">
            <v>5.9661597754892792</v>
          </cell>
          <cell r="J421">
            <v>6.6461113235281655</v>
          </cell>
          <cell r="K421"/>
        </row>
        <row r="422">
          <cell r="A422" t="str">
            <v>RHSA-WHNGAHP</v>
          </cell>
          <cell r="B422" t="str">
            <v>VAR_fout</v>
          </cell>
          <cell r="C422" t="str">
            <v>CO2_R</v>
          </cell>
          <cell r="F422">
            <v>30.4938763336528</v>
          </cell>
          <cell r="G422">
            <v>80.137987802175402</v>
          </cell>
          <cell r="H422">
            <v>105.87849778788301</v>
          </cell>
          <cell r="I422">
            <v>130.88737095673599</v>
          </cell>
          <cell r="J422">
            <v>120.992734954377</v>
          </cell>
        </row>
        <row r="423">
          <cell r="A423" t="str">
            <v>RHSA-WHNGAHP</v>
          </cell>
          <cell r="B423" t="str">
            <v>VAR_fin</v>
          </cell>
          <cell r="C423" t="str">
            <v>RNGA</v>
          </cell>
          <cell r="F423">
            <v>0.54067156619951751</v>
          </cell>
          <cell r="G423">
            <v>1.4208863085492085</v>
          </cell>
          <cell r="H423">
            <v>1.8772783295723885</v>
          </cell>
          <cell r="I423">
            <v>2.3206980666087866</v>
          </cell>
          <cell r="J423">
            <v>2.1452612580563235</v>
          </cell>
        </row>
        <row r="424">
          <cell r="A424" t="str">
            <v>RHSA-WHNGAHP</v>
          </cell>
          <cell r="B424" t="str">
            <v>VAR_ncap</v>
          </cell>
          <cell r="C424" t="str">
            <v>-</v>
          </cell>
          <cell r="E424">
            <v>1.2155642011933501E-5</v>
          </cell>
          <cell r="F424">
            <v>7.3020138815311303E-2</v>
          </cell>
          <cell r="G424">
            <v>0.14386512056468301</v>
          </cell>
          <cell r="H424">
            <v>9.5901906658163505E-2</v>
          </cell>
          <cell r="I424">
            <v>0.20154593591723999</v>
          </cell>
          <cell r="J424">
            <v>0.272481830370287</v>
          </cell>
          <cell r="K424"/>
        </row>
        <row r="425">
          <cell r="A425" t="str">
            <v>RHSA-WHNGAHP</v>
          </cell>
          <cell r="B425" t="str">
            <v>VAR_cap</v>
          </cell>
          <cell r="C425" t="str">
            <v>-</v>
          </cell>
          <cell r="D425">
            <v>4.7729432218241499E-11</v>
          </cell>
          <cell r="E425">
            <v>7.1374375691725684E-6</v>
          </cell>
          <cell r="F425">
            <v>7.302601569350102E-2</v>
          </cell>
          <cell r="G425">
            <v>0.21689064070113293</v>
          </cell>
          <cell r="H425">
            <v>0.31278061166842974</v>
          </cell>
          <cell r="I425">
            <v>0.40862951015237597</v>
          </cell>
          <cell r="J425">
            <v>0.45931283681379509</v>
          </cell>
          <cell r="K425"/>
        </row>
        <row r="426">
          <cell r="A426" t="str">
            <v>SCOM-SHSTG-ELCHP</v>
          </cell>
          <cell r="B426" t="str">
            <v>VAR_fout</v>
          </cell>
          <cell r="C426" t="str">
            <v>SCOM-SHAELCH</v>
          </cell>
          <cell r="D426">
            <v>3.5436336217163248E-4</v>
          </cell>
          <cell r="E426">
            <v>3.6482215342023073E-4</v>
          </cell>
          <cell r="F426">
            <v>3.9190081420832385E-4</v>
          </cell>
          <cell r="G426">
            <v>4.0556666590669497E-4</v>
          </cell>
          <cell r="H426">
            <v>3.5745530068694855E-4</v>
          </cell>
          <cell r="I426">
            <v>3.6530680276368981E-4</v>
          </cell>
          <cell r="J426">
            <v>2.2172891584572194E-4</v>
          </cell>
        </row>
        <row r="427">
          <cell r="A427" t="str">
            <v>SCOM-SHSTG-ELCHP</v>
          </cell>
          <cell r="B427" t="str">
            <v>VAR_fin</v>
          </cell>
          <cell r="C427" t="str">
            <v>SCOM-SHAELCH</v>
          </cell>
          <cell r="D427">
            <v>4.6492173466307736E-4</v>
          </cell>
          <cell r="E427">
            <v>4.6106613107833579E-4</v>
          </cell>
          <cell r="F427">
            <v>4.1284122321184414E-4</v>
          </cell>
          <cell r="G427">
            <v>4.4780446477233444E-4</v>
          </cell>
          <cell r="H427">
            <v>3.59938966048281E-4</v>
          </cell>
          <cell r="I427">
            <v>3.9649502372748912E-4</v>
          </cell>
          <cell r="J427">
            <v>2.4047011796547347E-4</v>
          </cell>
        </row>
        <row r="428">
          <cell r="A428" t="str">
            <v>SCOM-SHSTG-ELCHP</v>
          </cell>
          <cell r="B428" t="str">
            <v>VAR_ncap</v>
          </cell>
          <cell r="C428" t="str">
            <v>-</v>
          </cell>
          <cell r="D428">
            <v>0.103922464914255</v>
          </cell>
          <cell r="E428">
            <v>1.5033560052458901E-3</v>
          </cell>
          <cell r="F428">
            <v>1.2701976762125001E-3</v>
          </cell>
          <cell r="G428">
            <v>4.8014967082521801E-2</v>
          </cell>
          <cell r="H428">
            <v>0.13906245422285399</v>
          </cell>
          <cell r="I428">
            <v>0.11776258960007301</v>
          </cell>
          <cell r="J428">
            <v>0.194354966409403</v>
          </cell>
          <cell r="K428"/>
        </row>
        <row r="429">
          <cell r="A429" t="str">
            <v>SCOM-SHSTG-ELCHP</v>
          </cell>
          <cell r="B429" t="str">
            <v>VAR_cap</v>
          </cell>
          <cell r="C429" t="str">
            <v>-</v>
          </cell>
          <cell r="D429">
            <v>0.103922464914255</v>
          </cell>
          <cell r="E429">
            <v>0.10133381470316592</v>
          </cell>
          <cell r="F429">
            <v>0.10134288656198828</v>
          </cell>
          <cell r="G429">
            <v>0.14886345078857885</v>
          </cell>
          <cell r="H429">
            <v>0.21092857554549899</v>
          </cell>
          <cell r="I429">
            <v>0.28859043233385795</v>
          </cell>
          <cell r="J429">
            <v>0.33754901549553917</v>
          </cell>
          <cell r="K429"/>
        </row>
        <row r="430">
          <cell r="A430" t="str">
            <v>RHEM-SHLFOBR</v>
          </cell>
          <cell r="B430" t="str">
            <v>VAR_fout</v>
          </cell>
          <cell r="C430" t="str">
            <v>CO2_R</v>
          </cell>
          <cell r="D430">
            <v>1928.7243838209699</v>
          </cell>
          <cell r="E430">
            <v>1537.4272806643</v>
          </cell>
          <cell r="F430">
            <v>1741.6949708731299</v>
          </cell>
          <cell r="G430">
            <v>900.20132426777104</v>
          </cell>
          <cell r="H430">
            <v>594.908090495073</v>
          </cell>
          <cell r="I430">
            <v>221.636171198727</v>
          </cell>
          <cell r="J430">
            <v>24.018413228654801</v>
          </cell>
          <cell r="K430"/>
        </row>
        <row r="431">
          <cell r="A431" t="str">
            <v>RHEM-SHLFOBR</v>
          </cell>
          <cell r="B431" t="str">
            <v>VAR_fout</v>
          </cell>
          <cell r="C431" t="str">
            <v>RHEM-SHLFO</v>
          </cell>
          <cell r="D431">
            <v>23.443902223061329</v>
          </cell>
          <cell r="E431">
            <v>18.687633725849473</v>
          </cell>
          <cell r="F431">
            <v>20.242037192146782</v>
          </cell>
          <cell r="G431">
            <v>10.639365002492285</v>
          </cell>
          <cell r="H431">
            <v>7.0311430866436293</v>
          </cell>
          <cell r="I431">
            <v>2.6194897292071735</v>
          </cell>
          <cell r="J431">
            <v>0.28387057231692631</v>
          </cell>
          <cell r="K431"/>
        </row>
        <row r="432">
          <cell r="A432" t="str">
            <v>RHEM-SHLFOBR</v>
          </cell>
          <cell r="B432" t="str">
            <v>VAR_fin</v>
          </cell>
          <cell r="C432" t="str">
            <v>RLFO</v>
          </cell>
          <cell r="D432">
            <v>26.169937365277733</v>
          </cell>
          <cell r="E432">
            <v>20.860614391645907</v>
          </cell>
          <cell r="F432">
            <v>23.632224842240507</v>
          </cell>
          <cell r="G432">
            <v>12.21440060064818</v>
          </cell>
          <cell r="H432">
            <v>8.0720229375179446</v>
          </cell>
          <cell r="I432">
            <v>3.0072750501862577</v>
          </cell>
          <cell r="J432">
            <v>0.3258943450292372</v>
          </cell>
          <cell r="K432"/>
        </row>
        <row r="433">
          <cell r="A433" t="str">
            <v>RHEM-SHLFOBR</v>
          </cell>
          <cell r="B433" t="str">
            <v>VAR_ncap</v>
          </cell>
          <cell r="C433" t="str">
            <v>-</v>
          </cell>
          <cell r="E433">
            <v>6.83385215327914E-6</v>
          </cell>
          <cell r="F433">
            <v>7.7883971849174195E-6</v>
          </cell>
          <cell r="G433">
            <v>7.5665059624373897E-6</v>
          </cell>
          <cell r="H433">
            <v>8.3835855925899996E-2</v>
          </cell>
          <cell r="I433">
            <v>0.103448667031192</v>
          </cell>
          <cell r="J433">
            <v>3.5296621638672299E-6</v>
          </cell>
          <cell r="K433"/>
        </row>
        <row r="434">
          <cell r="A434" t="str">
            <v>RHEM-SHLFOBR</v>
          </cell>
          <cell r="B434" t="str">
            <v>VAR_cap</v>
          </cell>
          <cell r="C434" t="str">
            <v>-</v>
          </cell>
          <cell r="D434">
            <v>1.65587464377338</v>
          </cell>
          <cell r="E434">
            <v>1.6392095137916001</v>
          </cell>
          <cell r="F434">
            <v>1.6385857977702225</v>
          </cell>
          <cell r="G434">
            <v>1.6336409475130818</v>
          </cell>
          <cell r="H434">
            <v>0.50747819180810616</v>
          </cell>
          <cell r="I434">
            <v>0.18728012788096607</v>
          </cell>
          <cell r="J434">
            <v>3.1241839813963404E-2</v>
          </cell>
          <cell r="K434"/>
        </row>
        <row r="435">
          <cell r="A435" t="str">
            <v>RHES-SHNGAHP</v>
          </cell>
          <cell r="B435" t="str">
            <v>VAR_fout</v>
          </cell>
          <cell r="C435" t="str">
            <v>RHES-SHANGAH</v>
          </cell>
          <cell r="F435">
            <v>2.2604374736608484</v>
          </cell>
          <cell r="G435">
            <v>5.4980173834431394</v>
          </cell>
          <cell r="H435">
            <v>6.5772807512249694</v>
          </cell>
          <cell r="I435">
            <v>7.665931605124479</v>
          </cell>
          <cell r="J435">
            <v>7.0922339913544992</v>
          </cell>
          <cell r="K435"/>
        </row>
        <row r="436">
          <cell r="A436" t="str">
            <v>RHES-SHNGAHP</v>
          </cell>
          <cell r="B436" t="str">
            <v>VAR_fout</v>
          </cell>
          <cell r="C436" t="str">
            <v>CO2_R</v>
          </cell>
          <cell r="F436">
            <v>70.247804467185105</v>
          </cell>
          <cell r="G436">
            <v>163.46964728901401</v>
          </cell>
          <cell r="H436">
            <v>192.30692832864</v>
          </cell>
          <cell r="I436">
            <v>219.95004418458601</v>
          </cell>
          <cell r="J436">
            <v>191.39764413418899</v>
          </cell>
          <cell r="K436"/>
        </row>
        <row r="437">
          <cell r="A437" t="str">
            <v>RHES-SHNGAHP</v>
          </cell>
          <cell r="B437" t="str">
            <v>VAR_fin</v>
          </cell>
          <cell r="C437" t="str">
            <v>RHESELCHPC</v>
          </cell>
          <cell r="F437">
            <v>2.2604374736608484</v>
          </cell>
          <cell r="G437">
            <v>5.4980173834431394</v>
          </cell>
          <cell r="H437">
            <v>6.5772807512249694</v>
          </cell>
          <cell r="I437">
            <v>7.665931605124479</v>
          </cell>
          <cell r="J437">
            <v>7.0922339913544992</v>
          </cell>
          <cell r="K437"/>
        </row>
        <row r="438">
          <cell r="A438" t="str">
            <v>RHES-SHNGAHP</v>
          </cell>
          <cell r="B438" t="str">
            <v>VAR_fin</v>
          </cell>
          <cell r="C438" t="str">
            <v>RNGA</v>
          </cell>
          <cell r="F438">
            <v>1.2455284479997359</v>
          </cell>
          <cell r="G438">
            <v>2.8983980015782658</v>
          </cell>
          <cell r="H438">
            <v>3.4096973107914845</v>
          </cell>
          <cell r="I438">
            <v>3.8998234784501018</v>
          </cell>
          <cell r="J438">
            <v>3.3935752506061823</v>
          </cell>
          <cell r="K438"/>
        </row>
        <row r="439">
          <cell r="A439" t="str">
            <v>RHES-SHNGAHP</v>
          </cell>
          <cell r="B439" t="str">
            <v>VAR_ncap</v>
          </cell>
          <cell r="C439" t="str">
            <v>-</v>
          </cell>
          <cell r="E439">
            <v>5.8234949973101697E-6</v>
          </cell>
          <cell r="F439">
            <v>0.18302156316620299</v>
          </cell>
          <cell r="G439">
            <v>0.26133878972106001</v>
          </cell>
          <cell r="H439">
            <v>8.7450080116015599E-2</v>
          </cell>
          <cell r="I439">
            <v>0.32223883093355998</v>
          </cell>
          <cell r="J439">
            <v>0.30322373174769202</v>
          </cell>
          <cell r="K439"/>
        </row>
        <row r="440">
          <cell r="A440" t="str">
            <v>RHES-SHNGAHP</v>
          </cell>
          <cell r="B440" t="str">
            <v>VAR_cap</v>
          </cell>
          <cell r="C440" t="str">
            <v>-</v>
          </cell>
          <cell r="E440">
            <v>5.8234949973101697E-6</v>
          </cell>
          <cell r="F440">
            <v>0.18302499252348023</v>
          </cell>
          <cell r="G440">
            <v>0.44436319313904526</v>
          </cell>
          <cell r="H440">
            <v>0.53180587875794394</v>
          </cell>
          <cell r="I440">
            <v>0.62059071222479878</v>
          </cell>
          <cell r="J440">
            <v>0.57407152480624313</v>
          </cell>
        </row>
        <row r="441">
          <cell r="A441" t="str">
            <v>D-RHES_LTH_CHPWOD</v>
          </cell>
          <cell r="B441" t="str">
            <v>VAR_fout</v>
          </cell>
          <cell r="C441" t="str">
            <v>RHES_LTH_CHPWOD_ON</v>
          </cell>
          <cell r="D441">
            <v>5.382490178127686E-4</v>
          </cell>
          <cell r="E441">
            <v>1.4868872976468454E-4</v>
          </cell>
          <cell r="F441">
            <v>7.1914984971815118E-5</v>
          </cell>
          <cell r="G441">
            <v>6.7755334321466267E-5</v>
          </cell>
          <cell r="H441">
            <v>1.5292889127553199E-4</v>
          </cell>
          <cell r="I441">
            <v>1.8184781027314094E-4</v>
          </cell>
          <cell r="J441">
            <v>7.2314456069522899E-5</v>
          </cell>
        </row>
        <row r="442">
          <cell r="A442" t="str">
            <v>D-RHES_LTH_CHPWOD</v>
          </cell>
          <cell r="B442" t="str">
            <v>VAR_fout</v>
          </cell>
          <cell r="C442" t="str">
            <v>RHSA_LTH</v>
          </cell>
          <cell r="D442">
            <v>3.9443554742480227E-4</v>
          </cell>
          <cell r="E442">
            <v>4.0509274502145291E-4</v>
          </cell>
          <cell r="F442">
            <v>1.5997700512551514E-4</v>
          </cell>
          <cell r="G442">
            <v>3.6242140184151566E-4</v>
          </cell>
          <cell r="H442">
            <v>2.2638270732905792E-4</v>
          </cell>
          <cell r="I442">
            <v>2.1476353766987919E-4</v>
          </cell>
          <cell r="J442">
            <v>2.1191277494478467E-4</v>
          </cell>
          <cell r="K442"/>
        </row>
        <row r="443">
          <cell r="A443" t="str">
            <v>D-RHES_LTH_CHPWOD</v>
          </cell>
          <cell r="B443" t="str">
            <v>VAR_fout</v>
          </cell>
          <cell r="C443" t="str">
            <v>LTH</v>
          </cell>
          <cell r="E443">
            <v>9.73863017620633E-6</v>
          </cell>
          <cell r="F443">
            <v>9.6416999833410417E-6</v>
          </cell>
          <cell r="G443">
            <v>2.0943032281986077E-5</v>
          </cell>
          <cell r="H443">
            <v>3.3484240212209424E-5</v>
          </cell>
          <cell r="I443">
            <v>1.0237587962459503E-4</v>
          </cell>
          <cell r="J443">
            <v>1.169285591380002E-4</v>
          </cell>
          <cell r="K443"/>
        </row>
        <row r="444">
          <cell r="A444" t="str">
            <v>D-RHES_LTH_CHPWOD</v>
          </cell>
          <cell r="B444" t="str">
            <v>VAR_fin</v>
          </cell>
          <cell r="C444" t="str">
            <v>RHES_LTH_CHPWOD</v>
          </cell>
          <cell r="D444">
            <v>9.3268456523757054E-4</v>
          </cell>
          <cell r="E444">
            <v>5.6352010496234391E-4</v>
          </cell>
          <cell r="F444">
            <v>2.4153369008067126E-4</v>
          </cell>
          <cell r="G444">
            <v>4.5111976844496834E-4</v>
          </cell>
          <cell r="H444">
            <v>4.127958388167992E-4</v>
          </cell>
          <cell r="I444">
            <v>4.9898722756761547E-4</v>
          </cell>
          <cell r="J444">
            <v>4.0115579015230832E-4</v>
          </cell>
        </row>
        <row r="445">
          <cell r="A445" t="str">
            <v>ITOT-SWHSOLBR</v>
          </cell>
          <cell r="B445" t="str">
            <v>VAR_fout</v>
          </cell>
          <cell r="C445" t="str">
            <v>ITOT-SWHASOL</v>
          </cell>
          <cell r="D445">
            <v>6.8107582252723106E-2</v>
          </cell>
          <cell r="E445">
            <v>8.5601774398449418E-2</v>
          </cell>
          <cell r="F445">
            <v>0.10204303950376965</v>
          </cell>
          <cell r="G445">
            <v>2.3313497198267528</v>
          </cell>
          <cell r="H445">
            <v>2.2816749892569783</v>
          </cell>
          <cell r="I445">
            <v>1.9427122909535901</v>
          </cell>
          <cell r="J445">
            <v>1.5090813673207693</v>
          </cell>
        </row>
        <row r="446">
          <cell r="A446" t="str">
            <v>ITOT-SWHSOLBR</v>
          </cell>
          <cell r="B446" t="str">
            <v>VAR_fin</v>
          </cell>
          <cell r="C446" t="str">
            <v>SOL</v>
          </cell>
          <cell r="D446">
            <v>6.8107582252723106E-2</v>
          </cell>
          <cell r="E446">
            <v>8.5601774398449418E-2</v>
          </cell>
          <cell r="F446">
            <v>0.10204303950376965</v>
          </cell>
          <cell r="G446">
            <v>2.3313497198267528</v>
          </cell>
          <cell r="H446">
            <v>2.2816749892569783</v>
          </cell>
          <cell r="I446">
            <v>1.9427122909535901</v>
          </cell>
          <cell r="J446">
            <v>1.5090813673207693</v>
          </cell>
          <cell r="K446"/>
        </row>
        <row r="447">
          <cell r="A447" t="str">
            <v>ITOT-SWHSOLBR</v>
          </cell>
          <cell r="B447" t="str">
            <v>VAR_ncap</v>
          </cell>
          <cell r="C447" t="str">
            <v>-</v>
          </cell>
          <cell r="E447">
            <v>0.34313327500594498</v>
          </cell>
          <cell r="F447">
            <v>8.8488025322031299E-7</v>
          </cell>
          <cell r="G447">
            <v>1.0531388969334801E-6</v>
          </cell>
          <cell r="H447">
            <v>0.17458467285475501</v>
          </cell>
          <cell r="I447">
            <v>0.178329680407118</v>
          </cell>
          <cell r="J447">
            <v>0.151758318404799</v>
          </cell>
        </row>
        <row r="448">
          <cell r="A448" t="str">
            <v>ITOT-SWHSOLBR</v>
          </cell>
          <cell r="B448" t="str">
            <v>VAR_cap</v>
          </cell>
          <cell r="C448" t="str">
            <v>-</v>
          </cell>
          <cell r="D448">
            <v>9.8214799778629808E-3</v>
          </cell>
          <cell r="E448">
            <v>0.35295475498380796</v>
          </cell>
          <cell r="F448">
            <v>0.35295563986406198</v>
          </cell>
          <cell r="G448">
            <v>0.35295669300295796</v>
          </cell>
          <cell r="H448">
            <v>0.35293586525050258</v>
          </cell>
          <cell r="I448">
            <v>0.352915229273015</v>
          </cell>
          <cell r="J448">
            <v>0.35502652860238598</v>
          </cell>
        </row>
        <row r="449">
          <cell r="A449" t="str">
            <v>SCOM-SHNGAHP</v>
          </cell>
          <cell r="B449" t="str">
            <v>VAR_fout</v>
          </cell>
          <cell r="C449" t="str">
            <v>SCOM-SHANGAH</v>
          </cell>
          <cell r="F449">
            <v>2.3718667742634878</v>
          </cell>
          <cell r="G449">
            <v>6.621999952675254</v>
          </cell>
          <cell r="H449">
            <v>8.6337602659160684</v>
          </cell>
          <cell r="I449">
            <v>11.067917154214001</v>
          </cell>
          <cell r="J449">
            <v>11.379359541489546</v>
          </cell>
        </row>
        <row r="450">
          <cell r="A450" t="str">
            <v>SCOM-SHNGAHP</v>
          </cell>
          <cell r="B450" t="str">
            <v>VAR_fout</v>
          </cell>
          <cell r="C450" t="str">
            <v>CO2_S</v>
          </cell>
          <cell r="F450">
            <v>69.718644533660594</v>
          </cell>
          <cell r="G450">
            <v>186.15308141094201</v>
          </cell>
          <cell r="H450">
            <v>236.773952801571</v>
          </cell>
          <cell r="I450">
            <v>295.82341577373103</v>
          </cell>
          <cell r="J450">
            <v>279.62555028187302</v>
          </cell>
        </row>
        <row r="451">
          <cell r="A451" t="str">
            <v>SCOM-SHNGAHP</v>
          </cell>
          <cell r="B451" t="str">
            <v>VAR_fin</v>
          </cell>
          <cell r="C451" t="str">
            <v>SCOMELCHPC</v>
          </cell>
          <cell r="F451">
            <v>2.3718667742634878</v>
          </cell>
          <cell r="G451">
            <v>6.621999952675254</v>
          </cell>
          <cell r="H451">
            <v>8.6337602659160684</v>
          </cell>
          <cell r="I451">
            <v>11.067917154214001</v>
          </cell>
          <cell r="J451">
            <v>11.379359541489546</v>
          </cell>
        </row>
        <row r="452">
          <cell r="A452" t="str">
            <v>SCOM-SHNGAHP</v>
          </cell>
          <cell r="B452" t="str">
            <v>VAR_fin</v>
          </cell>
          <cell r="C452" t="str">
            <v>SNGA</v>
          </cell>
          <cell r="F452">
            <v>1.2361461796748339</v>
          </cell>
          <cell r="G452">
            <v>3.3005865498394074</v>
          </cell>
          <cell r="H452">
            <v>4.1981197305243123</v>
          </cell>
          <cell r="I452">
            <v>5.2450960243569282</v>
          </cell>
          <cell r="J452">
            <v>4.9578998276927866</v>
          </cell>
        </row>
        <row r="453">
          <cell r="A453" t="str">
            <v>SCOM-SHNGAHP</v>
          </cell>
          <cell r="B453" t="str">
            <v>VAR_ncap</v>
          </cell>
          <cell r="C453" t="str">
            <v>-</v>
          </cell>
          <cell r="D453">
            <v>7.2945082589676304E-6</v>
          </cell>
          <cell r="E453">
            <v>1.1004426603172699E-3</v>
          </cell>
          <cell r="F453">
            <v>0.184093500600783</v>
          </cell>
          <cell r="G453">
            <v>0.327606639103666</v>
          </cell>
          <cell r="H453">
            <v>0.157072648138671</v>
          </cell>
          <cell r="I453">
            <v>0.44710072916674998</v>
          </cell>
          <cell r="J453">
            <v>0.49932433927963399</v>
          </cell>
        </row>
        <row r="454">
          <cell r="A454" t="str">
            <v>SCOM-SHNGAHP</v>
          </cell>
          <cell r="B454" t="str">
            <v>VAR_cap</v>
          </cell>
          <cell r="C454" t="str">
            <v>-</v>
          </cell>
          <cell r="D454">
            <v>7.2945082589676304E-6</v>
          </cell>
          <cell r="E454">
            <v>1.1029641355939169E-3</v>
          </cell>
          <cell r="F454">
            <v>0.18519308585200112</v>
          </cell>
          <cell r="G454">
            <v>0.51279718208965319</v>
          </cell>
          <cell r="H454">
            <v>0.66931594286762641</v>
          </cell>
          <cell r="I454">
            <v>0.86051782019620926</v>
          </cell>
          <cell r="J454">
            <v>0.89023581513732908</v>
          </cell>
        </row>
        <row r="455">
          <cell r="A455" t="str">
            <v>RHNS-SHNGABR</v>
          </cell>
          <cell r="B455" t="str">
            <v>VAR_fout</v>
          </cell>
          <cell r="C455" t="str">
            <v>CO2_R</v>
          </cell>
          <cell r="E455">
            <v>6.0708568208921001</v>
          </cell>
          <cell r="F455">
            <v>2.37046534435351</v>
          </cell>
          <cell r="G455">
            <v>5.1279269403334</v>
          </cell>
          <cell r="H455">
            <v>5.1122419188940897</v>
          </cell>
          <cell r="I455">
            <v>4.7828460518915996</v>
          </cell>
          <cell r="J455">
            <v>2.0661375459898799</v>
          </cell>
        </row>
        <row r="456">
          <cell r="A456" t="str">
            <v>RHNS-SHNGABR</v>
          </cell>
          <cell r="B456" t="str">
            <v>VAR_fout</v>
          </cell>
          <cell r="C456" t="str">
            <v>RHNS-SHNGA</v>
          </cell>
          <cell r="E456">
            <v>0.10225734006821806</v>
          </cell>
          <cell r="F456">
            <v>4.0331251343500275E-2</v>
          </cell>
          <cell r="G456">
            <v>8.7246882049691651E-2</v>
          </cell>
          <cell r="H456">
            <v>8.6980016076095221E-2</v>
          </cell>
          <cell r="I456">
            <v>8.1375653398854511E-2</v>
          </cell>
          <cell r="J456">
            <v>3.5153398414388817E-2</v>
          </cell>
        </row>
        <row r="457">
          <cell r="A457" t="str">
            <v>RHNS-SHNGABR</v>
          </cell>
          <cell r="B457" t="str">
            <v>VAR_fin</v>
          </cell>
          <cell r="C457" t="str">
            <v>RNGA</v>
          </cell>
          <cell r="E457">
            <v>0.10763930533496632</v>
          </cell>
          <cell r="F457">
            <v>4.202952738215452E-2</v>
          </cell>
          <cell r="G457">
            <v>9.0920690431443241E-2</v>
          </cell>
          <cell r="H457">
            <v>9.0642587214434203E-2</v>
          </cell>
          <cell r="I457">
            <v>8.4802234962617087E-2</v>
          </cell>
          <cell r="J457">
            <v>3.6633644432444594E-2</v>
          </cell>
        </row>
        <row r="458">
          <cell r="A458" t="str">
            <v>RHNS-SHNGABR</v>
          </cell>
          <cell r="B458" t="str">
            <v>VAR_ncap</v>
          </cell>
          <cell r="C458" t="str">
            <v>-</v>
          </cell>
          <cell r="E458">
            <v>8.1999461427128498E-3</v>
          </cell>
          <cell r="F458">
            <v>2.2483629102857801E-5</v>
          </cell>
          <cell r="G458">
            <v>1.58988682855729E-5</v>
          </cell>
          <cell r="H458">
            <v>4.2619961144191596E-3</v>
          </cell>
          <cell r="I458">
            <v>2.7134544615970901E-3</v>
          </cell>
          <cell r="J458">
            <v>4.8475473071260699E-5</v>
          </cell>
        </row>
        <row r="459">
          <cell r="A459" t="str">
            <v>RHNS-SHNGABR</v>
          </cell>
          <cell r="B459" t="str">
            <v>VAR_cap</v>
          </cell>
          <cell r="C459" t="str">
            <v>-</v>
          </cell>
          <cell r="E459">
            <v>8.1999461427128498E-3</v>
          </cell>
          <cell r="F459">
            <v>8.2145681237354821E-3</v>
          </cell>
          <cell r="G459">
            <v>8.2218003194307557E-3</v>
          </cell>
          <cell r="H459">
            <v>8.4693988098903661E-3</v>
          </cell>
          <cell r="I459">
            <v>6.9793609146918557E-3</v>
          </cell>
          <cell r="J459">
            <v>3.8076004834184849E-3</v>
          </cell>
        </row>
        <row r="460">
          <cell r="A460" t="str">
            <v>D-RHNM_LTH_CHPNGA</v>
          </cell>
          <cell r="B460" t="str">
            <v>VAR_fout</v>
          </cell>
          <cell r="C460" t="str">
            <v>RHSA_LTH</v>
          </cell>
          <cell r="D460">
            <v>4.0734707669926116E-4</v>
          </cell>
          <cell r="E460">
            <v>6.2575142036286275E-3</v>
          </cell>
          <cell r="F460">
            <v>1.6589833765079585E-2</v>
          </cell>
          <cell r="G460">
            <v>3.54494107695061E-4</v>
          </cell>
          <cell r="H460">
            <v>2.6882745653693393E-4</v>
          </cell>
          <cell r="I460">
            <v>2.9292069302410068E-4</v>
          </cell>
          <cell r="J460">
            <v>2.7420988646864825E-4</v>
          </cell>
        </row>
        <row r="461">
          <cell r="A461" t="str">
            <v>D-RHNM_LTH_CHPNGA</v>
          </cell>
          <cell r="B461" t="str">
            <v>VAR_fout</v>
          </cell>
          <cell r="C461" t="str">
            <v>LTH</v>
          </cell>
          <cell r="E461">
            <v>3.5321755210567951E-6</v>
          </cell>
          <cell r="F461">
            <v>6.8358881013492334E-6</v>
          </cell>
          <cell r="G461">
            <v>2.0960940941049377E-5</v>
          </cell>
          <cell r="H461">
            <v>3.4685841422163374E-5</v>
          </cell>
          <cell r="I461">
            <v>1.0666649735981062E-4</v>
          </cell>
          <cell r="J461">
            <v>1.2376847937693627E-4</v>
          </cell>
        </row>
        <row r="462">
          <cell r="A462" t="str">
            <v>D-RHNM_LTH_CHPNGA</v>
          </cell>
          <cell r="B462" t="str">
            <v>VAR_fout</v>
          </cell>
          <cell r="C462" t="str">
            <v>RHNM_LTH_CHPNGA_ON</v>
          </cell>
          <cell r="D462">
            <v>5.2522698576197471E-4</v>
          </cell>
          <cell r="E462">
            <v>2.7657652985912645E-3</v>
          </cell>
          <cell r="G462">
            <v>7.5679727935820039E-5</v>
          </cell>
          <cell r="H462">
            <v>1.1058217858977702E-4</v>
          </cell>
          <cell r="I462">
            <v>1.51149038985125E-4</v>
          </cell>
          <cell r="J462">
            <v>6.2929794167410267E-5</v>
          </cell>
        </row>
        <row r="463">
          <cell r="A463" t="str">
            <v>D-RHNM_LTH_CHPNGA</v>
          </cell>
          <cell r="B463" t="str">
            <v>VAR_fin</v>
          </cell>
          <cell r="C463" t="str">
            <v>RHNM_LTH_CHPNGA</v>
          </cell>
          <cell r="D463">
            <v>9.3257406246123533E-4</v>
          </cell>
          <cell r="E463">
            <v>9.0272466060294758E-3</v>
          </cell>
          <cell r="F463">
            <v>1.6596669653180938E-2</v>
          </cell>
          <cell r="G463">
            <v>4.5113477657193057E-4</v>
          </cell>
          <cell r="H463">
            <v>4.1409547654887421E-4</v>
          </cell>
          <cell r="I463">
            <v>5.5073622936903648E-4</v>
          </cell>
          <cell r="J463">
            <v>4.6090816001299472E-4</v>
          </cell>
        </row>
        <row r="464">
          <cell r="A464" t="str">
            <v>RHNM-SHELCHP</v>
          </cell>
          <cell r="B464" t="str">
            <v>VAR_fout</v>
          </cell>
          <cell r="C464" t="str">
            <v>RHNM-SHAELCH</v>
          </cell>
          <cell r="E464">
            <v>7.5536230209735811E-3</v>
          </cell>
          <cell r="F464">
            <v>0.93952595332088373</v>
          </cell>
          <cell r="G464">
            <v>1.4406614028610831</v>
          </cell>
          <cell r="H464">
            <v>1.9495996668508624</v>
          </cell>
          <cell r="I464">
            <v>2.3712930841478994</v>
          </cell>
          <cell r="J464">
            <v>3.0108881216637196</v>
          </cell>
        </row>
        <row r="465">
          <cell r="A465" t="str">
            <v>RHNM-SHELCHP</v>
          </cell>
          <cell r="B465" t="str">
            <v>VAR_fin</v>
          </cell>
          <cell r="C465" t="str">
            <v>RHNM_ELC</v>
          </cell>
          <cell r="E465">
            <v>2.3218103548074548E-3</v>
          </cell>
          <cell r="F465">
            <v>0.27997671124155438</v>
          </cell>
          <cell r="G465">
            <v>0.40783215068754231</v>
          </cell>
          <cell r="H465">
            <v>0.52774001059291531</v>
          </cell>
          <cell r="I465">
            <v>0.61871042529055909</v>
          </cell>
          <cell r="J465">
            <v>0.72939241710007374</v>
          </cell>
        </row>
        <row r="466">
          <cell r="A466" t="str">
            <v>RHNM-SHELCHP</v>
          </cell>
          <cell r="B466" t="str">
            <v>VAR_fin</v>
          </cell>
          <cell r="C466" t="str">
            <v>RHNMELCHPC</v>
          </cell>
          <cell r="E466">
            <v>7.5536230209735811E-3</v>
          </cell>
          <cell r="F466">
            <v>0.93952595332088373</v>
          </cell>
          <cell r="G466">
            <v>1.4406614028610831</v>
          </cell>
          <cell r="H466">
            <v>1.9495996668508624</v>
          </cell>
          <cell r="I466">
            <v>2.3712930841478994</v>
          </cell>
          <cell r="J466">
            <v>3.0108881216637196</v>
          </cell>
        </row>
        <row r="467">
          <cell r="A467" t="str">
            <v>RHNM-SHELCHP</v>
          </cell>
          <cell r="B467" t="str">
            <v>VAR_ncap</v>
          </cell>
          <cell r="C467" t="str">
            <v>-</v>
          </cell>
          <cell r="E467">
            <v>2.3208457636032199E-3</v>
          </cell>
          <cell r="F467">
            <v>7.3034329447363197E-2</v>
          </cell>
          <cell r="G467">
            <v>4.0579580972990803E-2</v>
          </cell>
          <cell r="H467">
            <v>3.9282911173004503E-2</v>
          </cell>
          <cell r="I467">
            <v>0.10787329497138699</v>
          </cell>
          <cell r="J467">
            <v>0.139609040318663</v>
          </cell>
        </row>
        <row r="468">
          <cell r="A468" t="str">
            <v>RHNM-SHELCHP</v>
          </cell>
          <cell r="B468" t="str">
            <v>VAR_cap</v>
          </cell>
          <cell r="C468" t="str">
            <v>-</v>
          </cell>
          <cell r="E468">
            <v>2.3208457636032199E-3</v>
          </cell>
          <cell r="F468">
            <v>7.5351075253536945E-2</v>
          </cell>
          <cell r="G468">
            <v>0.11591861507969782</v>
          </cell>
          <cell r="H468">
            <v>0.15406395248521948</v>
          </cell>
          <cell r="I468">
            <v>0.18779621930430043</v>
          </cell>
          <cell r="J468">
            <v>0.23450823808175922</v>
          </cell>
        </row>
        <row r="469">
          <cell r="A469" t="str">
            <v>D-IH2R</v>
          </cell>
          <cell r="B469" t="str">
            <v>VAR_fout</v>
          </cell>
          <cell r="C469" t="str">
            <v>IH2</v>
          </cell>
          <cell r="H469">
            <v>7.7367046441443641</v>
          </cell>
          <cell r="I469">
            <v>8.9865362558323376</v>
          </cell>
          <cell r="J469">
            <v>7.9556468467417334</v>
          </cell>
        </row>
        <row r="470">
          <cell r="A470" t="str">
            <v>D-IH2R</v>
          </cell>
          <cell r="B470" t="str">
            <v>VAR_fin</v>
          </cell>
          <cell r="C470" t="str">
            <v>H2</v>
          </cell>
          <cell r="H470">
            <v>7.7367046441443641</v>
          </cell>
          <cell r="I470">
            <v>8.9865362558323376</v>
          </cell>
          <cell r="J470">
            <v>7.9556468467417334</v>
          </cell>
        </row>
        <row r="471">
          <cell r="A471" t="str">
            <v>D-IH2R</v>
          </cell>
          <cell r="B471" t="str">
            <v>VAR_ncap</v>
          </cell>
          <cell r="C471" t="str">
            <v>-</v>
          </cell>
          <cell r="G471">
            <v>1.03931012522124E-5</v>
          </cell>
          <cell r="H471">
            <v>0.27367187743653099</v>
          </cell>
          <cell r="I471">
            <v>0.38541004069599599</v>
          </cell>
          <cell r="J471">
            <v>0.168504971435156</v>
          </cell>
        </row>
        <row r="472">
          <cell r="A472" t="str">
            <v>D-IH2R</v>
          </cell>
          <cell r="B472" t="str">
            <v>VAR_cap</v>
          </cell>
          <cell r="C472" t="str">
            <v>-</v>
          </cell>
          <cell r="G472">
            <v>1.03931012522124E-5</v>
          </cell>
          <cell r="H472">
            <v>0.273679767693216</v>
          </cell>
          <cell r="I472">
            <v>0.43388332997002199</v>
          </cell>
          <cell r="J472">
            <v>0.300516099082136</v>
          </cell>
        </row>
        <row r="473">
          <cell r="A473" t="str">
            <v>RHEM-SHSTG-ELC</v>
          </cell>
          <cell r="B473" t="str">
            <v>VAR_fout</v>
          </cell>
          <cell r="C473" t="str">
            <v>RHEM-SHAELCB</v>
          </cell>
          <cell r="D473">
            <v>0.58215700676033999</v>
          </cell>
          <cell r="E473">
            <v>0.667964833689355</v>
          </cell>
          <cell r="F473">
            <v>3.59813952824673E-3</v>
          </cell>
          <cell r="G473">
            <v>1.0627027276904906E-3</v>
          </cell>
          <cell r="H473">
            <v>2.0399596740725703E-4</v>
          </cell>
          <cell r="I473">
            <v>2.0151143007086212E-4</v>
          </cell>
          <cell r="J473">
            <v>3.2983616229752429E-4</v>
          </cell>
        </row>
        <row r="474">
          <cell r="A474" t="str">
            <v>RHEM-SHSTG-ELC</v>
          </cell>
          <cell r="B474" t="str">
            <v>VAR_fout</v>
          </cell>
          <cell r="C474" t="str">
            <v>AUX_RHEM-SHSTG-ELC_OUT</v>
          </cell>
          <cell r="D474">
            <v>0.58273916376710033</v>
          </cell>
          <cell r="E474">
            <v>0.66863279852304458</v>
          </cell>
          <cell r="F474">
            <v>3.6017376677749779E-3</v>
          </cell>
          <cell r="G474">
            <v>1.0637654304181809E-3</v>
          </cell>
          <cell r="H474">
            <v>2.0419996337466426E-4</v>
          </cell>
          <cell r="I474">
            <v>2.0171294150093296E-4</v>
          </cell>
          <cell r="J474">
            <v>3.3016599845982171E-4</v>
          </cell>
        </row>
        <row r="475">
          <cell r="A475" t="str">
            <v>RHEM-SHSTG-ELC</v>
          </cell>
          <cell r="B475" t="str">
            <v>VAR_fin</v>
          </cell>
          <cell r="C475" t="str">
            <v>RHEM-SHAELCB</v>
          </cell>
          <cell r="D475">
            <v>0.58233611858217948</v>
          </cell>
          <cell r="E475">
            <v>0.6679528777478887</v>
          </cell>
          <cell r="F475">
            <v>3.5665449301001528E-3</v>
          </cell>
          <cell r="G475">
            <v>1.049939873835075E-3</v>
          </cell>
          <cell r="H475">
            <v>2.1442588432641797E-4</v>
          </cell>
          <cell r="I475">
            <v>2.156964729885996E-4</v>
          </cell>
          <cell r="J475">
            <v>3.3967084383711274E-4</v>
          </cell>
        </row>
        <row r="476">
          <cell r="A476" t="str">
            <v>RHEM-SHSTG-ELC</v>
          </cell>
          <cell r="B476" t="str">
            <v>VAR_ncap</v>
          </cell>
          <cell r="C476" t="str">
            <v>-</v>
          </cell>
          <cell r="D476">
            <v>8.5356383397988303E-2</v>
          </cell>
          <cell r="E476">
            <v>4.1694570543109998E-4</v>
          </cell>
          <cell r="F476">
            <v>2.24549889339112E-4</v>
          </cell>
          <cell r="G476">
            <v>3.3726928909517799E-4</v>
          </cell>
          <cell r="H476">
            <v>2.9481874919249301E-4</v>
          </cell>
          <cell r="I476">
            <v>1.86484123943229E-4</v>
          </cell>
          <cell r="J476">
            <v>1.0328674283026599E-4</v>
          </cell>
        </row>
        <row r="477">
          <cell r="A477" t="str">
            <v>RHEM-SHSTG-ELC</v>
          </cell>
          <cell r="B477" t="str">
            <v>VAR_cap</v>
          </cell>
          <cell r="C477" t="str">
            <v>-</v>
          </cell>
          <cell r="D477">
            <v>8.5356383397988303E-2</v>
          </cell>
          <cell r="E477">
            <v>7.688864118584568E-2</v>
          </cell>
          <cell r="F477">
            <v>1.201745770787202E-3</v>
          </cell>
          <cell r="G477">
            <v>4.0267189024428829E-4</v>
          </cell>
          <cell r="H477">
            <v>1.1691107941130124E-4</v>
          </cell>
          <cell r="I477">
            <v>1.0428501475292107E-4</v>
          </cell>
          <cell r="J477">
            <v>1.1113858676757099E-4</v>
          </cell>
        </row>
        <row r="478">
          <cell r="A478" t="str">
            <v>RHNM-SHLTHCHPWOD</v>
          </cell>
          <cell r="B478" t="str">
            <v>VAR_ncap</v>
          </cell>
          <cell r="C478" t="str">
            <v>-</v>
          </cell>
          <cell r="G478">
            <v>2.4561590242489401E-4</v>
          </cell>
          <cell r="H478">
            <v>4.3620998010372801E-4</v>
          </cell>
          <cell r="I478">
            <v>2.7334408448105899E-4</v>
          </cell>
          <cell r="J478">
            <v>1.48392141542486E-4</v>
          </cell>
        </row>
        <row r="479">
          <cell r="A479" t="str">
            <v>RHNM-SHLTHCHPWOD</v>
          </cell>
          <cell r="B479" t="str">
            <v>VAR_cap</v>
          </cell>
          <cell r="C479" t="str">
            <v>-</v>
          </cell>
          <cell r="G479">
            <v>2.4561590242489401E-4</v>
          </cell>
          <cell r="H479">
            <v>5.5898135137419391E-4</v>
          </cell>
          <cell r="I479">
            <v>4.9315887061722702E-4</v>
          </cell>
          <cell r="J479">
            <v>2.5098415081701306E-4</v>
          </cell>
        </row>
        <row r="480">
          <cell r="A480" t="str">
            <v>ITOT-SWHDEM</v>
          </cell>
          <cell r="B480" t="str">
            <v>VAR_fout</v>
          </cell>
          <cell r="C480" t="str">
            <v>ITOT-SWHD</v>
          </cell>
          <cell r="D480">
            <v>72.708169056255471</v>
          </cell>
          <cell r="E480">
            <v>73.852692481414579</v>
          </cell>
          <cell r="F480">
            <v>76.069980061562006</v>
          </cell>
          <cell r="G480">
            <v>76.729393885461121</v>
          </cell>
          <cell r="H480">
            <v>77.201202586744301</v>
          </cell>
          <cell r="I480">
            <v>77.824090106886814</v>
          </cell>
          <cell r="J480">
            <v>78.65637758652727</v>
          </cell>
        </row>
        <row r="481">
          <cell r="A481" t="str">
            <v>ITOT-SWHDEM</v>
          </cell>
          <cell r="B481" t="str">
            <v>VAR_fin</v>
          </cell>
          <cell r="C481" t="str">
            <v>ITOT-SWHNGAH</v>
          </cell>
          <cell r="F481">
            <v>6.9230378015125271E-2</v>
          </cell>
          <cell r="G481">
            <v>2.4951663942571305E-2</v>
          </cell>
          <cell r="H481">
            <v>5.4526367940087965E-2</v>
          </cell>
          <cell r="I481">
            <v>2.9680247964664879E-2</v>
          </cell>
          <cell r="J481">
            <v>1.8633559885595872E-2</v>
          </cell>
        </row>
        <row r="482">
          <cell r="A482" t="str">
            <v>ITOT-SWHDEM</v>
          </cell>
          <cell r="B482" t="str">
            <v>VAR_fin</v>
          </cell>
          <cell r="C482" t="str">
            <v>ITOT-SWH</v>
          </cell>
          <cell r="D482">
            <v>61.717366117782447</v>
          </cell>
          <cell r="E482">
            <v>60.310224378407177</v>
          </cell>
          <cell r="F482">
            <v>61.063778614449284</v>
          </cell>
          <cell r="G482">
            <v>53.176603724230489</v>
          </cell>
          <cell r="H482">
            <v>52.633664540326997</v>
          </cell>
          <cell r="I482">
            <v>44.989247380348324</v>
          </cell>
          <cell r="J482">
            <v>42.358987760096376</v>
          </cell>
        </row>
        <row r="483">
          <cell r="A483" t="str">
            <v>ITOT-SWHDEM</v>
          </cell>
          <cell r="B483" t="str">
            <v>VAR_fin</v>
          </cell>
          <cell r="C483" t="str">
            <v>ITOT-SWHELCH</v>
          </cell>
          <cell r="D483">
            <v>1.1081275654045448</v>
          </cell>
          <cell r="E483">
            <v>1.400841716428753</v>
          </cell>
          <cell r="F483">
            <v>2.5758863445991289</v>
          </cell>
          <cell r="G483">
            <v>6.1159433753840968</v>
          </cell>
          <cell r="H483">
            <v>7.1168363659635476</v>
          </cell>
          <cell r="I483">
            <v>7.1236637212910781</v>
          </cell>
          <cell r="J483">
            <v>10.943615698418366</v>
          </cell>
        </row>
        <row r="484">
          <cell r="A484" t="str">
            <v>ITOT-SWHDEM</v>
          </cell>
          <cell r="B484" t="str">
            <v>VAR_fin</v>
          </cell>
          <cell r="C484" t="str">
            <v>ITOT-SWHC</v>
          </cell>
          <cell r="E484">
            <v>1.7219299153213108</v>
          </cell>
          <cell r="F484">
            <v>1.7218870968899473</v>
          </cell>
          <cell r="G484">
            <v>1.7823025050266423</v>
          </cell>
          <cell r="H484">
            <v>1.8195739568843186</v>
          </cell>
          <cell r="I484">
            <v>10.570835766449784</v>
          </cell>
          <cell r="J484">
            <v>10.630063263722249</v>
          </cell>
        </row>
        <row r="485">
          <cell r="A485" t="str">
            <v>ITOT-SWHDEM</v>
          </cell>
          <cell r="B485" t="str">
            <v>VAR_fin</v>
          </cell>
          <cell r="C485" t="str">
            <v>ITOT-SWHELC</v>
          </cell>
          <cell r="D485">
            <v>9.8143037599870251</v>
          </cell>
          <cell r="E485">
            <v>10.335130202796305</v>
          </cell>
          <cell r="F485">
            <v>10.53932707585988</v>
          </cell>
          <cell r="G485">
            <v>13.300258218375667</v>
          </cell>
          <cell r="H485">
            <v>13.298095949877537</v>
          </cell>
          <cell r="I485">
            <v>13.188533738048813</v>
          </cell>
          <cell r="J485">
            <v>13.20208042030481</v>
          </cell>
        </row>
        <row r="486">
          <cell r="A486" t="str">
            <v>ITOT-SWHDEM</v>
          </cell>
          <cell r="B486" t="str">
            <v>VAR_fin</v>
          </cell>
          <cell r="C486" t="str">
            <v>ITOT-SWHSOL</v>
          </cell>
          <cell r="D486">
            <v>6.8371613081546115E-2</v>
          </cell>
          <cell r="E486">
            <v>8.6240394419687616E-2</v>
          </cell>
          <cell r="F486">
            <v>0.10221185182747444</v>
          </cell>
          <cell r="G486">
            <v>2.3310591125078908</v>
          </cell>
          <cell r="H486">
            <v>2.281151481143354</v>
          </cell>
          <cell r="I486">
            <v>1.9243418730543276</v>
          </cell>
          <cell r="J486">
            <v>1.5057564826960077</v>
          </cell>
        </row>
        <row r="487">
          <cell r="A487" t="str">
            <v>D-RHNS_NKEV_GAS_ELC_CHP</v>
          </cell>
          <cell r="B487" t="str">
            <v>VAR_fout</v>
          </cell>
          <cell r="C487" t="str">
            <v>RHNS_ELC</v>
          </cell>
          <cell r="E487">
            <v>1.4731516005319785E-3</v>
          </cell>
          <cell r="F487">
            <v>2.6639753941495076E-3</v>
          </cell>
        </row>
        <row r="488">
          <cell r="A488" t="str">
            <v>D-RHNS_NKEV_GAS_ELC_CHP</v>
          </cell>
          <cell r="B488" t="str">
            <v>VAR_fout</v>
          </cell>
          <cell r="C488" t="str">
            <v>ELC5</v>
          </cell>
          <cell r="E488">
            <v>1.3644797865013554E-3</v>
          </cell>
          <cell r="F488">
            <v>2.3377320324447673E-3</v>
          </cell>
        </row>
        <row r="489">
          <cell r="A489" t="str">
            <v>D-RHNS_NKEV_GAS_ELC_CHP</v>
          </cell>
          <cell r="B489" t="str">
            <v>VAR_fin</v>
          </cell>
          <cell r="C489" t="str">
            <v>RHNS_NKEV_GAS_ELC_CHP</v>
          </cell>
          <cell r="E489">
            <v>2.8376313870333348E-3</v>
          </cell>
          <cell r="F489">
            <v>4.8644748530734302E-3</v>
          </cell>
        </row>
        <row r="490">
          <cell r="A490" t="str">
            <v>RHNM-SHSTG-NGAHP</v>
          </cell>
          <cell r="B490" t="str">
            <v>VAR_fout</v>
          </cell>
          <cell r="C490" t="str">
            <v>RHNM-SHANGAH</v>
          </cell>
          <cell r="F490">
            <v>1.2747252033572904E-2</v>
          </cell>
          <cell r="G490">
            <v>3.946146153854585E-2</v>
          </cell>
          <cell r="H490">
            <v>5.1824773437900692E-2</v>
          </cell>
          <cell r="I490">
            <v>6.9626053737992424E-2</v>
          </cell>
          <cell r="J490">
            <v>8.9216559278989777E-2</v>
          </cell>
        </row>
        <row r="491">
          <cell r="A491" t="str">
            <v>RHNM-SHSTG-NGAHP</v>
          </cell>
          <cell r="B491" t="str">
            <v>VAR_fout</v>
          </cell>
          <cell r="C491" t="str">
            <v>AUX_RHNM-SHSTG-NGAHP_OUT</v>
          </cell>
          <cell r="F491">
            <v>1.2759999285606479E-2</v>
          </cell>
          <cell r="G491">
            <v>3.9500923000084391E-2</v>
          </cell>
          <cell r="H491">
            <v>5.1876598211338623E-2</v>
          </cell>
          <cell r="I491">
            <v>6.9695679791730414E-2</v>
          </cell>
          <cell r="J491">
            <v>8.9305775838268847E-2</v>
          </cell>
        </row>
        <row r="492">
          <cell r="A492" t="str">
            <v>RHNM-SHSTG-NGAHP</v>
          </cell>
          <cell r="B492" t="str">
            <v>VAR_fin</v>
          </cell>
          <cell r="C492" t="str">
            <v>RHNM-SHANGAH</v>
          </cell>
          <cell r="F492">
            <v>1.3176984028213757E-2</v>
          </cell>
          <cell r="G492">
            <v>3.986700889115264E-2</v>
          </cell>
          <cell r="H492">
            <v>5.2106079011037316E-2</v>
          </cell>
          <cell r="I492">
            <v>6.9862035837243611E-2</v>
          </cell>
          <cell r="J492">
            <v>8.9573703252666018E-2</v>
          </cell>
        </row>
        <row r="493">
          <cell r="A493" t="str">
            <v>RHNM-SHSTG-NGAHP</v>
          </cell>
          <cell r="B493" t="str">
            <v>VAR_ncap</v>
          </cell>
          <cell r="C493" t="str">
            <v>-</v>
          </cell>
          <cell r="D493">
            <v>3.3128484197471E-4</v>
          </cell>
          <cell r="E493">
            <v>2.4232887596392701E-4</v>
          </cell>
          <cell r="F493">
            <v>5.4364583411108999E-3</v>
          </cell>
          <cell r="G493">
            <v>8.1587174020800093E-3</v>
          </cell>
          <cell r="H493">
            <v>6.3342497500283104E-3</v>
          </cell>
          <cell r="I493">
            <v>1.19479339964746E-2</v>
          </cell>
          <cell r="J493">
            <v>1.6937071448213201E-2</v>
          </cell>
        </row>
        <row r="494">
          <cell r="A494" t="str">
            <v>RHNM-SHSTG-NGAHP</v>
          </cell>
          <cell r="B494" t="str">
            <v>VAR_cap</v>
          </cell>
          <cell r="C494" t="str">
            <v>-</v>
          </cell>
          <cell r="D494">
            <v>3.3128484197471E-4</v>
          </cell>
          <cell r="E494">
            <v>2.8570615770151997E-5</v>
          </cell>
          <cell r="F494">
            <v>5.3485833128585547E-3</v>
          </cell>
          <cell r="G494">
            <v>1.312448967709428E-2</v>
          </cell>
          <cell r="H494">
            <v>1.8710465333125079E-2</v>
          </cell>
          <cell r="I494">
            <v>2.3427805530352012E-2</v>
          </cell>
          <cell r="J494">
            <v>2.7409237910014872E-2</v>
          </cell>
        </row>
        <row r="495">
          <cell r="A495" t="str">
            <v>D-IBIO</v>
          </cell>
          <cell r="B495" t="str">
            <v>VAR_fout</v>
          </cell>
          <cell r="C495" t="str">
            <v>IBIO</v>
          </cell>
          <cell r="D495">
            <v>0.43687091603376721</v>
          </cell>
          <cell r="E495">
            <v>0.55213811081003705</v>
          </cell>
          <cell r="F495">
            <v>1.6042881164276321</v>
          </cell>
          <cell r="G495">
            <v>3.1475976994673842</v>
          </cell>
          <cell r="H495">
            <v>3.8185844985630042</v>
          </cell>
          <cell r="I495">
            <v>3.818847952737721</v>
          </cell>
          <cell r="J495">
            <v>4.2657637804033888</v>
          </cell>
        </row>
        <row r="496">
          <cell r="A496" t="str">
            <v>D-IBIO</v>
          </cell>
          <cell r="B496" t="str">
            <v>VAR_fin</v>
          </cell>
          <cell r="C496" t="str">
            <v>BIO</v>
          </cell>
          <cell r="D496">
            <v>0.43687091603376721</v>
          </cell>
          <cell r="E496">
            <v>0.55213811081003705</v>
          </cell>
          <cell r="F496">
            <v>1.6042881164276321</v>
          </cell>
          <cell r="G496">
            <v>3.1475976994673842</v>
          </cell>
          <cell r="H496">
            <v>3.8185844985630042</v>
          </cell>
          <cell r="I496">
            <v>3.818847952737721</v>
          </cell>
          <cell r="J496">
            <v>4.2657637804033888</v>
          </cell>
        </row>
        <row r="497">
          <cell r="A497" t="str">
            <v>RHNS-SHLFOBR</v>
          </cell>
          <cell r="B497" t="str">
            <v>VAR_fout</v>
          </cell>
          <cell r="C497" t="str">
            <v>CO2_R</v>
          </cell>
          <cell r="E497">
            <v>7.7465635740704003E-2</v>
          </cell>
          <cell r="F497">
            <v>1.59394189712735</v>
          </cell>
          <cell r="G497">
            <v>3.8875001872251098</v>
          </cell>
          <cell r="H497">
            <v>3.8568113294263799</v>
          </cell>
          <cell r="I497">
            <v>3.3760941398909998</v>
          </cell>
        </row>
        <row r="498">
          <cell r="A498" t="str">
            <v>RHNS-SHLFOBR</v>
          </cell>
          <cell r="B498" t="str">
            <v>VAR_fout</v>
          </cell>
          <cell r="C498" t="str">
            <v>RHNS-SHLFO</v>
          </cell>
          <cell r="E498">
            <v>9.4160513818698397E-4</v>
          </cell>
          <cell r="F498">
            <v>2.0532806506135266E-2</v>
          </cell>
          <cell r="G498">
            <v>5.0077916441442556E-2</v>
          </cell>
          <cell r="H498">
            <v>4.9682589371985712E-2</v>
          </cell>
          <cell r="I498">
            <v>4.3490097001534903E-2</v>
          </cell>
        </row>
        <row r="499">
          <cell r="A499" t="str">
            <v>RHNS-SHLFOBR</v>
          </cell>
          <cell r="B499" t="str">
            <v>VAR_fin</v>
          </cell>
          <cell r="C499" t="str">
            <v>RLFO</v>
          </cell>
          <cell r="E499">
            <v>1.0510941077436103E-3</v>
          </cell>
          <cell r="F499">
            <v>2.162743415369538E-2</v>
          </cell>
          <cell r="G499">
            <v>5.2747628049187346E-2</v>
          </cell>
          <cell r="H499">
            <v>5.2331225636721442E-2</v>
          </cell>
          <cell r="I499">
            <v>4.5808604340447749E-2</v>
          </cell>
        </row>
        <row r="500">
          <cell r="A500" t="str">
            <v>RHNS-SHLFOBR</v>
          </cell>
          <cell r="B500" t="str">
            <v>VAR_ncap</v>
          </cell>
          <cell r="C500" t="str">
            <v>-</v>
          </cell>
          <cell r="E500">
            <v>4.21906591254453E-4</v>
          </cell>
          <cell r="F500">
            <v>1.82830253757853E-2</v>
          </cell>
        </row>
        <row r="501">
          <cell r="A501" t="str">
            <v>RHNS-SHLFOBR</v>
          </cell>
          <cell r="B501" t="str">
            <v>VAR_cap</v>
          </cell>
          <cell r="C501" t="str">
            <v>-</v>
          </cell>
          <cell r="E501">
            <v>4.21906591254453E-4</v>
          </cell>
          <cell r="F501">
            <v>1.8635828165243416E-2</v>
          </cell>
          <cell r="G501">
            <v>1.8565873343792491E-2</v>
          </cell>
          <cell r="H501">
            <v>1.8401427438621144E-2</v>
          </cell>
          <cell r="I501">
            <v>3.2378981249848054E-3</v>
          </cell>
        </row>
        <row r="502">
          <cell r="A502" t="str">
            <v>D-SNGA</v>
          </cell>
          <cell r="B502" t="str">
            <v>VAR_fout</v>
          </cell>
          <cell r="C502" t="str">
            <v>CO2</v>
          </cell>
          <cell r="D502">
            <v>1537.95890866073</v>
          </cell>
          <cell r="E502">
            <v>1510.5078021797899</v>
          </cell>
          <cell r="F502">
            <v>1402.0948018409699</v>
          </cell>
          <cell r="G502">
            <v>1097.7432635274099</v>
          </cell>
          <cell r="H502">
            <v>834.86501578619198</v>
          </cell>
          <cell r="I502">
            <v>543.00896231093202</v>
          </cell>
          <cell r="J502">
            <v>263.70548510773102</v>
          </cell>
        </row>
        <row r="503">
          <cell r="A503" t="str">
            <v>D-SNGA</v>
          </cell>
          <cell r="B503" t="str">
            <v>VAR_fout</v>
          </cell>
          <cell r="C503" t="str">
            <v>SNGA</v>
          </cell>
          <cell r="D503">
            <v>27.481314450275502</v>
          </cell>
          <cell r="E503">
            <v>28.488462048411687</v>
          </cell>
          <cell r="F503">
            <v>25.513533100884118</v>
          </cell>
          <cell r="G503">
            <v>20.120063683144217</v>
          </cell>
          <cell r="H503">
            <v>15.462820983186859</v>
          </cell>
          <cell r="I503">
            <v>11.242040823696239</v>
          </cell>
          <cell r="J503">
            <v>7.2065225099801955</v>
          </cell>
        </row>
        <row r="504">
          <cell r="A504" t="str">
            <v>D-SNGA</v>
          </cell>
          <cell r="B504" t="str">
            <v>VAR_fout</v>
          </cell>
          <cell r="C504" t="str">
            <v>RSH2</v>
          </cell>
          <cell r="G504">
            <v>3.5615311531140288E-2</v>
          </cell>
          <cell r="H504">
            <v>3.0270575377137818E-2</v>
          </cell>
          <cell r="I504">
            <v>2.5125220766896123E-2</v>
          </cell>
          <cell r="J504">
            <v>1.5513765882720314E-2</v>
          </cell>
        </row>
        <row r="505">
          <cell r="A505" t="str">
            <v>D-SNGA</v>
          </cell>
          <cell r="B505" t="str">
            <v>VAR_fin</v>
          </cell>
          <cell r="C505" t="str">
            <v>NGA</v>
          </cell>
          <cell r="D505">
            <v>27.26877497625409</v>
          </cell>
          <cell r="E505">
            <v>26.782053230138036</v>
          </cell>
          <cell r="F505">
            <v>24.85983691207387</v>
          </cell>
          <cell r="G505">
            <v>19.46353304126616</v>
          </cell>
          <cell r="H505">
            <v>14.802571201882854</v>
          </cell>
          <cell r="I505">
            <v>9.62781848069028</v>
          </cell>
          <cell r="J505">
            <v>4.6756291685767861</v>
          </cell>
        </row>
        <row r="506">
          <cell r="A506" t="str">
            <v>D-SNGA</v>
          </cell>
          <cell r="B506" t="str">
            <v>VAR_fin</v>
          </cell>
          <cell r="C506" t="str">
            <v>BNGA</v>
          </cell>
          <cell r="D506">
            <v>0.30033181946995979</v>
          </cell>
          <cell r="E506">
            <v>1.7974186171672832</v>
          </cell>
          <cell r="F506">
            <v>0.73520222141499658</v>
          </cell>
          <cell r="G506">
            <v>0.72140289686061543</v>
          </cell>
          <cell r="H506">
            <v>0.70990859704857467</v>
          </cell>
          <cell r="I506">
            <v>1.6503659972371556</v>
          </cell>
          <cell r="J506">
            <v>2.5555947411727264</v>
          </cell>
        </row>
        <row r="507">
          <cell r="A507" t="str">
            <v>D-SNGA</v>
          </cell>
          <cell r="B507" t="str">
            <v>VAR_fin</v>
          </cell>
          <cell r="C507" t="str">
            <v>H2</v>
          </cell>
          <cell r="G507">
            <v>3.5588837948649373E-2</v>
          </cell>
          <cell r="H507">
            <v>3.0242251047196508E-2</v>
          </cell>
          <cell r="I507">
            <v>2.4998379325259446E-2</v>
          </cell>
          <cell r="J507">
            <v>1.5452002930860792E-2</v>
          </cell>
        </row>
        <row r="508">
          <cell r="A508" t="str">
            <v>D-SNGA</v>
          </cell>
          <cell r="B508" t="str">
            <v>VAR_ncap</v>
          </cell>
          <cell r="C508" t="str">
            <v>-</v>
          </cell>
          <cell r="D508">
            <v>2.2482027123936501E-4</v>
          </cell>
          <cell r="E508">
            <v>4.6381222786838498E-6</v>
          </cell>
          <cell r="F508">
            <v>7.6925504290318894E-6</v>
          </cell>
          <cell r="G508">
            <v>1.06650827800905E-5</v>
          </cell>
          <cell r="H508">
            <v>1.7687120010580299E-5</v>
          </cell>
          <cell r="I508">
            <v>1.5264873978039999E-5</v>
          </cell>
          <cell r="J508">
            <v>4.2695806898921401E-5</v>
          </cell>
        </row>
        <row r="509">
          <cell r="A509" t="str">
            <v>D-SNGA</v>
          </cell>
          <cell r="B509" t="str">
            <v>VAR_cap</v>
          </cell>
          <cell r="C509" t="str">
            <v>-</v>
          </cell>
          <cell r="D509">
            <v>2.2352770218963793</v>
          </cell>
          <cell r="E509">
            <v>2.235281660018658</v>
          </cell>
          <cell r="F509">
            <v>2.2352893525690871</v>
          </cell>
          <cell r="G509">
            <v>2.2353000176518671</v>
          </cell>
          <cell r="H509">
            <v>2.235317704771878</v>
          </cell>
          <cell r="I509">
            <v>2.2353329696458561</v>
          </cell>
          <cell r="J509">
            <v>1.1212139663164746</v>
          </cell>
        </row>
        <row r="510">
          <cell r="A510" t="str">
            <v>D-IPLT</v>
          </cell>
          <cell r="B510" t="str">
            <v>VAR_fout</v>
          </cell>
          <cell r="C510" t="str">
            <v>IPLT</v>
          </cell>
          <cell r="D510">
            <v>0.62589701661237407</v>
          </cell>
          <cell r="E510">
            <v>0.73762225764574341</v>
          </cell>
          <cell r="F510">
            <v>0.77787246306873914</v>
          </cell>
          <cell r="G510">
            <v>0.80006448650634476</v>
          </cell>
          <cell r="H510">
            <v>0.7986271678501381</v>
          </cell>
          <cell r="I510">
            <v>0.79716085850232588</v>
          </cell>
          <cell r="J510">
            <v>0.79392216964138729</v>
          </cell>
        </row>
        <row r="511">
          <cell r="A511" t="str">
            <v>D-IPLT</v>
          </cell>
          <cell r="B511" t="str">
            <v>VAR_fin</v>
          </cell>
          <cell r="C511" t="str">
            <v>PLT</v>
          </cell>
          <cell r="D511">
            <v>0.62589701661237407</v>
          </cell>
          <cell r="E511">
            <v>0.73762225764574341</v>
          </cell>
          <cell r="F511">
            <v>0.77787246306873914</v>
          </cell>
          <cell r="G511">
            <v>0.80006448650634476</v>
          </cell>
          <cell r="H511">
            <v>0.7986271678501381</v>
          </cell>
          <cell r="I511">
            <v>0.79716085850232588</v>
          </cell>
          <cell r="J511">
            <v>0.79392216964138729</v>
          </cell>
        </row>
        <row r="512">
          <cell r="A512" t="str">
            <v>ITOT-SWHWODBR</v>
          </cell>
          <cell r="B512" t="str">
            <v>VAR_fout</v>
          </cell>
          <cell r="C512" t="str">
            <v>ITOT-SWH</v>
          </cell>
          <cell r="D512">
            <v>5.3112538801372393</v>
          </cell>
          <cell r="E512">
            <v>6.2669954666482779</v>
          </cell>
          <cell r="F512">
            <v>6.0030768912076287</v>
          </cell>
          <cell r="G512">
            <v>7.0120500285676695</v>
          </cell>
          <cell r="H512">
            <v>7.6582379230636395</v>
          </cell>
          <cell r="I512">
            <v>6.7670850795876563</v>
          </cell>
          <cell r="J512">
            <v>8.484130257370472</v>
          </cell>
        </row>
        <row r="513">
          <cell r="A513" t="str">
            <v>ITOT-SWHWODBR</v>
          </cell>
          <cell r="B513" t="str">
            <v>VAR_fin</v>
          </cell>
          <cell r="C513" t="str">
            <v>IWOD</v>
          </cell>
          <cell r="D513">
            <v>9.0021252205715907</v>
          </cell>
          <cell r="E513">
            <v>10.610037471752165</v>
          </cell>
          <cell r="F513">
            <v>10.146045449928391</v>
          </cell>
          <cell r="G513">
            <v>11.818061845900582</v>
          </cell>
          <cell r="H513">
            <v>12.870988105989328</v>
          </cell>
          <cell r="I513">
            <v>11.341483373610588</v>
          </cell>
          <cell r="J513">
            <v>14.14021709561745</v>
          </cell>
        </row>
        <row r="514">
          <cell r="A514" t="str">
            <v>ITOT-SWHWODBR</v>
          </cell>
          <cell r="B514" t="str">
            <v>VAR_fin</v>
          </cell>
          <cell r="C514" t="str">
            <v>ITOTWODBRC</v>
          </cell>
          <cell r="D514">
            <v>5.3112538801372393</v>
          </cell>
          <cell r="E514">
            <v>6.2669954666482779</v>
          </cell>
          <cell r="F514">
            <v>6.0030768912076287</v>
          </cell>
          <cell r="G514">
            <v>7.0120500285676695</v>
          </cell>
          <cell r="H514">
            <v>7.6582379230636395</v>
          </cell>
          <cell r="I514">
            <v>6.7670850795876563</v>
          </cell>
          <cell r="J514">
            <v>8.484130257370472</v>
          </cell>
        </row>
        <row r="515">
          <cell r="A515" t="str">
            <v>ITOT-SWHWODBR</v>
          </cell>
          <cell r="B515" t="str">
            <v>VAR_ncap</v>
          </cell>
          <cell r="C515" t="str">
            <v>-</v>
          </cell>
          <cell r="E515">
            <v>6.3610202414609796E-2</v>
          </cell>
          <cell r="F515">
            <v>8.6345801411765594E-3</v>
          </cell>
          <cell r="G515">
            <v>3.6145781269546699E-2</v>
          </cell>
          <cell r="H515">
            <v>0.29106203885725301</v>
          </cell>
          <cell r="I515">
            <v>0.168280457123475</v>
          </cell>
          <cell r="J515">
            <v>0.332192328463149</v>
          </cell>
        </row>
        <row r="516">
          <cell r="A516" t="str">
            <v>ITOT-SWHWODBR</v>
          </cell>
          <cell r="B516" t="str">
            <v>VAR_cap</v>
          </cell>
          <cell r="C516" t="str">
            <v>-</v>
          </cell>
          <cell r="D516">
            <v>0.28883369534761499</v>
          </cell>
          <cell r="E516">
            <v>0.35240362414318316</v>
          </cell>
          <cell r="F516">
            <v>0.36089397121930999</v>
          </cell>
          <cell r="G516">
            <v>0.39678254150031977</v>
          </cell>
          <cell r="H516">
            <v>0.44235244097533616</v>
          </cell>
          <cell r="I516">
            <v>0.48425973877798723</v>
          </cell>
          <cell r="J516">
            <v>0.57647280824812142</v>
          </cell>
        </row>
        <row r="517">
          <cell r="A517" t="str">
            <v>D-ITOT_KEV_WOD_ELC_CHP</v>
          </cell>
          <cell r="B517" t="str">
            <v>VAR_fout</v>
          </cell>
          <cell r="C517" t="str">
            <v>ITOT_ELC</v>
          </cell>
          <cell r="D517">
            <v>6.2673416649148784E-3</v>
          </cell>
          <cell r="E517">
            <v>2.8442071696948693E-3</v>
          </cell>
          <cell r="F517">
            <v>5.0070988156953478E-3</v>
          </cell>
          <cell r="G517">
            <v>3.6224152471173422E-2</v>
          </cell>
          <cell r="H517">
            <v>3.1431030619815212</v>
          </cell>
          <cell r="I517">
            <v>3.4430835574100787</v>
          </cell>
          <cell r="J517">
            <v>3.6931682317537868</v>
          </cell>
        </row>
        <row r="518">
          <cell r="A518" t="str">
            <v>D-ITOT_KEV_WOD_ELC_CHP</v>
          </cell>
          <cell r="B518" t="str">
            <v>VAR_fout</v>
          </cell>
          <cell r="C518" t="str">
            <v>ELC5</v>
          </cell>
          <cell r="D518">
            <v>0.16629373064756386</v>
          </cell>
          <cell r="E518">
            <v>0.39983733655994019</v>
          </cell>
          <cell r="F518">
            <v>1.2457857110923618</v>
          </cell>
          <cell r="G518">
            <v>2.5077545963339007</v>
          </cell>
          <cell r="H518">
            <v>4.935878322346731E-2</v>
          </cell>
          <cell r="I518">
            <v>9.6969685513216386E-2</v>
          </cell>
          <cell r="J518">
            <v>8.5255368856456529E-2</v>
          </cell>
        </row>
        <row r="519">
          <cell r="A519" t="str">
            <v>D-ITOT_KEV_WOD_ELC_CHP</v>
          </cell>
          <cell r="B519" t="str">
            <v>VAR_fin</v>
          </cell>
          <cell r="C519" t="str">
            <v>ITOT_KEV_WOD_ELC_CHP</v>
          </cell>
          <cell r="D519">
            <v>0.17256107231247877</v>
          </cell>
          <cell r="E519">
            <v>0.40268154372963511</v>
          </cell>
          <cell r="F519">
            <v>1.2506960614241154</v>
          </cell>
          <cell r="G519">
            <v>2.5438574257938686</v>
          </cell>
          <cell r="H519">
            <v>3.1921791826513326</v>
          </cell>
          <cell r="I519">
            <v>3.5400532429232965</v>
          </cell>
          <cell r="J519">
            <v>3.7784236006102443</v>
          </cell>
        </row>
        <row r="520">
          <cell r="A520" t="str">
            <v>RHEM-SHSTG-SOL</v>
          </cell>
          <cell r="B520" t="str">
            <v>VAR_fout</v>
          </cell>
          <cell r="C520" t="str">
            <v>RHEM-SHASOL</v>
          </cell>
          <cell r="D520">
            <v>7.3358778608247646E-2</v>
          </cell>
          <cell r="E520">
            <v>7.1651632838766605E-2</v>
          </cell>
          <cell r="F520">
            <v>4.0168038328676397E-3</v>
          </cell>
          <cell r="G520">
            <v>4.8790332629257537E-3</v>
          </cell>
          <cell r="H520">
            <v>5.2731862580895307E-3</v>
          </cell>
          <cell r="I520">
            <v>2.7979259442723688E-3</v>
          </cell>
          <cell r="J520">
            <v>2.2363758794890017E-3</v>
          </cell>
        </row>
        <row r="521">
          <cell r="A521" t="str">
            <v>RHEM-SHSTG-SOL</v>
          </cell>
          <cell r="B521" t="str">
            <v>VAR_fout</v>
          </cell>
          <cell r="C521" t="str">
            <v>AUX_RHEM-SHSTG-SOL_OUT</v>
          </cell>
          <cell r="D521">
            <v>7.3432137386855889E-2</v>
          </cell>
          <cell r="E521">
            <v>7.1723284471605406E-2</v>
          </cell>
          <cell r="F521">
            <v>4.020820636700507E-3</v>
          </cell>
          <cell r="G521">
            <v>4.8839122961886767E-3</v>
          </cell>
          <cell r="H521">
            <v>5.2784594443476178E-3</v>
          </cell>
          <cell r="I521">
            <v>2.8007238702166411E-3</v>
          </cell>
          <cell r="J521">
            <v>2.2386122553684912E-3</v>
          </cell>
        </row>
        <row r="522">
          <cell r="A522" t="str">
            <v>RHEM-SHSTG-SOL</v>
          </cell>
          <cell r="B522" t="str">
            <v>VAR_fin</v>
          </cell>
          <cell r="C522" t="str">
            <v>RHEM-SHASOL</v>
          </cell>
          <cell r="D522">
            <v>7.3303840375356477E-2</v>
          </cell>
          <cell r="E522">
            <v>7.1716549509488664E-2</v>
          </cell>
          <cell r="F522">
            <v>4.0833570583077598E-3</v>
          </cell>
          <cell r="G522">
            <v>4.834118927711289E-3</v>
          </cell>
          <cell r="H522">
            <v>5.2441828715908021E-3</v>
          </cell>
          <cell r="I522">
            <v>2.7640561704652799E-3</v>
          </cell>
          <cell r="J522">
            <v>2.1896486772240843E-3</v>
          </cell>
        </row>
        <row r="523">
          <cell r="A523" t="str">
            <v>RHEM-SHSTG-SOL</v>
          </cell>
          <cell r="B523" t="str">
            <v>VAR_ncap</v>
          </cell>
          <cell r="C523" t="str">
            <v>-</v>
          </cell>
          <cell r="D523">
            <v>1.6181552253836599E-2</v>
          </cell>
          <cell r="E523">
            <v>3.0049600915361799E-5</v>
          </cell>
          <cell r="F523">
            <v>8.4973358765617608E-6</v>
          </cell>
          <cell r="G523">
            <v>1.23656313795439E-5</v>
          </cell>
          <cell r="H523">
            <v>5.5148575142697403E-4</v>
          </cell>
          <cell r="I523">
            <v>3.2167499352868698E-4</v>
          </cell>
          <cell r="J523">
            <v>2.08923171587215E-4</v>
          </cell>
        </row>
        <row r="524">
          <cell r="A524" t="str">
            <v>RHEM-SHSTG-SOL</v>
          </cell>
          <cell r="B524" t="str">
            <v>VAR_cap</v>
          </cell>
          <cell r="C524" t="str">
            <v>-</v>
          </cell>
          <cell r="D524">
            <v>1.6181552253836599E-2</v>
          </cell>
          <cell r="E524">
            <v>1.6211601854752001E-2</v>
          </cell>
          <cell r="F524">
            <v>1.6220099190628601E-2</v>
          </cell>
          <cell r="G524">
            <v>1.6232464822008099E-2</v>
          </cell>
          <cell r="H524">
            <v>4.7841794585559002E-3</v>
          </cell>
          <cell r="I524">
            <v>8.8311136637119099E-4</v>
          </cell>
          <cell r="J524">
            <v>6.7564902132919195E-4</v>
          </cell>
        </row>
        <row r="525">
          <cell r="A525" t="str">
            <v>ITOT-SWHCONBR10</v>
          </cell>
          <cell r="B525" t="str">
            <v>VAR_fout</v>
          </cell>
          <cell r="C525" t="str">
            <v>ITOT-ELS</v>
          </cell>
          <cell r="J525">
            <v>4.2186310097517497E-4</v>
          </cell>
        </row>
        <row r="526">
          <cell r="A526" t="str">
            <v>ITOT-SWHCONBR10</v>
          </cell>
          <cell r="B526" t="str">
            <v>VAR_fout</v>
          </cell>
          <cell r="C526" t="str">
            <v>ITOT-SWHC</v>
          </cell>
          <cell r="J526">
            <v>2.5978769294049413E-3</v>
          </cell>
        </row>
        <row r="527">
          <cell r="A527" t="str">
            <v>ITOT-SWHCONBR10</v>
          </cell>
          <cell r="B527" t="str">
            <v>VAR_fin</v>
          </cell>
          <cell r="C527" t="str">
            <v>CON</v>
          </cell>
          <cell r="J527">
            <v>3.0197400303801167E-3</v>
          </cell>
        </row>
        <row r="528">
          <cell r="A528" t="str">
            <v>ITOT-SWHCONBR10</v>
          </cell>
          <cell r="B528" t="str">
            <v>VAR_ncap</v>
          </cell>
          <cell r="C528" t="str">
            <v>-</v>
          </cell>
          <cell r="J528">
            <v>1.49912523759921E-4</v>
          </cell>
        </row>
        <row r="529">
          <cell r="A529" t="str">
            <v>ITOT-SWHCONBR10</v>
          </cell>
          <cell r="B529" t="str">
            <v>VAR_cap</v>
          </cell>
          <cell r="C529" t="str">
            <v>-</v>
          </cell>
          <cell r="J529">
            <v>1.49912523759921E-4</v>
          </cell>
        </row>
        <row r="530">
          <cell r="A530" t="str">
            <v>SCOM-SHSTG</v>
          </cell>
          <cell r="B530" t="str">
            <v>VAR_fout</v>
          </cell>
          <cell r="C530" t="str">
            <v>AUX_SCOM-SHSTG_OUT</v>
          </cell>
          <cell r="D530">
            <v>1.3468601258959307E-4</v>
          </cell>
          <cell r="E530">
            <v>4.8544006715481366E-3</v>
          </cell>
          <cell r="F530">
            <v>5.7418905256883244E-4</v>
          </cell>
          <cell r="G530">
            <v>7.1381415167526415E-4</v>
          </cell>
          <cell r="H530">
            <v>6.9085422402984651E-4</v>
          </cell>
          <cell r="I530">
            <v>9.3983094000528304E-4</v>
          </cell>
          <cell r="J530">
            <v>1.8537358179393677E-2</v>
          </cell>
        </row>
        <row r="531">
          <cell r="A531" t="str">
            <v>SCOM-SHSTG</v>
          </cell>
          <cell r="B531" t="str">
            <v>VAR_fout</v>
          </cell>
          <cell r="C531" t="str">
            <v>SCOM-SHD</v>
          </cell>
          <cell r="D531">
            <v>1.346860125895932E-4</v>
          </cell>
          <cell r="E531">
            <v>4.8583685086232313E-3</v>
          </cell>
          <cell r="F531">
            <v>5.7492237192077137E-4</v>
          </cell>
          <cell r="G531">
            <v>7.1381415167526339E-4</v>
          </cell>
          <cell r="H531">
            <v>6.916226936895017E-4</v>
          </cell>
          <cell r="I531">
            <v>9.3983094000528217E-4</v>
          </cell>
          <cell r="J531">
            <v>1.8537358179393677E-2</v>
          </cell>
        </row>
        <row r="532">
          <cell r="A532" t="str">
            <v>SCOM-SHSTG</v>
          </cell>
          <cell r="B532" t="str">
            <v>VAR_fin</v>
          </cell>
          <cell r="C532" t="str">
            <v>AUX_SCOM-SHSTG_IN</v>
          </cell>
          <cell r="D532">
            <v>1.7448724083704329E-4</v>
          </cell>
          <cell r="E532">
            <v>5.9262266494832351E-3</v>
          </cell>
          <cell r="F532">
            <v>6.9722365153489132E-4</v>
          </cell>
          <cell r="G532">
            <v>8.3309038923841438E-4</v>
          </cell>
          <cell r="H532">
            <v>7.8133192954144026E-4</v>
          </cell>
          <cell r="I532">
            <v>1.0218146917776541E-3</v>
          </cell>
          <cell r="J532">
            <v>1.8729622734553523E-2</v>
          </cell>
        </row>
        <row r="533">
          <cell r="A533" t="str">
            <v>SCOM-SHSTG</v>
          </cell>
          <cell r="B533" t="str">
            <v>VAR_fin</v>
          </cell>
          <cell r="C533" t="str">
            <v>SCOM-SHD</v>
          </cell>
          <cell r="D533">
            <v>1.7448724083704329E-4</v>
          </cell>
          <cell r="E533">
            <v>5.9262266494832351E-3</v>
          </cell>
          <cell r="F533">
            <v>6.9722365153489132E-4</v>
          </cell>
          <cell r="G533">
            <v>8.3309038923841438E-4</v>
          </cell>
          <cell r="H533">
            <v>7.8133192954144026E-4</v>
          </cell>
          <cell r="I533">
            <v>1.0218146917776541E-3</v>
          </cell>
          <cell r="J533">
            <v>1.8729622734553523E-2</v>
          </cell>
        </row>
        <row r="534">
          <cell r="A534" t="str">
            <v>SCOM-SHSTG</v>
          </cell>
          <cell r="B534" t="str">
            <v>VAR_ncap</v>
          </cell>
          <cell r="C534" t="str">
            <v>-</v>
          </cell>
          <cell r="D534">
            <v>1.33248931117781E-2</v>
          </cell>
          <cell r="E534">
            <v>1.5572748886636201E-4</v>
          </cell>
          <cell r="F534">
            <v>1.17371199544797E-4</v>
          </cell>
          <cell r="G534">
            <v>6.8013144059739006E-5</v>
          </cell>
          <cell r="H534">
            <v>3.3123262884855401E-3</v>
          </cell>
          <cell r="I534">
            <v>6.57501044140357E-3</v>
          </cell>
          <cell r="J534">
            <v>8.3222479821614802E-3</v>
          </cell>
        </row>
        <row r="535">
          <cell r="A535" t="str">
            <v>SCOM-SHSTG</v>
          </cell>
          <cell r="B535" t="str">
            <v>VAR_cap</v>
          </cell>
          <cell r="C535" t="str">
            <v>-</v>
          </cell>
          <cell r="D535">
            <v>1.33248931117781E-2</v>
          </cell>
          <cell r="E535">
            <v>1.345150005864237E-2</v>
          </cell>
          <cell r="F535">
            <v>1.3528126415882843E-2</v>
          </cell>
          <cell r="G535">
            <v>1.3557655057239298E-2</v>
          </cell>
          <cell r="H535">
            <v>1.6764899143774683E-2</v>
          </cell>
          <cell r="I535">
            <v>1.4579100808731852E-2</v>
          </cell>
          <cell r="J535">
            <v>1.7428849467481775E-2</v>
          </cell>
        </row>
        <row r="536">
          <cell r="A536" t="str">
            <v>D-ITOT_KEV_HFC_ELC_CHP</v>
          </cell>
          <cell r="B536" t="str">
            <v>VAR_fout</v>
          </cell>
          <cell r="C536" t="str">
            <v>ITOT_ELC</v>
          </cell>
          <cell r="H536">
            <v>8.4766957663823264E-2</v>
          </cell>
          <cell r="I536">
            <v>0.14481993369140833</v>
          </cell>
          <cell r="J536">
            <v>0.28129284409111549</v>
          </cell>
        </row>
        <row r="537">
          <cell r="A537" t="str">
            <v>D-ITOT_KEV_HFC_ELC_CHP</v>
          </cell>
          <cell r="B537" t="str">
            <v>VAR_fout</v>
          </cell>
          <cell r="C537" t="str">
            <v>ELC5</v>
          </cell>
          <cell r="H537">
            <v>3.1392711046667209E-2</v>
          </cell>
          <cell r="I537">
            <v>4.698849582995674E-2</v>
          </cell>
          <cell r="J537">
            <v>4.9655981650027714E-2</v>
          </cell>
        </row>
        <row r="538">
          <cell r="A538" t="str">
            <v>D-ITOT_KEV_HFC_ELC_CHP</v>
          </cell>
          <cell r="B538" t="str">
            <v>VAR_fin</v>
          </cell>
          <cell r="C538" t="str">
            <v>ITOT_KEV_HFC_ELC_CHP</v>
          </cell>
          <cell r="H538">
            <v>0.11586558891853782</v>
          </cell>
          <cell r="I538">
            <v>0.19162504496075325</v>
          </cell>
          <cell r="J538">
            <v>0.33081662603719197</v>
          </cell>
        </row>
        <row r="539">
          <cell r="A539" t="str">
            <v>D-RNGA</v>
          </cell>
          <cell r="B539" t="str">
            <v>VAR_fout</v>
          </cell>
          <cell r="C539" t="str">
            <v>CO2</v>
          </cell>
          <cell r="D539">
            <v>2686.29232035222</v>
          </cell>
          <cell r="E539">
            <v>2605.0618149319198</v>
          </cell>
          <cell r="F539">
            <v>2636.0764012387099</v>
          </cell>
          <cell r="G539">
            <v>2157.9838635814299</v>
          </cell>
          <cell r="H539">
            <v>1659.4374674758701</v>
          </cell>
          <cell r="I539">
            <v>1057.6162876262599</v>
          </cell>
          <cell r="J539">
            <v>635.81364064013098</v>
          </cell>
        </row>
        <row r="540">
          <cell r="A540" t="str">
            <v>D-RNGA</v>
          </cell>
          <cell r="B540" t="str">
            <v>VAR_fout</v>
          </cell>
          <cell r="C540" t="str">
            <v>RNGA</v>
          </cell>
          <cell r="D540">
            <v>47.78066398916684</v>
          </cell>
          <cell r="E540">
            <v>48.283682865512411</v>
          </cell>
          <cell r="F540">
            <v>47.460370951729558</v>
          </cell>
          <cell r="G540">
            <v>39.099934607424856</v>
          </cell>
          <cell r="H540">
            <v>30.301154190359281</v>
          </cell>
          <cell r="I540">
            <v>21.806504233273397</v>
          </cell>
          <cell r="J540">
            <v>14.838894287435116</v>
          </cell>
        </row>
        <row r="541">
          <cell r="A541" t="str">
            <v>D-RNGA</v>
          </cell>
          <cell r="B541" t="str">
            <v>VAR_fout</v>
          </cell>
          <cell r="C541" t="str">
            <v>RSH2</v>
          </cell>
          <cell r="G541">
            <v>4.2346506482894543E-2</v>
          </cell>
          <cell r="H541">
            <v>4.4403568076779552E-2</v>
          </cell>
          <cell r="I541">
            <v>5.4321789831727821E-2</v>
          </cell>
          <cell r="J541">
            <v>3.6990610505636727E-2</v>
          </cell>
        </row>
        <row r="542">
          <cell r="A542" t="str">
            <v>D-RNGA</v>
          </cell>
          <cell r="B542" t="str">
            <v>VAR_fin</v>
          </cell>
          <cell r="C542" t="str">
            <v>NGA</v>
          </cell>
          <cell r="D542">
            <v>47.629296460145738</v>
          </cell>
          <cell r="E542">
            <v>46.18903927184266</v>
          </cell>
          <cell r="F542">
            <v>46.738943284374216</v>
          </cell>
          <cell r="G542">
            <v>38.262125240805588</v>
          </cell>
          <cell r="H542">
            <v>29.42265013255092</v>
          </cell>
          <cell r="I542">
            <v>18.752061837345039</v>
          </cell>
          <cell r="J542">
            <v>11.273291500711549</v>
          </cell>
        </row>
        <row r="543">
          <cell r="A543" t="str">
            <v>D-RNGA</v>
          </cell>
          <cell r="B543" t="str">
            <v>VAR_fin</v>
          </cell>
          <cell r="C543" t="str">
            <v>BNGA</v>
          </cell>
          <cell r="D543">
            <v>0.30400857413150201</v>
          </cell>
          <cell r="E543">
            <v>2.2488915927357054</v>
          </cell>
          <cell r="F543">
            <v>0.87304549805444343</v>
          </cell>
          <cell r="G543">
            <v>0.96348454954207119</v>
          </cell>
          <cell r="H543">
            <v>0.97572603226075039</v>
          </cell>
          <cell r="I543">
            <v>3.1245230681570666</v>
          </cell>
          <cell r="J543">
            <v>3.6148515378167376</v>
          </cell>
        </row>
        <row r="544">
          <cell r="A544" t="str">
            <v>D-RNGA</v>
          </cell>
          <cell r="B544" t="str">
            <v>VAR_fin</v>
          </cell>
          <cell r="C544" t="str">
            <v>H2</v>
          </cell>
          <cell r="G544">
            <v>4.232757097861288E-2</v>
          </cell>
          <cell r="H544">
            <v>4.437524374684168E-2</v>
          </cell>
          <cell r="I544">
            <v>5.4296772153765625E-2</v>
          </cell>
          <cell r="J544">
            <v>3.6939966380338522E-2</v>
          </cell>
        </row>
        <row r="545">
          <cell r="A545" t="str">
            <v>D-RNGA</v>
          </cell>
          <cell r="B545" t="str">
            <v>VAR_ncap</v>
          </cell>
          <cell r="C545" t="str">
            <v>-</v>
          </cell>
          <cell r="D545">
            <v>1.4108689698768901E-5</v>
          </cell>
          <cell r="E545">
            <v>2.00863194670824E-6</v>
          </cell>
          <cell r="F545">
            <v>2.4428176174718799E-6</v>
          </cell>
          <cell r="G545">
            <v>2.0258802884127202E-6</v>
          </cell>
          <cell r="H545">
            <v>3.2806967102163999E-6</v>
          </cell>
          <cell r="I545">
            <v>4.0993302161479303E-6</v>
          </cell>
          <cell r="J545">
            <v>7.0078713760835503E-6</v>
          </cell>
        </row>
        <row r="546">
          <cell r="A546" t="str">
            <v>D-RNGA</v>
          </cell>
          <cell r="B546" t="str">
            <v>VAR_cap</v>
          </cell>
          <cell r="C546" t="str">
            <v>-</v>
          </cell>
          <cell r="D546">
            <v>3.0972541160856188</v>
          </cell>
          <cell r="E546">
            <v>3.0972561247175654</v>
          </cell>
          <cell r="F546">
            <v>3.0972585675351829</v>
          </cell>
          <cell r="G546">
            <v>3.0972605934154713</v>
          </cell>
          <cell r="H546">
            <v>3.0972638741121816</v>
          </cell>
          <cell r="I546">
            <v>3.0972679734423978</v>
          </cell>
          <cell r="J546">
            <v>1.5533172219540738</v>
          </cell>
        </row>
        <row r="547">
          <cell r="A547" t="str">
            <v>RHNS-SHLTHCHPNGA</v>
          </cell>
          <cell r="B547" t="str">
            <v>VAR_fout</v>
          </cell>
          <cell r="C547" t="str">
            <v>RHNS-SHLTHC-NGA</v>
          </cell>
          <cell r="E547">
            <v>1.0432844538870549E-3</v>
          </cell>
        </row>
        <row r="548">
          <cell r="A548" t="str">
            <v>RHNS-SHLTHCHPNGA</v>
          </cell>
          <cell r="B548" t="str">
            <v>VAR_fin</v>
          </cell>
          <cell r="C548" t="str">
            <v>RHNSLTHCHPC</v>
          </cell>
          <cell r="E548">
            <v>1.0432844538870549E-3</v>
          </cell>
        </row>
        <row r="549">
          <cell r="A549" t="str">
            <v>RHNS-SHLTHCHPNGA</v>
          </cell>
          <cell r="B549" t="str">
            <v>VAR_fin</v>
          </cell>
          <cell r="C549" t="str">
            <v>RHNS_LTH_CHPNGA_ON</v>
          </cell>
          <cell r="E549">
            <v>1.0538226806939947E-3</v>
          </cell>
        </row>
        <row r="550">
          <cell r="A550" t="str">
            <v>RHNS-SHLTHCHPNGA</v>
          </cell>
          <cell r="B550" t="str">
            <v>VAR_ncap</v>
          </cell>
          <cell r="C550" t="str">
            <v>-</v>
          </cell>
          <cell r="E550">
            <v>1.94889264499576E-3</v>
          </cell>
          <cell r="F550">
            <v>1.05439635500703E-3</v>
          </cell>
          <cell r="G550">
            <v>8.7430249991572999E-4</v>
          </cell>
          <cell r="H550">
            <v>8.7442459672771396E-4</v>
          </cell>
          <cell r="I550">
            <v>3.5832630506975598E-4</v>
          </cell>
          <cell r="J550">
            <v>4.0879408892961602E-7</v>
          </cell>
        </row>
        <row r="551">
          <cell r="A551" t="str">
            <v>RHNS-SHLTHCHPNGA</v>
          </cell>
          <cell r="B551" t="str">
            <v>VAR_cap</v>
          </cell>
          <cell r="C551" t="str">
            <v>-</v>
          </cell>
          <cell r="E551">
            <v>1.94889264499576E-3</v>
          </cell>
          <cell r="F551">
            <v>1.6201274021867499E-3</v>
          </cell>
          <cell r="G551">
            <v>1.6019909016998699E-3</v>
          </cell>
          <cell r="H551">
            <v>1.5483914432104203E-3</v>
          </cell>
          <cell r="I551">
            <v>7.1167049510542017E-4</v>
          </cell>
        </row>
        <row r="552">
          <cell r="A552" t="str">
            <v>D-SCOM_KEV_BIO_ELC_CHP</v>
          </cell>
          <cell r="B552" t="str">
            <v>VAR_fout</v>
          </cell>
          <cell r="C552" t="str">
            <v>ELC5</v>
          </cell>
          <cell r="D552">
            <v>0.95521458984704222</v>
          </cell>
          <cell r="E552">
            <v>1.1046727851534146</v>
          </cell>
          <cell r="F552">
            <v>1.1041945912745086</v>
          </cell>
          <cell r="G552">
            <v>1.0980520890224295</v>
          </cell>
          <cell r="H552">
            <v>2.009172817189122E-2</v>
          </cell>
          <cell r="I552">
            <v>1.9127998059814147E-2</v>
          </cell>
          <cell r="J552">
            <v>1.2003225798815107E-2</v>
          </cell>
        </row>
        <row r="553">
          <cell r="A553" t="str">
            <v>D-SCOM_KEV_BIO_ELC_CHP</v>
          </cell>
          <cell r="B553" t="str">
            <v>VAR_fout</v>
          </cell>
          <cell r="C553" t="str">
            <v>SCOM_ELC</v>
          </cell>
          <cell r="D553">
            <v>4.2250166473882583E-3</v>
          </cell>
          <cell r="E553">
            <v>1.7629779982819152E-3</v>
          </cell>
          <cell r="F553">
            <v>2.2576924288426723E-3</v>
          </cell>
          <cell r="G553">
            <v>8.865960914429389E-3</v>
          </cell>
          <cell r="H553">
            <v>1.0881831121418779</v>
          </cell>
          <cell r="I553">
            <v>1.0890644954394417</v>
          </cell>
          <cell r="J553">
            <v>1.0961235073803794</v>
          </cell>
        </row>
        <row r="554">
          <cell r="A554" t="str">
            <v>D-SCOM_KEV_BIO_ELC_CHP</v>
          </cell>
          <cell r="B554" t="str">
            <v>VAR_fin</v>
          </cell>
          <cell r="C554" t="str">
            <v>SCOM_KEV_BIO_ELC_CHP</v>
          </cell>
          <cell r="D554">
            <v>0.95943960649442961</v>
          </cell>
          <cell r="E554">
            <v>1.1064357631516968</v>
          </cell>
          <cell r="F554">
            <v>1.1064075775951663</v>
          </cell>
          <cell r="G554">
            <v>1.1068242607460734</v>
          </cell>
          <cell r="H554">
            <v>1.1080079178808893</v>
          </cell>
          <cell r="I554">
            <v>1.107972605468118</v>
          </cell>
          <cell r="J554">
            <v>1.1079584862615972</v>
          </cell>
        </row>
        <row r="555">
          <cell r="A555" t="str">
            <v>RHES-SHLTHCHPWOD</v>
          </cell>
          <cell r="B555" t="str">
            <v>VAR_ncap</v>
          </cell>
          <cell r="C555" t="str">
            <v>-</v>
          </cell>
          <cell r="G555">
            <v>1.11414931634813E-4</v>
          </cell>
          <cell r="H555">
            <v>1.7166090516491499E-4</v>
          </cell>
          <cell r="I555">
            <v>1.05567842092404E-4</v>
          </cell>
          <cell r="J555">
            <v>5.4562236325062699E-5</v>
          </cell>
        </row>
        <row r="556">
          <cell r="A556" t="str">
            <v>RHES-SHLTHCHPWOD</v>
          </cell>
          <cell r="B556" t="str">
            <v>VAR_cap</v>
          </cell>
          <cell r="C556" t="str">
            <v>-</v>
          </cell>
          <cell r="G556">
            <v>1.11414931634813E-4</v>
          </cell>
          <cell r="H556">
            <v>2.247487853415233E-4</v>
          </cell>
          <cell r="I556">
            <v>1.9114705580800399E-4</v>
          </cell>
          <cell r="J556">
            <v>9.3004727702033986E-5</v>
          </cell>
        </row>
        <row r="557">
          <cell r="A557" t="str">
            <v>RHES-SHSTG-NGAHP</v>
          </cell>
          <cell r="B557" t="str">
            <v>VAR_fout</v>
          </cell>
          <cell r="C557" t="str">
            <v>RHES-SHANGAH</v>
          </cell>
          <cell r="F557">
            <v>0.13749490702781686</v>
          </cell>
          <cell r="G557">
            <v>0.53451817473659646</v>
          </cell>
          <cell r="H557">
            <v>0.47227537573571809</v>
          </cell>
          <cell r="I557">
            <v>0.64099887601412464</v>
          </cell>
          <cell r="J557">
            <v>0.60084871690936692</v>
          </cell>
        </row>
        <row r="558">
          <cell r="A558" t="str">
            <v>RHES-SHSTG-NGAHP</v>
          </cell>
          <cell r="B558" t="str">
            <v>VAR_fout</v>
          </cell>
          <cell r="C558" t="str">
            <v>AUX_RHES-SHSTG-NGAHP_OUT</v>
          </cell>
          <cell r="F558">
            <v>0.13763240193484463</v>
          </cell>
          <cell r="G558">
            <v>0.53505269291133306</v>
          </cell>
          <cell r="H558">
            <v>0.47274765111145378</v>
          </cell>
          <cell r="I558">
            <v>0.64163987489013885</v>
          </cell>
          <cell r="J558">
            <v>0.60144956562627561</v>
          </cell>
        </row>
        <row r="559">
          <cell r="A559" t="str">
            <v>RHES-SHSTG-NGAHP</v>
          </cell>
          <cell r="B559" t="str">
            <v>VAR_fin</v>
          </cell>
          <cell r="C559" t="str">
            <v>RHES-SHANGAH</v>
          </cell>
          <cell r="F559">
            <v>0.13795136941662139</v>
          </cell>
          <cell r="G559">
            <v>0.5349045834894306</v>
          </cell>
          <cell r="H559">
            <v>0.47259895897509263</v>
          </cell>
          <cell r="I559">
            <v>0.64117705591333651</v>
          </cell>
          <cell r="J559">
            <v>0.60109351821868451</v>
          </cell>
        </row>
        <row r="560">
          <cell r="A560" t="str">
            <v>RHES-SHSTG-NGAHP</v>
          </cell>
          <cell r="B560" t="str">
            <v>VAR_ncap</v>
          </cell>
          <cell r="C560" t="str">
            <v>-</v>
          </cell>
          <cell r="D560">
            <v>1.79639506250459E-4</v>
          </cell>
          <cell r="E560">
            <v>1.8630445384515E-4</v>
          </cell>
          <cell r="F560">
            <v>3.2441775169316803E-2</v>
          </cell>
          <cell r="G560">
            <v>4.6358224183501898E-2</v>
          </cell>
          <cell r="H560">
            <v>1.5960771867157102E-2</v>
          </cell>
          <cell r="I560">
            <v>5.7197127410870602E-2</v>
          </cell>
          <cell r="J560">
            <v>5.3676160335146599E-2</v>
          </cell>
        </row>
        <row r="561">
          <cell r="A561" t="str">
            <v>RHES-SHSTG-NGAHP</v>
          </cell>
          <cell r="B561" t="str">
            <v>VAR_cap</v>
          </cell>
          <cell r="C561" t="str">
            <v>-</v>
          </cell>
          <cell r="D561">
            <v>1.79639506250459E-4</v>
          </cell>
          <cell r="E561">
            <v>1.260121945372098E-5</v>
          </cell>
          <cell r="F561">
            <v>3.2299313105841033E-2</v>
          </cell>
          <cell r="G561">
            <v>7.8418544976131196E-2</v>
          </cell>
          <cell r="H561">
            <v>9.3821810661020771E-2</v>
          </cell>
          <cell r="I561">
            <v>0.10951573590016075</v>
          </cell>
          <cell r="J561">
            <v>0.10129717538375189</v>
          </cell>
        </row>
        <row r="562">
          <cell r="A562" t="str">
            <v>D-RHNS_SOLELC</v>
          </cell>
          <cell r="B562" t="str">
            <v>VAR_fout</v>
          </cell>
          <cell r="C562" t="str">
            <v>RHNS_ELC</v>
          </cell>
          <cell r="E562">
            <v>4.4610573081826785E-4</v>
          </cell>
          <cell r="F562">
            <v>0.60449453601432079</v>
          </cell>
          <cell r="G562">
            <v>6.8087606650853862</v>
          </cell>
          <cell r="H562">
            <v>7.1544890477646437</v>
          </cell>
          <cell r="I562">
            <v>7.4365166149751278</v>
          </cell>
          <cell r="J562">
            <v>8.1112106834830744</v>
          </cell>
        </row>
        <row r="563">
          <cell r="A563" t="str">
            <v>D-RHNS_SOLELC</v>
          </cell>
          <cell r="B563" t="str">
            <v>VAR_fout</v>
          </cell>
          <cell r="C563" t="str">
            <v>ELC5</v>
          </cell>
          <cell r="E563">
            <v>4.2161160508669674E-4</v>
          </cell>
          <cell r="F563">
            <v>1.2037593434720842E-2</v>
          </cell>
          <cell r="G563">
            <v>9.8989616806791272E-3</v>
          </cell>
          <cell r="H563">
            <v>1.9972197810774563E-2</v>
          </cell>
          <cell r="I563">
            <v>6.8573214747798705E-2</v>
          </cell>
          <cell r="J563">
            <v>7.8933235753535461E-2</v>
          </cell>
        </row>
        <row r="564">
          <cell r="A564" t="str">
            <v>D-RHNS_SOLELC</v>
          </cell>
          <cell r="B564" t="str">
            <v>VAR_fin</v>
          </cell>
          <cell r="C564" t="str">
            <v>RHNS_SOL_ELC</v>
          </cell>
          <cell r="E564">
            <v>8.1350450122781083E-4</v>
          </cell>
          <cell r="F564">
            <v>0.61653212944904168</v>
          </cell>
          <cell r="G564">
            <v>6.8186596267660722</v>
          </cell>
          <cell r="H564">
            <v>7.174461245575424</v>
          </cell>
          <cell r="I564">
            <v>7.5050898297229294</v>
          </cell>
          <cell r="J564">
            <v>8.1901439192366112</v>
          </cell>
        </row>
        <row r="565">
          <cell r="A565" t="str">
            <v>D-IHFO</v>
          </cell>
          <cell r="B565" t="str">
            <v>VAR_fout</v>
          </cell>
          <cell r="C565" t="str">
            <v>CO2</v>
          </cell>
          <cell r="D565">
            <v>213.79241210908199</v>
          </cell>
          <cell r="E565">
            <v>212.85628720739001</v>
          </cell>
          <cell r="F565">
            <v>3.7172709845761398</v>
          </cell>
          <cell r="G565">
            <v>0.355862195401279</v>
          </cell>
          <cell r="H565">
            <v>4.9045550123723398</v>
          </cell>
          <cell r="I565">
            <v>0.47831390300676302</v>
          </cell>
        </row>
        <row r="566">
          <cell r="A566" t="str">
            <v>D-IHFO</v>
          </cell>
          <cell r="B566" t="str">
            <v>VAR_fout</v>
          </cell>
          <cell r="C566" t="str">
            <v>IHFO</v>
          </cell>
          <cell r="D566">
            <v>2.7301536321320046</v>
          </cell>
          <cell r="E566">
            <v>2.7181992097309959</v>
          </cell>
          <cell r="F566">
            <v>4.7469976974586547E-2</v>
          </cell>
          <cell r="G566">
            <v>4.5444010651676508E-3</v>
          </cell>
          <cell r="H566">
            <v>6.2631730232724711E-2</v>
          </cell>
          <cell r="I566">
            <v>6.1081234208015898E-3</v>
          </cell>
        </row>
        <row r="567">
          <cell r="A567" t="str">
            <v>D-IHFO</v>
          </cell>
          <cell r="B567" t="str">
            <v>VAR_fin</v>
          </cell>
          <cell r="C567" t="str">
            <v>HFO</v>
          </cell>
          <cell r="D567">
            <v>2.7765248325854821</v>
          </cell>
          <cell r="E567">
            <v>2.7643673663297474</v>
          </cell>
          <cell r="F567">
            <v>4.8276246552936893E-2</v>
          </cell>
          <cell r="G567">
            <v>4.6215869532633732E-3</v>
          </cell>
          <cell r="H567">
            <v>6.36955196411991E-2</v>
          </cell>
          <cell r="I567">
            <v>6.2118688702177049E-3</v>
          </cell>
        </row>
        <row r="568">
          <cell r="A568" t="str">
            <v>RHEM-SHCONBR</v>
          </cell>
          <cell r="B568" t="str">
            <v>VAR_fout</v>
          </cell>
          <cell r="C568" t="str">
            <v>RHEM-SHCON</v>
          </cell>
          <cell r="F568">
            <v>3.090154956480377E-3</v>
          </cell>
          <cell r="G568">
            <v>3.1290740586523095E-3</v>
          </cell>
          <cell r="H568">
            <v>6.4063680883185269E-3</v>
          </cell>
          <cell r="I568">
            <v>6.6772206513660117E-3</v>
          </cell>
          <cell r="J568">
            <v>1.7842475220026521E-2</v>
          </cell>
        </row>
        <row r="569">
          <cell r="A569" t="str">
            <v>RHEM-SHCONBR</v>
          </cell>
          <cell r="B569" t="str">
            <v>VAR_fin</v>
          </cell>
          <cell r="C569" t="str">
            <v>CON</v>
          </cell>
          <cell r="F569">
            <v>3.090154956480377E-3</v>
          </cell>
          <cell r="G569">
            <v>3.1290740586523095E-3</v>
          </cell>
          <cell r="H569">
            <v>6.4063680883185269E-3</v>
          </cell>
          <cell r="I569">
            <v>6.6772206513660117E-3</v>
          </cell>
          <cell r="J569">
            <v>1.7842475220026521E-2</v>
          </cell>
        </row>
        <row r="570">
          <cell r="A570" t="str">
            <v>RHEM-SHCONBR</v>
          </cell>
          <cell r="B570" t="str">
            <v>VAR_ncap</v>
          </cell>
          <cell r="C570" t="str">
            <v>-</v>
          </cell>
          <cell r="D570">
            <v>5.1617908917867904E-7</v>
          </cell>
          <cell r="E570">
            <v>1.13277595582835E-6</v>
          </cell>
          <cell r="F570">
            <v>2.3284643993833201E-4</v>
          </cell>
          <cell r="G570">
            <v>2.6434604579366802E-6</v>
          </cell>
          <cell r="H570">
            <v>2.5027600839206402E-4</v>
          </cell>
          <cell r="I570">
            <v>1.6651401362531901E-5</v>
          </cell>
          <cell r="J570">
            <v>7.7359151078663999E-4</v>
          </cell>
        </row>
        <row r="571">
          <cell r="A571" t="str">
            <v>RHEM-SHCONBR</v>
          </cell>
          <cell r="B571" t="str">
            <v>VAR_cap</v>
          </cell>
          <cell r="C571" t="str">
            <v>-</v>
          </cell>
          <cell r="D571">
            <v>5.1617908917867904E-7</v>
          </cell>
          <cell r="E571">
            <v>-1.82951750422099E-6</v>
          </cell>
          <cell r="F571">
            <v>2.3346556140061293E-4</v>
          </cell>
          <cell r="G571">
            <v>2.3556776814653778E-4</v>
          </cell>
          <cell r="H571">
            <v>4.8475430044511399E-4</v>
          </cell>
          <cell r="I571">
            <v>5.0111945715074495E-4</v>
          </cell>
          <cell r="J571">
            <v>1.2763863051529062E-3</v>
          </cell>
        </row>
        <row r="572">
          <cell r="A572" t="str">
            <v>RHEM-SHSOLBR</v>
          </cell>
          <cell r="B572" t="str">
            <v>VAR_fout</v>
          </cell>
          <cell r="C572" t="str">
            <v>RHEM-SHASOL</v>
          </cell>
          <cell r="D572">
            <v>0.40811452667849391</v>
          </cell>
          <cell r="E572">
            <v>0.47105859154217283</v>
          </cell>
          <cell r="F572">
            <v>9.7498787671043158E-3</v>
          </cell>
          <cell r="G572">
            <v>1.1526964048192204E-2</v>
          </cell>
          <cell r="H572">
            <v>1.1527379448475318E-2</v>
          </cell>
          <cell r="I572">
            <v>1.0896509928114207E-2</v>
          </cell>
          <cell r="J572">
            <v>8.9737500050908192E-3</v>
          </cell>
        </row>
        <row r="573">
          <cell r="A573" t="str">
            <v>RHEM-SHSOLBR</v>
          </cell>
          <cell r="B573" t="str">
            <v>VAR_fin</v>
          </cell>
          <cell r="C573" t="str">
            <v>SOL</v>
          </cell>
          <cell r="D573">
            <v>0.40811452667849391</v>
          </cell>
          <cell r="E573">
            <v>0.47105859154217283</v>
          </cell>
          <cell r="F573">
            <v>9.7498787671043158E-3</v>
          </cell>
          <cell r="G573">
            <v>1.1526964048192204E-2</v>
          </cell>
          <cell r="H573">
            <v>1.1527379448475318E-2</v>
          </cell>
          <cell r="I573">
            <v>1.0896509928114207E-2</v>
          </cell>
          <cell r="J573">
            <v>8.9737500050908192E-3</v>
          </cell>
        </row>
        <row r="574">
          <cell r="A574" t="str">
            <v>RHEM-SHSOLBR</v>
          </cell>
          <cell r="B574" t="str">
            <v>VAR_ncap</v>
          </cell>
          <cell r="C574" t="str">
            <v>-</v>
          </cell>
          <cell r="D574">
            <v>1.52076230785514E-4</v>
          </cell>
          <cell r="E574">
            <v>9.4641095988876999E-3</v>
          </cell>
          <cell r="F574">
            <v>1.59108140034883E-5</v>
          </cell>
          <cell r="G574">
            <v>3.1151676657240697E-5</v>
          </cell>
          <cell r="H574">
            <v>9.2045773443547493E-5</v>
          </cell>
          <cell r="I574">
            <v>3.5767194308346201E-3</v>
          </cell>
          <cell r="J574">
            <v>1.7580803808809299E-4</v>
          </cell>
        </row>
        <row r="575">
          <cell r="A575" t="str">
            <v>RHEM-SHSOLBR</v>
          </cell>
          <cell r="B575" t="str">
            <v>VAR_cap</v>
          </cell>
          <cell r="C575" t="str">
            <v>-</v>
          </cell>
          <cell r="D575">
            <v>5.9406997647823818E-2</v>
          </cell>
          <cell r="E575">
            <v>6.8869571666533694E-2</v>
          </cell>
          <cell r="F575">
            <v>6.8866699376271268E-2</v>
          </cell>
          <cell r="G575">
            <v>6.8891480743571501E-2</v>
          </cell>
          <cell r="H575">
            <v>2.0253425996899999E-2</v>
          </cell>
          <cell r="I575">
            <v>3.6835289616063659E-3</v>
          </cell>
          <cell r="J575">
            <v>2.80560472757549E-3</v>
          </cell>
        </row>
        <row r="576">
          <cell r="A576" t="str">
            <v>SCOM-SHH2BR</v>
          </cell>
          <cell r="B576" t="str">
            <v>VAR_ncap</v>
          </cell>
          <cell r="C576" t="str">
            <v>-</v>
          </cell>
          <cell r="G576">
            <v>1.50430412996553E-5</v>
          </cell>
          <cell r="H576">
            <v>0.35171178233734701</v>
          </cell>
          <cell r="I576">
            <v>0.67317059470998797</v>
          </cell>
          <cell r="J576">
            <v>0.38244626197204301</v>
          </cell>
        </row>
        <row r="577">
          <cell r="A577" t="str">
            <v>SCOM-SHH2BR</v>
          </cell>
          <cell r="B577" t="str">
            <v>VAR_cap</v>
          </cell>
          <cell r="C577" t="str">
            <v>-</v>
          </cell>
          <cell r="G577">
            <v>1.50430412996553E-5</v>
          </cell>
          <cell r="H577">
            <v>0.35170957287155408</v>
          </cell>
          <cell r="I577">
            <v>1.0248606685733626</v>
          </cell>
          <cell r="J577">
            <v>1.0197354728735319</v>
          </cell>
        </row>
        <row r="578">
          <cell r="A578" t="str">
            <v>ITOT-SWHCONBR1</v>
          </cell>
          <cell r="B578" t="str">
            <v>VAR_fout</v>
          </cell>
          <cell r="C578" t="str">
            <v>ITOT-ELS</v>
          </cell>
          <cell r="E578">
            <v>0.3622179266153624</v>
          </cell>
          <cell r="F578">
            <v>0.36220891951043244</v>
          </cell>
          <cell r="G578">
            <v>0.37291987440529623</v>
          </cell>
          <cell r="H578">
            <v>0.37296500068708804</v>
          </cell>
          <cell r="I578">
            <v>0.96971934341541666</v>
          </cell>
          <cell r="J578">
            <v>0.96973096793090652</v>
          </cell>
        </row>
        <row r="579">
          <cell r="A579" t="str">
            <v>ITOT-SWHCONBR1</v>
          </cell>
          <cell r="B579" t="str">
            <v>VAR_fout</v>
          </cell>
          <cell r="C579" t="str">
            <v>ITOT-SWHC</v>
          </cell>
          <cell r="E579">
            <v>1.7219299153213108</v>
          </cell>
          <cell r="F579">
            <v>1.7218870968899473</v>
          </cell>
          <cell r="G579">
            <v>1.7728053764667278</v>
          </cell>
          <cell r="H579">
            <v>1.7730199000694393</v>
          </cell>
          <cell r="I579">
            <v>4.6099009027399278</v>
          </cell>
          <cell r="J579">
            <v>4.6099561639501072</v>
          </cell>
        </row>
        <row r="580">
          <cell r="A580" t="str">
            <v>ITOT-SWHCONBR1</v>
          </cell>
          <cell r="B580" t="str">
            <v>VAR_fin</v>
          </cell>
          <cell r="C580" t="str">
            <v>CON</v>
          </cell>
          <cell r="E580">
            <v>2.0841478419366717</v>
          </cell>
          <cell r="F580">
            <v>2.084096016400379</v>
          </cell>
          <cell r="G580">
            <v>2.1457252508720228</v>
          </cell>
          <cell r="H580">
            <v>2.1459849007565297</v>
          </cell>
          <cell r="I580">
            <v>5.5796202461553452</v>
          </cell>
          <cell r="J580">
            <v>5.5796871318810117</v>
          </cell>
        </row>
        <row r="581">
          <cell r="A581" t="str">
            <v>ITOT-SWHCONBR1</v>
          </cell>
          <cell r="B581" t="str">
            <v>VAR_ncap</v>
          </cell>
          <cell r="C581" t="str">
            <v>-</v>
          </cell>
          <cell r="E581">
            <v>0.113348806797609</v>
          </cell>
          <cell r="F581">
            <v>4.9691570824490602E-6</v>
          </cell>
          <cell r="G581">
            <v>3.35496951383633E-3</v>
          </cell>
          <cell r="H581">
            <v>5.5297389648103802E-2</v>
          </cell>
          <cell r="I581">
            <v>0.24591093174418699</v>
          </cell>
          <cell r="J581">
            <v>0.101643477443264</v>
          </cell>
        </row>
        <row r="582">
          <cell r="A582" t="str">
            <v>ITOT-SWHCONBR1</v>
          </cell>
          <cell r="B582" t="str">
            <v>VAR_cap</v>
          </cell>
          <cell r="C582" t="str">
            <v>-</v>
          </cell>
          <cell r="E582">
            <v>0.113348806797609</v>
          </cell>
          <cell r="F582">
            <v>0.113353775954692</v>
          </cell>
          <cell r="G582">
            <v>0.116708745468528</v>
          </cell>
          <cell r="H582">
            <v>0.116730886587841</v>
          </cell>
          <cell r="I582">
            <v>0.30350059978621302</v>
          </cell>
          <cell r="J582">
            <v>0.30349978455193699</v>
          </cell>
        </row>
        <row r="583">
          <cell r="A583" t="str">
            <v>SCOM-SHLTHCHPWOD</v>
          </cell>
          <cell r="B583" t="str">
            <v>VAR_ncap</v>
          </cell>
          <cell r="C583" t="str">
            <v>-</v>
          </cell>
          <cell r="G583">
            <v>3.3130789620735098E-4</v>
          </cell>
          <cell r="H583">
            <v>4.7100209777573698E-4</v>
          </cell>
          <cell r="I583">
            <v>3.1427614902051598E-4</v>
          </cell>
          <cell r="J583">
            <v>1.4917155997074601E-4</v>
          </cell>
        </row>
        <row r="584">
          <cell r="A584" t="str">
            <v>SCOM-SHLTHCHPWOD</v>
          </cell>
          <cell r="B584" t="str">
            <v>VAR_cap</v>
          </cell>
          <cell r="C584" t="str">
            <v>-</v>
          </cell>
          <cell r="G584">
            <v>3.3130789620735098E-4</v>
          </cell>
          <cell r="H584">
            <v>5.9163514041115294E-4</v>
          </cell>
          <cell r="I584">
            <v>4.8150220622997588E-4</v>
          </cell>
          <cell r="J584">
            <v>2.4175361159862004E-4</v>
          </cell>
        </row>
        <row r="585">
          <cell r="A585" t="str">
            <v>SCOM-SHSTG-NGAHP</v>
          </cell>
          <cell r="B585" t="str">
            <v>VAR_fout</v>
          </cell>
          <cell r="C585" t="str">
            <v>SCOM-SHANGAH</v>
          </cell>
          <cell r="D585">
            <v>8.3310675922980599E-4</v>
          </cell>
          <cell r="E585">
            <v>1.6981233105690101E-3</v>
          </cell>
          <cell r="F585">
            <v>3.5430699682964138E-4</v>
          </cell>
          <cell r="G585">
            <v>4.0511484726976041E-4</v>
          </cell>
          <cell r="H585">
            <v>3.6175349022472022E-4</v>
          </cell>
          <cell r="I585">
            <v>3.838422908841145E-4</v>
          </cell>
          <cell r="J585">
            <v>2.4859169534794827E-4</v>
          </cell>
        </row>
        <row r="586">
          <cell r="A586" t="str">
            <v>SCOM-SHSTG-NGAHP</v>
          </cell>
          <cell r="B586" t="str">
            <v>VAR_fin</v>
          </cell>
          <cell r="C586" t="str">
            <v>SCOM-SHANGAH</v>
          </cell>
          <cell r="D586">
            <v>8.3310675922980599E-4</v>
          </cell>
          <cell r="E586">
            <v>1.6981233105690101E-3</v>
          </cell>
          <cell r="F586">
            <v>4.6853015928261584E-4</v>
          </cell>
          <cell r="G586">
            <v>4.8845097949872841E-4</v>
          </cell>
          <cell r="H586">
            <v>3.8174317969559974E-4</v>
          </cell>
          <cell r="I586">
            <v>3.948794701908891E-4</v>
          </cell>
          <cell r="J586">
            <v>2.370509369156796E-4</v>
          </cell>
        </row>
        <row r="587">
          <cell r="A587" t="str">
            <v>SCOM-SHSTG-NGAHP</v>
          </cell>
          <cell r="B587" t="str">
            <v>VAR_ncap</v>
          </cell>
          <cell r="C587" t="str">
            <v>-</v>
          </cell>
          <cell r="D587">
            <v>2.3962421507575101E-2</v>
          </cell>
          <cell r="E587">
            <v>2.36577737561918E-4</v>
          </cell>
          <cell r="F587">
            <v>4.3436037999177897E-2</v>
          </cell>
          <cell r="G587">
            <v>7.7420052369661999E-2</v>
          </cell>
          <cell r="H587">
            <v>3.78743070677936E-2</v>
          </cell>
          <cell r="I587">
            <v>0.105683475671148</v>
          </cell>
          <cell r="J587">
            <v>0.117829543629643</v>
          </cell>
        </row>
        <row r="588">
          <cell r="A588" t="str">
            <v>SCOM-SHSTG-NGAHP</v>
          </cell>
          <cell r="B588" t="str">
            <v>VAR_cap</v>
          </cell>
          <cell r="C588" t="str">
            <v>-</v>
          </cell>
          <cell r="D588">
            <v>2.3962421507575101E-2</v>
          </cell>
          <cell r="E588">
            <v>2.6910497983129861E-4</v>
          </cell>
          <cell r="F588">
            <v>4.3565847778067893E-2</v>
          </cell>
          <cell r="G588">
            <v>0.12067272681975021</v>
          </cell>
          <cell r="H588">
            <v>0.15743613191103298</v>
          </cell>
          <cell r="I588">
            <v>0.20246539758016258</v>
          </cell>
          <cell r="J588">
            <v>0.20947444199722315</v>
          </cell>
        </row>
        <row r="589">
          <cell r="A589" t="str">
            <v>ITOT-SWHCONBR2</v>
          </cell>
          <cell r="B589" t="str">
            <v>VAR_fout</v>
          </cell>
          <cell r="C589" t="str">
            <v>ITOT-ELS</v>
          </cell>
          <cell r="G589">
            <v>3.0796622752504166E-3</v>
          </cell>
          <cell r="H589">
            <v>1.049821929895948E-2</v>
          </cell>
          <cell r="I589">
            <v>0.87996023983662564</v>
          </cell>
          <cell r="J589">
            <v>0.8799462595032882</v>
          </cell>
        </row>
        <row r="590">
          <cell r="A590" t="str">
            <v>ITOT-SWHCONBR2</v>
          </cell>
          <cell r="B590" t="str">
            <v>VAR_fout</v>
          </cell>
          <cell r="C590" t="str">
            <v>ITOT-SWHC</v>
          </cell>
          <cell r="G590">
            <v>4.760568518370702E-3</v>
          </cell>
          <cell r="H590">
            <v>1.6228237977657593E-2</v>
          </cell>
          <cell r="I590">
            <v>1.3602501315971545</v>
          </cell>
          <cell r="J590">
            <v>1.36022852067725</v>
          </cell>
        </row>
        <row r="591">
          <cell r="A591" t="str">
            <v>ITOT-SWHCONBR2</v>
          </cell>
          <cell r="B591" t="str">
            <v>VAR_fin</v>
          </cell>
          <cell r="C591" t="str">
            <v>CON</v>
          </cell>
          <cell r="G591">
            <v>7.8402307936211134E-3</v>
          </cell>
          <cell r="H591">
            <v>2.6726457276617085E-2</v>
          </cell>
          <cell r="I591">
            <v>2.2402103714337791</v>
          </cell>
          <cell r="J591">
            <v>2.2401747801805372</v>
          </cell>
        </row>
        <row r="592">
          <cell r="A592" t="str">
            <v>ITOT-SWHCONBR2</v>
          </cell>
          <cell r="B592" t="str">
            <v>VAR_ncap</v>
          </cell>
          <cell r="C592" t="str">
            <v>-</v>
          </cell>
          <cell r="G592">
            <v>4.2157366233260902E-4</v>
          </cell>
          <cell r="H592">
            <v>1.0235278529873899E-3</v>
          </cell>
          <cell r="I592">
            <v>0.120539867736853</v>
          </cell>
          <cell r="J592">
            <v>3.3937114658069402E-2</v>
          </cell>
        </row>
        <row r="593">
          <cell r="A593" t="str">
            <v>ITOT-SWHCONBR2</v>
          </cell>
          <cell r="B593" t="str">
            <v>VAR_cap</v>
          </cell>
          <cell r="C593" t="str">
            <v>-</v>
          </cell>
          <cell r="G593">
            <v>4.2157366233260902E-4</v>
          </cell>
          <cell r="H593">
            <v>1.4451015153200001E-3</v>
          </cell>
          <cell r="I593">
            <v>0.12185132462972501</v>
          </cell>
          <cell r="J593">
            <v>0.12184988444556499</v>
          </cell>
        </row>
        <row r="594">
          <cell r="A594" t="str">
            <v>RHES-SHCONBR1</v>
          </cell>
          <cell r="B594" t="str">
            <v>VAR_fout</v>
          </cell>
          <cell r="C594" t="str">
            <v>RHES-SHCON</v>
          </cell>
          <cell r="D594">
            <v>9.1338450630336007E-2</v>
          </cell>
          <cell r="E594">
            <v>1.1282147780373255</v>
          </cell>
          <cell r="F594">
            <v>0.8696331598688205</v>
          </cell>
          <cell r="G594">
            <v>2.6320124781029142</v>
          </cell>
          <cell r="H594">
            <v>4.2156698879323349</v>
          </cell>
          <cell r="I594">
            <v>4.7509429428611707</v>
          </cell>
          <cell r="J594">
            <v>6.4144919242710179</v>
          </cell>
        </row>
        <row r="595">
          <cell r="A595" t="str">
            <v>RHES-SHCONBR1</v>
          </cell>
          <cell r="B595" t="str">
            <v>VAR_fin</v>
          </cell>
          <cell r="C595" t="str">
            <v>CON</v>
          </cell>
          <cell r="D595">
            <v>9.1338450630336007E-2</v>
          </cell>
          <cell r="E595">
            <v>1.1282147780373255</v>
          </cell>
          <cell r="F595">
            <v>0.8696331598688205</v>
          </cell>
          <cell r="G595">
            <v>2.6320124781029142</v>
          </cell>
          <cell r="H595">
            <v>4.2156698879323349</v>
          </cell>
          <cell r="I595">
            <v>4.7509429428611707</v>
          </cell>
          <cell r="J595">
            <v>6.4144919242710179</v>
          </cell>
        </row>
        <row r="596">
          <cell r="A596" t="str">
            <v>RHES-SHCONBR1</v>
          </cell>
          <cell r="B596" t="str">
            <v>VAR_ncap</v>
          </cell>
          <cell r="C596" t="str">
            <v>-</v>
          </cell>
          <cell r="D596">
            <v>4.5552129879623197E-2</v>
          </cell>
          <cell r="E596">
            <v>4.55520572351754E-2</v>
          </cell>
          <cell r="F596">
            <v>1.5750621618894999E-5</v>
          </cell>
          <cell r="G596">
            <v>0.122514465531517</v>
          </cell>
          <cell r="H596">
            <v>0.127352101411738</v>
          </cell>
          <cell r="I596">
            <v>4.31387059657731E-2</v>
          </cell>
          <cell r="J596">
            <v>0.17619295197444501</v>
          </cell>
        </row>
        <row r="597">
          <cell r="A597" t="str">
            <v>RHES-SHCONBR1</v>
          </cell>
          <cell r="B597" t="str">
            <v>VAR_cap</v>
          </cell>
          <cell r="C597" t="str">
            <v>-</v>
          </cell>
          <cell r="D597">
            <v>4.5552129879623197E-2</v>
          </cell>
          <cell r="E597">
            <v>9.1103961139069364E-2</v>
          </cell>
          <cell r="F597">
            <v>9.1110755467017482E-2</v>
          </cell>
          <cell r="G597">
            <v>0.21362585588375346</v>
          </cell>
          <cell r="H597">
            <v>0.34097713614867725</v>
          </cell>
          <cell r="I597">
            <v>0.3841183347566387</v>
          </cell>
          <cell r="J597">
            <v>0.51838323176081502</v>
          </cell>
        </row>
        <row r="598">
          <cell r="A598" t="str">
            <v>ITOT-SWHCONBR3</v>
          </cell>
          <cell r="B598" t="str">
            <v>VAR_fout</v>
          </cell>
          <cell r="C598" t="str">
            <v>ITOT-ELS</v>
          </cell>
          <cell r="G598">
            <v>2.3867093230823125E-3</v>
          </cell>
          <cell r="H598">
            <v>5.4823208846921491E-3</v>
          </cell>
          <cell r="I598">
            <v>2.2987385511850968</v>
          </cell>
          <cell r="J598">
            <v>2.298728638522193</v>
          </cell>
        </row>
        <row r="599">
          <cell r="A599" t="str">
            <v>ITOT-SWHCONBR3</v>
          </cell>
          <cell r="B599" t="str">
            <v>VAR_fout</v>
          </cell>
          <cell r="C599" t="str">
            <v>ITOT-SWHC</v>
          </cell>
          <cell r="G599">
            <v>4.7365600415444197E-3</v>
          </cell>
          <cell r="H599">
            <v>1.0879976789055244E-2</v>
          </cell>
          <cell r="I599">
            <v>4.5619770544322487</v>
          </cell>
          <cell r="J599">
            <v>4.5619573821904096</v>
          </cell>
        </row>
        <row r="600">
          <cell r="A600" t="str">
            <v>ITOT-SWHCONBR3</v>
          </cell>
          <cell r="B600" t="str">
            <v>VAR_fin</v>
          </cell>
          <cell r="C600" t="str">
            <v>CON</v>
          </cell>
          <cell r="G600">
            <v>7.1232693646267357E-3</v>
          </cell>
          <cell r="H600">
            <v>1.6362297673747389E-2</v>
          </cell>
          <cell r="I600">
            <v>6.8607156056173482</v>
          </cell>
          <cell r="J600">
            <v>6.8606860207125981</v>
          </cell>
        </row>
        <row r="601">
          <cell r="A601" t="str">
            <v>ITOT-SWHCONBR3</v>
          </cell>
          <cell r="B601" t="str">
            <v>VAR_ncap</v>
          </cell>
          <cell r="C601" t="str">
            <v>-</v>
          </cell>
          <cell r="G601">
            <v>3.7718280768828702E-4</v>
          </cell>
          <cell r="H601">
            <v>5.0109689726360004E-4</v>
          </cell>
          <cell r="I601">
            <v>0.37241945093281698</v>
          </cell>
          <cell r="J601">
            <v>0.102686555210823</v>
          </cell>
        </row>
        <row r="602">
          <cell r="A602" t="str">
            <v>ITOT-SWHCONBR3</v>
          </cell>
          <cell r="B602" t="str">
            <v>VAR_cap</v>
          </cell>
          <cell r="C602" t="str">
            <v>-</v>
          </cell>
          <cell r="G602">
            <v>3.7718280768828702E-4</v>
          </cell>
          <cell r="H602">
            <v>8.7827970495188705E-4</v>
          </cell>
          <cell r="I602">
            <v>0.37317815852396902</v>
          </cell>
          <cell r="J602">
            <v>0.373175797003509</v>
          </cell>
        </row>
        <row r="603">
          <cell r="A603" t="str">
            <v>ITOT-ELCSPECADV</v>
          </cell>
          <cell r="B603" t="str">
            <v>VAR_fout</v>
          </cell>
          <cell r="C603" t="str">
            <v>ITOT-ELS</v>
          </cell>
          <cell r="G603">
            <v>6.8200496968740748E-3</v>
          </cell>
          <cell r="H603">
            <v>1.8009958599717837E-2</v>
          </cell>
          <cell r="I603">
            <v>1.5474477717128284E-2</v>
          </cell>
          <cell r="J603">
            <v>1.7144165152948594E-2</v>
          </cell>
        </row>
        <row r="604">
          <cell r="A604" t="str">
            <v>ITOT-ELCSPECADV</v>
          </cell>
          <cell r="B604" t="str">
            <v>VAR_fin</v>
          </cell>
          <cell r="C604" t="str">
            <v>ITOT_ELC</v>
          </cell>
          <cell r="G604">
            <v>6.4952854255943548E-3</v>
          </cell>
          <cell r="H604">
            <v>1.6753449860202652E-2</v>
          </cell>
          <cell r="I604">
            <v>1.4067707015571165E-2</v>
          </cell>
          <cell r="J604">
            <v>1.4907969698216162E-2</v>
          </cell>
        </row>
        <row r="605">
          <cell r="A605" t="str">
            <v>ITOT-ELCSPECADV</v>
          </cell>
          <cell r="B605" t="str">
            <v>VAR_ncap</v>
          </cell>
          <cell r="C605" t="str">
            <v>-</v>
          </cell>
          <cell r="G605">
            <v>7.04528266115286E-4</v>
          </cell>
          <cell r="H605">
            <v>5.4013030744578497E-4</v>
          </cell>
          <cell r="I605">
            <v>1.9417828434349699E-5</v>
          </cell>
          <cell r="J605">
            <v>1.67817536934631E-5</v>
          </cell>
        </row>
        <row r="606">
          <cell r="A606" t="str">
            <v>ITOT-ELCSPECADV</v>
          </cell>
          <cell r="B606" t="str">
            <v>VAR_cap</v>
          </cell>
          <cell r="C606" t="str">
            <v>-</v>
          </cell>
          <cell r="G606">
            <v>7.04528266115286E-4</v>
          </cell>
          <cell r="H606">
            <v>1.2425624049290092E-3</v>
          </cell>
          <cell r="I606">
            <v>1.2542584413136647E-3</v>
          </cell>
          <cell r="J606">
            <v>1.0194011063148632E-3</v>
          </cell>
        </row>
        <row r="607">
          <cell r="A607" t="str">
            <v>RHES-SHELCBR</v>
          </cell>
          <cell r="B607" t="str">
            <v>VAR_fout</v>
          </cell>
          <cell r="C607" t="str">
            <v>RHES-SHAELCB</v>
          </cell>
          <cell r="D607">
            <v>4.2802842198011852</v>
          </cell>
          <cell r="E607">
            <v>4.4883656794970577</v>
          </cell>
          <cell r="F607">
            <v>0.78647818589278051</v>
          </cell>
          <cell r="G607">
            <v>0.18593332401573226</v>
          </cell>
          <cell r="H607">
            <v>1.3559624785440358E-2</v>
          </cell>
          <cell r="I607">
            <v>3.4306243686517785E-3</v>
          </cell>
          <cell r="J607">
            <v>1.9542093614694769E-3</v>
          </cell>
        </row>
        <row r="608">
          <cell r="A608" t="str">
            <v>RHES-SHELCBR</v>
          </cell>
          <cell r="B608" t="str">
            <v>VAR_fin</v>
          </cell>
          <cell r="C608" t="str">
            <v>RHES_ELC</v>
          </cell>
          <cell r="D608">
            <v>4.5055623366328259</v>
          </cell>
          <cell r="E608">
            <v>4.7245954521021698</v>
          </cell>
          <cell r="F608">
            <v>0.85720904909904283</v>
          </cell>
          <cell r="G608">
            <v>0.20265498870057488</v>
          </cell>
          <cell r="H608">
            <v>1.477909149542735E-2</v>
          </cell>
          <cell r="I608">
            <v>3.6992155352620101E-3</v>
          </cell>
          <cell r="J608">
            <v>2.0687034042513163E-3</v>
          </cell>
        </row>
        <row r="609">
          <cell r="A609" t="str">
            <v>RHES-SHELCBR</v>
          </cell>
          <cell r="B609" t="str">
            <v>VAR_ncap</v>
          </cell>
          <cell r="C609" t="str">
            <v>-</v>
          </cell>
          <cell r="D609">
            <v>5.0448330531093404E-7</v>
          </cell>
          <cell r="E609">
            <v>1.7234735377372901E-2</v>
          </cell>
          <cell r="F609">
            <v>3.3047735763248401E-6</v>
          </cell>
          <cell r="G609">
            <v>5.5423657146273401E-6</v>
          </cell>
          <cell r="H609">
            <v>3.21502410703926E-5</v>
          </cell>
          <cell r="I609">
            <v>4.2993652982383803E-4</v>
          </cell>
          <cell r="J609">
            <v>4.9415342843582199E-6</v>
          </cell>
        </row>
        <row r="610">
          <cell r="A610" t="str">
            <v>RHES-SHELCBR</v>
          </cell>
          <cell r="B610" t="str">
            <v>VAR_cap</v>
          </cell>
          <cell r="C610" t="str">
            <v>-</v>
          </cell>
          <cell r="D610">
            <v>0.34576980435963828</v>
          </cell>
          <cell r="E610">
            <v>0.3630014802739262</v>
          </cell>
          <cell r="F610">
            <v>0.1151385168950595</v>
          </cell>
          <cell r="G610">
            <v>2.7359641309959104E-2</v>
          </cell>
          <cell r="H610">
            <v>2.0745799886377342E-3</v>
          </cell>
          <cell r="I610">
            <v>4.5378640528403807E-4</v>
          </cell>
          <cell r="J610">
            <v>2.3234173578583851E-4</v>
          </cell>
        </row>
        <row r="611">
          <cell r="A611" t="str">
            <v>RHSA-WHELCBR</v>
          </cell>
          <cell r="B611" t="str">
            <v>VAR_fout</v>
          </cell>
          <cell r="C611" t="str">
            <v>RHSA-WHAELCB</v>
          </cell>
          <cell r="D611">
            <v>6.6450401712067455</v>
          </cell>
          <cell r="E611">
            <v>6.9687574275601136</v>
          </cell>
          <cell r="F611">
            <v>2.8222235255705348</v>
          </cell>
          <cell r="G611">
            <v>2.0093105574710819</v>
          </cell>
          <cell r="H611">
            <v>1.8599727550549274</v>
          </cell>
          <cell r="I611">
            <v>1.7215038128548981</v>
          </cell>
          <cell r="J611">
            <v>1.5550888267798728</v>
          </cell>
        </row>
        <row r="612">
          <cell r="A612" t="str">
            <v>RHSA-WHELCBR</v>
          </cell>
          <cell r="B612" t="str">
            <v>VAR_fin</v>
          </cell>
          <cell r="C612" t="str">
            <v>RHSA_ELC</v>
          </cell>
          <cell r="D612">
            <v>8.4114432546920828</v>
          </cell>
          <cell r="E612">
            <v>8.7989361459092343</v>
          </cell>
          <cell r="F612">
            <v>6.0594201068162699</v>
          </cell>
          <cell r="G612">
            <v>4.1402415107855282</v>
          </cell>
          <cell r="H612">
            <v>3.7484737581233953</v>
          </cell>
          <cell r="I612">
            <v>3.4108421979222174</v>
          </cell>
          <cell r="J612">
            <v>2.9944918132330121</v>
          </cell>
        </row>
        <row r="613">
          <cell r="A613" t="str">
            <v>RHSA-WHELCBR</v>
          </cell>
          <cell r="B613" t="str">
            <v>VAR_ncap</v>
          </cell>
          <cell r="C613" t="str">
            <v>-</v>
          </cell>
          <cell r="D613">
            <v>4.8522223533181398E-4</v>
          </cell>
          <cell r="E613">
            <v>3.42205483671617E-2</v>
          </cell>
          <cell r="F613">
            <v>6.2666672536612602E-6</v>
          </cell>
          <cell r="G613">
            <v>1.11083084967643E-5</v>
          </cell>
          <cell r="H613">
            <v>5.9341301530155301E-2</v>
          </cell>
          <cell r="I613">
            <v>8.89881226578422E-2</v>
          </cell>
          <cell r="J613">
            <v>4.8541097516170098E-2</v>
          </cell>
        </row>
        <row r="614">
          <cell r="A614" t="str">
            <v>RHSA-WHELCBR</v>
          </cell>
          <cell r="B614" t="str">
            <v>VAR_cap</v>
          </cell>
          <cell r="C614" t="str">
            <v>-</v>
          </cell>
          <cell r="D614">
            <v>0.43805381100900881</v>
          </cell>
          <cell r="E614">
            <v>0.47226492076174675</v>
          </cell>
          <cell r="F614">
            <v>0.34825311645012907</v>
          </cell>
          <cell r="G614">
            <v>0.25497296554436588</v>
          </cell>
          <cell r="H614">
            <v>0.13406737786247211</v>
          </cell>
          <cell r="I614">
            <v>0.14831721474331847</v>
          </cell>
          <cell r="J614">
            <v>0.13820878016960519</v>
          </cell>
        </row>
        <row r="615">
          <cell r="A615" t="str">
            <v>ITOT-SWHLTHDH</v>
          </cell>
          <cell r="B615" t="str">
            <v>VAR_fout</v>
          </cell>
          <cell r="C615" t="str">
            <v>ITOT-SWH</v>
          </cell>
          <cell r="D615">
            <v>6.5824646464109744</v>
          </cell>
          <cell r="E615">
            <v>7.0678935623555006</v>
          </cell>
          <cell r="F615">
            <v>7.0905443365677856</v>
          </cell>
          <cell r="G615">
            <v>7.1283840021187768</v>
          </cell>
          <cell r="H615">
            <v>7.1661378789950358</v>
          </cell>
          <cell r="I615">
            <v>7.2030321047667991</v>
          </cell>
          <cell r="J615">
            <v>8.0870394899735771</v>
          </cell>
        </row>
        <row r="616">
          <cell r="A616" t="str">
            <v>ITOT-SWHLTHDH</v>
          </cell>
          <cell r="B616" t="str">
            <v>VAR_fin</v>
          </cell>
          <cell r="C616" t="str">
            <v>ITOT_LTH_DH</v>
          </cell>
          <cell r="D616">
            <v>7.1202094790041857</v>
          </cell>
          <cell r="E616">
            <v>7.6289546232497099</v>
          </cell>
          <cell r="F616">
            <v>7.6289456009858734</v>
          </cell>
          <cell r="G616">
            <v>7.6290252733156585</v>
          </cell>
          <cell r="H616">
            <v>7.6290127759654762</v>
          </cell>
          <cell r="I616">
            <v>7.6280900296952057</v>
          </cell>
          <cell r="J616">
            <v>8.5126731473406103</v>
          </cell>
        </row>
        <row r="617">
          <cell r="A617" t="str">
            <v>ITOT-SWHLTHDH</v>
          </cell>
          <cell r="B617" t="str">
            <v>VAR_fin</v>
          </cell>
          <cell r="C617" t="str">
            <v>ITOTLTHDHC</v>
          </cell>
          <cell r="D617">
            <v>6.5824646464109744</v>
          </cell>
          <cell r="E617">
            <v>7.0678935623555006</v>
          </cell>
          <cell r="F617">
            <v>7.0905443365677856</v>
          </cell>
          <cell r="G617">
            <v>7.1283840021187768</v>
          </cell>
          <cell r="H617">
            <v>7.1661378789950358</v>
          </cell>
          <cell r="I617">
            <v>7.2030321047667991</v>
          </cell>
          <cell r="J617">
            <v>8.0870394899735771</v>
          </cell>
        </row>
        <row r="618">
          <cell r="A618" t="str">
            <v>ITOT-SWHLTHDH</v>
          </cell>
          <cell r="B618" t="str">
            <v>VAR_ncap</v>
          </cell>
          <cell r="C618" t="str">
            <v>-</v>
          </cell>
          <cell r="E618">
            <v>0.32363936147823202</v>
          </cell>
          <cell r="F618">
            <v>0.35416572165885002</v>
          </cell>
          <cell r="G618">
            <v>0.24020758780524001</v>
          </cell>
          <cell r="H618">
            <v>0.30720215706726001</v>
          </cell>
          <cell r="I618">
            <v>0.38204002696274297</v>
          </cell>
          <cell r="J618">
            <v>0.58926461992578105</v>
          </cell>
        </row>
        <row r="619">
          <cell r="A619" t="str">
            <v>ITOT-SWHLTHDH</v>
          </cell>
          <cell r="B619" t="str">
            <v>VAR_cap</v>
          </cell>
          <cell r="C619" t="str">
            <v>-</v>
          </cell>
          <cell r="D619">
            <v>0.79547229253225304</v>
          </cell>
          <cell r="E619">
            <v>0.58363824373771311</v>
          </cell>
          <cell r="F619">
            <v>0.6607116936131151</v>
          </cell>
          <cell r="G619">
            <v>0.55300932339656494</v>
          </cell>
          <cell r="H619">
            <v>0.52743852570495697</v>
          </cell>
          <cell r="I619">
            <v>0.59812960915029401</v>
          </cell>
          <cell r="J619">
            <v>0.79530576038510803</v>
          </cell>
        </row>
        <row r="620">
          <cell r="A620" t="str">
            <v>RHES-SHCONBR2</v>
          </cell>
          <cell r="B620" t="str">
            <v>VAR_fout</v>
          </cell>
          <cell r="C620" t="str">
            <v>RHES-SHCON</v>
          </cell>
          <cell r="D620">
            <v>7.2258420511681104E-2</v>
          </cell>
          <cell r="E620">
            <v>0.82124890496275127</v>
          </cell>
          <cell r="F620">
            <v>0.59008665314887176</v>
          </cell>
          <cell r="G620">
            <v>0.8464830400040767</v>
          </cell>
          <cell r="H620">
            <v>1.4291022430256857</v>
          </cell>
          <cell r="I620">
            <v>2.9189416641923858</v>
          </cell>
          <cell r="J620">
            <v>4.6683340161693048</v>
          </cell>
        </row>
        <row r="621">
          <cell r="A621" t="str">
            <v>RHES-SHCONBR2</v>
          </cell>
          <cell r="B621" t="str">
            <v>VAR_fin</v>
          </cell>
          <cell r="C621" t="str">
            <v>CON</v>
          </cell>
          <cell r="D621">
            <v>7.2258420511681104E-2</v>
          </cell>
          <cell r="E621">
            <v>0.82124890496275127</v>
          </cell>
          <cell r="F621">
            <v>0.59008665314887176</v>
          </cell>
          <cell r="G621">
            <v>0.8464830400040767</v>
          </cell>
          <cell r="H621">
            <v>1.4291022430256857</v>
          </cell>
          <cell r="I621">
            <v>2.9189416641923858</v>
          </cell>
          <cell r="J621">
            <v>4.6683340161693048</v>
          </cell>
        </row>
        <row r="622">
          <cell r="A622" t="str">
            <v>RHES-SHCONBR2</v>
          </cell>
          <cell r="B622" t="str">
            <v>VAR_ncap</v>
          </cell>
          <cell r="C622" t="str">
            <v>-</v>
          </cell>
          <cell r="D622">
            <v>3.31520119598619E-2</v>
          </cell>
          <cell r="E622">
            <v>3.3151955171501699E-2</v>
          </cell>
          <cell r="F622">
            <v>1.6385129819626399E-5</v>
          </cell>
          <cell r="G622">
            <v>3.0238886906695699E-3</v>
          </cell>
          <cell r="H622">
            <v>4.6512055202892401E-2</v>
          </cell>
          <cell r="I622">
            <v>0.120263679186335</v>
          </cell>
          <cell r="J622">
            <v>0.17170918496558801</v>
          </cell>
        </row>
        <row r="623">
          <cell r="A623" t="str">
            <v>RHES-SHCONBR2</v>
          </cell>
          <cell r="B623" t="str">
            <v>VAR_cap</v>
          </cell>
          <cell r="C623" t="str">
            <v>-</v>
          </cell>
          <cell r="D623">
            <v>3.31520119598619E-2</v>
          </cell>
          <cell r="E623">
            <v>6.6303746486876536E-2</v>
          </cell>
          <cell r="F623">
            <v>6.6311432076323049E-2</v>
          </cell>
          <cell r="G623">
            <v>6.9335830299267848E-2</v>
          </cell>
          <cell r="H623">
            <v>0.11584708622294938</v>
          </cell>
          <cell r="I623">
            <v>0.23611315313685122</v>
          </cell>
          <cell r="J623">
            <v>0.37730723723714998</v>
          </cell>
        </row>
        <row r="624">
          <cell r="A624" t="str">
            <v>ITOT-SWHCONBR4</v>
          </cell>
          <cell r="B624" t="str">
            <v>VAR_fout</v>
          </cell>
          <cell r="C624" t="str">
            <v>ITOT-ELS</v>
          </cell>
          <cell r="H624">
            <v>1.0003108923365592E-3</v>
          </cell>
          <cell r="I624">
            <v>1.560175748418238E-3</v>
          </cell>
          <cell r="J624">
            <v>1.5559695891887888E-3</v>
          </cell>
        </row>
        <row r="625">
          <cell r="A625" t="str">
            <v>ITOT-SWHCONBR4</v>
          </cell>
          <cell r="B625" t="str">
            <v>VAR_fout</v>
          </cell>
          <cell r="C625" t="str">
            <v>ITOT-SWHC</v>
          </cell>
          <cell r="H625">
            <v>1.0749879450697141E-2</v>
          </cell>
          <cell r="I625">
            <v>1.676648864456665E-2</v>
          </cell>
          <cell r="J625">
            <v>1.6721286992746796E-2</v>
          </cell>
        </row>
        <row r="626">
          <cell r="A626" t="str">
            <v>ITOT-SWHCONBR4</v>
          </cell>
          <cell r="B626" t="str">
            <v>VAR_fin</v>
          </cell>
          <cell r="C626" t="str">
            <v>CON</v>
          </cell>
          <cell r="H626">
            <v>1.1750190343033717E-2</v>
          </cell>
          <cell r="I626">
            <v>1.8326664392984891E-2</v>
          </cell>
          <cell r="J626">
            <v>1.8277256581935582E-2</v>
          </cell>
        </row>
        <row r="627">
          <cell r="A627" t="str">
            <v>ITOT-SWHCONBR4</v>
          </cell>
          <cell r="B627" t="str">
            <v>VAR_ncap</v>
          </cell>
          <cell r="C627" t="str">
            <v>-</v>
          </cell>
          <cell r="H627">
            <v>6.1343350723704396E-4</v>
          </cell>
          <cell r="I627">
            <v>3.6918490445541502E-4</v>
          </cell>
          <cell r="J627">
            <v>4.5601470900947301E-4</v>
          </cell>
        </row>
        <row r="628">
          <cell r="A628" t="str">
            <v>ITOT-SWHCONBR4</v>
          </cell>
          <cell r="B628" t="str">
            <v>VAR_cap</v>
          </cell>
          <cell r="C628" t="str">
            <v>-</v>
          </cell>
          <cell r="H628">
            <v>6.1343350723704396E-4</v>
          </cell>
          <cell r="I628">
            <v>9.8261841169245898E-4</v>
          </cell>
          <cell r="J628">
            <v>9.83423663197712E-4</v>
          </cell>
        </row>
        <row r="629">
          <cell r="A629" t="str">
            <v>D-ITOT_NKEV_GAS_ELC_CHP</v>
          </cell>
          <cell r="B629" t="str">
            <v>VAR_fout</v>
          </cell>
          <cell r="C629" t="str">
            <v>ITOT_ELC</v>
          </cell>
          <cell r="D629">
            <v>0.62476486145644394</v>
          </cell>
          <cell r="E629">
            <v>0.18095712815102022</v>
          </cell>
          <cell r="F629">
            <v>0.44103513524332366</v>
          </cell>
          <cell r="G629">
            <v>4.2369970920499586E-2</v>
          </cell>
          <cell r="H629">
            <v>0.63085352037263476</v>
          </cell>
          <cell r="I629">
            <v>0.15082090685613186</v>
          </cell>
          <cell r="J629">
            <v>0.63102011375057587</v>
          </cell>
        </row>
        <row r="630">
          <cell r="A630" t="str">
            <v>D-ITOT_NKEV_GAS_ELC_CHP</v>
          </cell>
          <cell r="B630" t="str">
            <v>VAR_fout</v>
          </cell>
          <cell r="C630" t="str">
            <v>ELC5</v>
          </cell>
          <cell r="D630">
            <v>4.5456673347009063E-2</v>
          </cell>
          <cell r="E630">
            <v>3.5568578728244378E-2</v>
          </cell>
          <cell r="F630">
            <v>3.3417528286991086E-2</v>
          </cell>
          <cell r="G630">
            <v>9.6791291603495772E-3</v>
          </cell>
          <cell r="H630">
            <v>3.9438547085149385E-2</v>
          </cell>
          <cell r="I630">
            <v>4.0970601535011947E-2</v>
          </cell>
          <cell r="J630">
            <v>3.9142166772355491E-2</v>
          </cell>
        </row>
        <row r="631">
          <cell r="A631" t="str">
            <v>D-ITOT_NKEV_GAS_ELC_CHP</v>
          </cell>
          <cell r="B631" t="str">
            <v>VAR_fin</v>
          </cell>
          <cell r="C631" t="str">
            <v>ITOT_NKEV_GAS_ELC_CHP</v>
          </cell>
          <cell r="D631">
            <v>0.67022153480345359</v>
          </cell>
          <cell r="E631">
            <v>0.2165257068792647</v>
          </cell>
          <cell r="F631">
            <v>0.47426138968811049</v>
          </cell>
          <cell r="G631">
            <v>5.1811120007294945E-2</v>
          </cell>
          <cell r="H631">
            <v>0.67029206745778391</v>
          </cell>
          <cell r="I631">
            <v>0.19179150839114378</v>
          </cell>
          <cell r="J631">
            <v>0.67016228052293147</v>
          </cell>
        </row>
        <row r="632">
          <cell r="A632" t="str">
            <v>SCOM-SHELCBR</v>
          </cell>
          <cell r="B632" t="str">
            <v>VAR_fout</v>
          </cell>
          <cell r="C632" t="str">
            <v>SCOM-SHAELCB</v>
          </cell>
          <cell r="D632">
            <v>2.3942948261139705</v>
          </cell>
          <cell r="E632">
            <v>0.59042384341414011</v>
          </cell>
          <cell r="F632">
            <v>0.52198776015302872</v>
          </cell>
          <cell r="G632">
            <v>0.30401608889524623</v>
          </cell>
          <cell r="H632">
            <v>0.26582719450411385</v>
          </cell>
          <cell r="I632">
            <v>0.21834346632994475</v>
          </cell>
          <cell r="J632">
            <v>0.15819913328691002</v>
          </cell>
        </row>
        <row r="633">
          <cell r="A633" t="str">
            <v>SCOM-SHELCBR</v>
          </cell>
          <cell r="B633" t="str">
            <v>VAR_fin</v>
          </cell>
          <cell r="C633" t="str">
            <v>SCOM_ELC</v>
          </cell>
          <cell r="D633">
            <v>2.6238847409468149</v>
          </cell>
          <cell r="E633">
            <v>0.64527196001545362</v>
          </cell>
          <cell r="F633">
            <v>1.1044682177838305</v>
          </cell>
          <cell r="G633">
            <v>0.61480768134112684</v>
          </cell>
          <cell r="H633">
            <v>0.53081232668661837</v>
          </cell>
          <cell r="I633">
            <v>0.42934727752138246</v>
          </cell>
          <cell r="J633">
            <v>0.29826331833074221</v>
          </cell>
        </row>
        <row r="634">
          <cell r="A634" t="str">
            <v>SCOM-SHELCBR</v>
          </cell>
          <cell r="B634" t="str">
            <v>VAR_ncap</v>
          </cell>
          <cell r="C634" t="str">
            <v>-</v>
          </cell>
          <cell r="D634">
            <v>9.6829738756829003E-5</v>
          </cell>
          <cell r="E634">
            <v>2.5009649616002901E-5</v>
          </cell>
          <cell r="F634">
            <v>2.6864813303570699E-5</v>
          </cell>
          <cell r="G634">
            <v>3.9002855856142701E-5</v>
          </cell>
          <cell r="H634">
            <v>2.34410331429971E-2</v>
          </cell>
          <cell r="I634">
            <v>2.7284274330457402E-3</v>
          </cell>
          <cell r="J634">
            <v>6.1898034841373403E-3</v>
          </cell>
        </row>
        <row r="635">
          <cell r="A635" t="str">
            <v>SCOM-SHELCBR</v>
          </cell>
          <cell r="B635" t="str">
            <v>VAR_cap</v>
          </cell>
          <cell r="C635" t="str">
            <v>-</v>
          </cell>
          <cell r="D635">
            <v>0.18508487809019883</v>
          </cell>
          <cell r="E635">
            <v>8.1554873922687815E-2</v>
          </cell>
          <cell r="F635">
            <v>7.32616740861914E-2</v>
          </cell>
          <cell r="G635">
            <v>4.1944413715354539E-2</v>
          </cell>
          <cell r="H635">
            <v>3.4297845137172496E-2</v>
          </cell>
          <cell r="I635">
            <v>2.6149793098811405E-2</v>
          </cell>
          <cell r="J635">
            <v>1.8046855112669357E-2</v>
          </cell>
        </row>
        <row r="636">
          <cell r="A636" t="str">
            <v>RHES-SHCONBR3</v>
          </cell>
          <cell r="B636" t="str">
            <v>VAR_fout</v>
          </cell>
          <cell r="C636" t="str">
            <v>RHES-SHCON</v>
          </cell>
          <cell r="D636">
            <v>1.6699061450551115E-2</v>
          </cell>
          <cell r="E636">
            <v>0.70683580355509579</v>
          </cell>
          <cell r="F636">
            <v>0.52069693606411482</v>
          </cell>
          <cell r="G636">
            <v>0.69595761631823272</v>
          </cell>
          <cell r="H636">
            <v>0.70237802189823129</v>
          </cell>
          <cell r="I636">
            <v>0.7034696787484791</v>
          </cell>
          <cell r="J636">
            <v>1.8366924597269882</v>
          </cell>
        </row>
        <row r="637">
          <cell r="A637" t="str">
            <v>RHES-SHCONBR3</v>
          </cell>
          <cell r="B637" t="str">
            <v>VAR_fin</v>
          </cell>
          <cell r="C637" t="str">
            <v>CON</v>
          </cell>
          <cell r="D637">
            <v>1.6699061450551115E-2</v>
          </cell>
          <cell r="E637">
            <v>0.70683580355509579</v>
          </cell>
          <cell r="F637">
            <v>0.52069693606411482</v>
          </cell>
          <cell r="G637">
            <v>0.69595761631823272</v>
          </cell>
          <cell r="H637">
            <v>0.70237802189823129</v>
          </cell>
          <cell r="I637">
            <v>0.7034696787484791</v>
          </cell>
          <cell r="J637">
            <v>1.8366924597269882</v>
          </cell>
        </row>
        <row r="638">
          <cell r="A638" t="str">
            <v>RHES-SHCONBR3</v>
          </cell>
          <cell r="B638" t="str">
            <v>VAR_ncap</v>
          </cell>
          <cell r="C638" t="str">
            <v>-</v>
          </cell>
          <cell r="D638">
            <v>2.30879617156814E-3</v>
          </cell>
          <cell r="E638">
            <v>5.4753876563152698E-2</v>
          </cell>
          <cell r="F638">
            <v>3.1535719694432901E-6</v>
          </cell>
          <cell r="G638">
            <v>6.53668542545251E-6</v>
          </cell>
          <cell r="H638">
            <v>2.4529691655932402E-6</v>
          </cell>
          <cell r="I638">
            <v>2.2421421703970001E-6</v>
          </cell>
          <cell r="J638">
            <v>0.11564202787041999</v>
          </cell>
        </row>
        <row r="639">
          <cell r="A639" t="str">
            <v>RHES-SHCONBR3</v>
          </cell>
          <cell r="B639" t="str">
            <v>VAR_cap</v>
          </cell>
          <cell r="C639" t="str">
            <v>-</v>
          </cell>
          <cell r="D639">
            <v>2.30879617156814E-3</v>
          </cell>
          <cell r="E639">
            <v>5.7062445207837771E-2</v>
          </cell>
          <cell r="F639">
            <v>5.7056866748792429E-2</v>
          </cell>
          <cell r="G639">
            <v>5.7064857150923354E-2</v>
          </cell>
          <cell r="H639">
            <v>5.7066977436801322E-2</v>
          </cell>
          <cell r="I639">
            <v>5.7071447725043474E-2</v>
          </cell>
          <cell r="J639">
            <v>0.14846320666508095</v>
          </cell>
        </row>
        <row r="640">
          <cell r="A640" t="str">
            <v>ITOT-SWHCONBR5</v>
          </cell>
          <cell r="B640" t="str">
            <v>VAR_fout</v>
          </cell>
          <cell r="C640" t="str">
            <v>ITOT-ELS</v>
          </cell>
          <cell r="H640">
            <v>1.772921833389415E-3</v>
          </cell>
          <cell r="I640">
            <v>2.7938161094541187E-3</v>
          </cell>
          <cell r="J640">
            <v>2.7857076412015945E-3</v>
          </cell>
        </row>
        <row r="641">
          <cell r="A641" t="str">
            <v>ITOT-SWHCONBR5</v>
          </cell>
          <cell r="B641" t="str">
            <v>VAR_fout</v>
          </cell>
          <cell r="C641" t="str">
            <v>ITOT-SWHC</v>
          </cell>
          <cell r="H641">
            <v>8.6959625974669733E-3</v>
          </cell>
          <cell r="I641">
            <v>1.3703322918398195E-2</v>
          </cell>
          <cell r="J641">
            <v>1.3663551883195879E-2</v>
          </cell>
        </row>
        <row r="642">
          <cell r="A642" t="str">
            <v>ITOT-SWHCONBR5</v>
          </cell>
          <cell r="B642" t="str">
            <v>VAR_fin</v>
          </cell>
          <cell r="C642" t="str">
            <v>CON</v>
          </cell>
          <cell r="H642">
            <v>1.0468884430856395E-2</v>
          </cell>
          <cell r="I642">
            <v>1.6497139027852308E-2</v>
          </cell>
          <cell r="J642">
            <v>1.6449259524397467E-2</v>
          </cell>
        </row>
        <row r="643">
          <cell r="A643" t="str">
            <v>ITOT-SWHCONBR5</v>
          </cell>
          <cell r="B643" t="str">
            <v>VAR_ncap</v>
          </cell>
          <cell r="C643" t="str">
            <v>-</v>
          </cell>
          <cell r="H643">
            <v>5.4690952080444898E-4</v>
          </cell>
          <cell r="I643">
            <v>3.3450050162106998E-4</v>
          </cell>
          <cell r="J643">
            <v>4.0961755346340302E-4</v>
          </cell>
        </row>
        <row r="644">
          <cell r="A644" t="str">
            <v>ITOT-SWHCONBR5</v>
          </cell>
          <cell r="B644" t="str">
            <v>VAR_cap</v>
          </cell>
          <cell r="C644" t="str">
            <v>-</v>
          </cell>
          <cell r="H644">
            <v>5.4690952080444898E-4</v>
          </cell>
          <cell r="I644">
            <v>8.8141002242551902E-4</v>
          </cell>
          <cell r="J644">
            <v>8.8371558331212005E-4</v>
          </cell>
        </row>
        <row r="645">
          <cell r="A645" t="str">
            <v>RHES-SHSTG-ELC</v>
          </cell>
          <cell r="B645" t="str">
            <v>VAR_fout</v>
          </cell>
          <cell r="C645" t="str">
            <v>RHES-SHAELCB</v>
          </cell>
          <cell r="D645">
            <v>0.5295596947952369</v>
          </cell>
          <cell r="E645">
            <v>0.630687366147066</v>
          </cell>
          <cell r="F645">
            <v>0.17941661416046192</v>
          </cell>
          <cell r="G645">
            <v>3.6137951837761938E-2</v>
          </cell>
          <cell r="H645">
            <v>8.2872131768004398E-4</v>
          </cell>
          <cell r="I645">
            <v>2.2093695497162278E-4</v>
          </cell>
          <cell r="J645">
            <v>1.5828896768129371E-4</v>
          </cell>
        </row>
        <row r="646">
          <cell r="A646" t="str">
            <v>RHES-SHSTG-ELC</v>
          </cell>
          <cell r="B646" t="str">
            <v>VAR_fout</v>
          </cell>
          <cell r="C646" t="str">
            <v>AUX_RHES-SHSTG-ELC_OUT</v>
          </cell>
          <cell r="D646">
            <v>0.53008925449003208</v>
          </cell>
          <cell r="E646">
            <v>0.6313180535132128</v>
          </cell>
          <cell r="F646">
            <v>0.17959603077462241</v>
          </cell>
          <cell r="G646">
            <v>3.6174089789599712E-2</v>
          </cell>
          <cell r="H646">
            <v>8.2955003899772418E-4</v>
          </cell>
          <cell r="I646">
            <v>2.2115789192659439E-4</v>
          </cell>
          <cell r="J646">
            <v>1.58447256648975E-4</v>
          </cell>
        </row>
        <row r="647">
          <cell r="A647" t="str">
            <v>RHES-SHSTG-ELC</v>
          </cell>
          <cell r="B647" t="str">
            <v>VAR_fin</v>
          </cell>
          <cell r="C647" t="str">
            <v>RHES-SHAELCB</v>
          </cell>
          <cell r="D647">
            <v>0.5297928129241225</v>
          </cell>
          <cell r="E647">
            <v>0.63067963797189186</v>
          </cell>
          <cell r="F647">
            <v>0.17938942916815809</v>
          </cell>
          <cell r="G647">
            <v>3.6128416633502997E-2</v>
          </cell>
          <cell r="H647">
            <v>8.4048405475964372E-4</v>
          </cell>
          <cell r="I647">
            <v>2.3584990613070514E-4</v>
          </cell>
          <cell r="J647">
            <v>1.6834395769230526E-4</v>
          </cell>
        </row>
        <row r="648">
          <cell r="A648" t="str">
            <v>RHES-SHSTG-ELC</v>
          </cell>
          <cell r="B648" t="str">
            <v>VAR_ncap</v>
          </cell>
          <cell r="C648" t="str">
            <v>-</v>
          </cell>
          <cell r="D648">
            <v>6.88739305719369E-2</v>
          </cell>
          <cell r="E648">
            <v>3.2641418207871698E-4</v>
          </cell>
          <cell r="F648">
            <v>1.5052972513668E-4</v>
          </cell>
          <cell r="G648">
            <v>2.49891745982145E-4</v>
          </cell>
          <cell r="H648">
            <v>3.0069609969804901E-4</v>
          </cell>
          <cell r="I648">
            <v>1.5022993189835499E-4</v>
          </cell>
          <cell r="J648">
            <v>7.8281246783441194E-5</v>
          </cell>
        </row>
        <row r="649">
          <cell r="A649" t="str">
            <v>RHES-SHSTG-ELC</v>
          </cell>
          <cell r="B649" t="str">
            <v>VAR_cap</v>
          </cell>
          <cell r="C649" t="str">
            <v>-</v>
          </cell>
          <cell r="D649">
            <v>6.88739305719369E-2</v>
          </cell>
          <cell r="E649">
            <v>6.4071779155801201E-2</v>
          </cell>
          <cell r="F649">
            <v>2.0330805347952695E-2</v>
          </cell>
          <cell r="G649">
            <v>4.8407277420970118E-3</v>
          </cell>
          <cell r="H649">
            <v>3.649265582111004E-4</v>
          </cell>
          <cell r="I649">
            <v>9.322226436724501E-5</v>
          </cell>
          <cell r="J649">
            <v>5.0910602193380975E-5</v>
          </cell>
        </row>
        <row r="650">
          <cell r="A650" t="str">
            <v>RHES-SHCONBR4</v>
          </cell>
          <cell r="B650" t="str">
            <v>VAR_fout</v>
          </cell>
          <cell r="C650" t="str">
            <v>RHES-SHCON</v>
          </cell>
          <cell r="E650">
            <v>0.42719032628686981</v>
          </cell>
          <cell r="F650">
            <v>0.26974016444879834</v>
          </cell>
          <cell r="G650">
            <v>0.41754170204253577</v>
          </cell>
          <cell r="H650">
            <v>0.4229898426191287</v>
          </cell>
          <cell r="I650">
            <v>0.42396659656042174</v>
          </cell>
          <cell r="J650">
            <v>0.24599393984032722</v>
          </cell>
        </row>
        <row r="651">
          <cell r="A651" t="str">
            <v>RHES-SHCONBR4</v>
          </cell>
          <cell r="B651" t="str">
            <v>VAR_fin</v>
          </cell>
          <cell r="C651" t="str">
            <v>CON</v>
          </cell>
          <cell r="E651">
            <v>0.42719032628686981</v>
          </cell>
          <cell r="F651">
            <v>0.26974016444879834</v>
          </cell>
          <cell r="G651">
            <v>0.41754170204253577</v>
          </cell>
          <cell r="H651">
            <v>0.4229898426191287</v>
          </cell>
          <cell r="I651">
            <v>0.42396659656042174</v>
          </cell>
          <cell r="J651">
            <v>0.24599393984032722</v>
          </cell>
        </row>
        <row r="652">
          <cell r="A652" t="str">
            <v>RHES-SHCONBR4</v>
          </cell>
          <cell r="B652" t="str">
            <v>VAR_ncap</v>
          </cell>
          <cell r="C652" t="str">
            <v>-</v>
          </cell>
          <cell r="E652">
            <v>3.4471174280925797E-2</v>
          </cell>
          <cell r="F652">
            <v>3.8389121687232898E-6</v>
          </cell>
          <cell r="G652">
            <v>4.2276104040918802E-6</v>
          </cell>
          <cell r="H652">
            <v>1.74268662648958E-6</v>
          </cell>
          <cell r="I652">
            <v>1.23180678336049E-6</v>
          </cell>
          <cell r="J652">
            <v>1.28415696525153E-5</v>
          </cell>
        </row>
        <row r="653">
          <cell r="A653" t="str">
            <v>RHES-SHCONBR4</v>
          </cell>
          <cell r="B653" t="str">
            <v>VAR_cap</v>
          </cell>
          <cell r="C653" t="str">
            <v>-</v>
          </cell>
          <cell r="E653">
            <v>3.4471174280925797E-2</v>
          </cell>
          <cell r="F653">
            <v>3.447161791036446E-2</v>
          </cell>
          <cell r="G653">
            <v>3.4474278481411359E-2</v>
          </cell>
          <cell r="H653">
            <v>3.4476289819173708E-2</v>
          </cell>
          <cell r="I653">
            <v>3.4477902805290228E-2</v>
          </cell>
          <cell r="J653">
            <v>1.9948081996822936E-2</v>
          </cell>
        </row>
        <row r="654">
          <cell r="A654" t="str">
            <v>ITOT-SWHCONBR6</v>
          </cell>
          <cell r="B654" t="str">
            <v>VAR_fout</v>
          </cell>
          <cell r="C654" t="str">
            <v>ITOT-SWHC</v>
          </cell>
          <cell r="I654">
            <v>8.2378661174811116E-3</v>
          </cell>
          <cell r="J654">
            <v>8.1812317038449794E-3</v>
          </cell>
        </row>
        <row r="655">
          <cell r="A655" t="str">
            <v>ITOT-SWHCONBR6</v>
          </cell>
          <cell r="B655" t="str">
            <v>VAR_fin</v>
          </cell>
          <cell r="C655" t="str">
            <v>CON</v>
          </cell>
          <cell r="I655">
            <v>8.2378661174811116E-3</v>
          </cell>
          <cell r="J655">
            <v>8.1812317038449794E-3</v>
          </cell>
        </row>
        <row r="656">
          <cell r="A656" t="str">
            <v>ITOT-SWHCONBR6</v>
          </cell>
          <cell r="B656" t="str">
            <v>VAR_ncap</v>
          </cell>
          <cell r="C656" t="str">
            <v>-</v>
          </cell>
          <cell r="I656">
            <v>4.32773591700378E-4</v>
          </cell>
          <cell r="J656">
            <v>1.18869905832451E-4</v>
          </cell>
        </row>
        <row r="657">
          <cell r="A657" t="str">
            <v>ITOT-SWHCONBR6</v>
          </cell>
          <cell r="B657" t="str">
            <v>VAR_cap</v>
          </cell>
          <cell r="C657" t="str">
            <v>-</v>
          </cell>
          <cell r="I657">
            <v>4.32773591700378E-4</v>
          </cell>
          <cell r="J657">
            <v>4.3294820957752401E-4</v>
          </cell>
        </row>
        <row r="658">
          <cell r="A658" t="str">
            <v>RHNM-SHNGAHP</v>
          </cell>
          <cell r="B658" t="str">
            <v>VAR_fout</v>
          </cell>
          <cell r="C658" t="str">
            <v>CO2_R</v>
          </cell>
          <cell r="F658">
            <v>7.8353906385904102</v>
          </cell>
          <cell r="G658">
            <v>19.908045329006899</v>
          </cell>
          <cell r="H658">
            <v>27.881776346250199</v>
          </cell>
          <cell r="I658">
            <v>34.258100795292599</v>
          </cell>
          <cell r="J658">
            <v>39.493709347659298</v>
          </cell>
        </row>
        <row r="659">
          <cell r="A659" t="str">
            <v>RHNM-SHNGAHP</v>
          </cell>
          <cell r="B659" t="str">
            <v>VAR_fout</v>
          </cell>
          <cell r="C659" t="str">
            <v>RHNM-SHANGAH</v>
          </cell>
          <cell r="F659">
            <v>0.26832022199109917</v>
          </cell>
          <cell r="G659">
            <v>0.70512638953435258</v>
          </cell>
          <cell r="H659">
            <v>1.0011233795037575</v>
          </cell>
          <cell r="I659">
            <v>1.2485418761496894</v>
          </cell>
          <cell r="J659">
            <v>1.484397892914036</v>
          </cell>
        </row>
        <row r="660">
          <cell r="A660" t="str">
            <v>RHNM-SHNGAHP</v>
          </cell>
          <cell r="B660" t="str">
            <v>VAR_fin</v>
          </cell>
          <cell r="C660" t="str">
            <v>RNGA</v>
          </cell>
          <cell r="F660">
            <v>0.13892536593245411</v>
          </cell>
          <cell r="G660">
            <v>0.35297952711005165</v>
          </cell>
          <cell r="H660">
            <v>0.49435773663564103</v>
          </cell>
          <cell r="I660">
            <v>0.60741313466830815</v>
          </cell>
          <cell r="J660">
            <v>0.70024307354005833</v>
          </cell>
        </row>
        <row r="661">
          <cell r="A661" t="str">
            <v>RHNM-SHNGAHP</v>
          </cell>
          <cell r="B661" t="str">
            <v>VAR_fin</v>
          </cell>
          <cell r="C661" t="str">
            <v>RHNMELCHPC</v>
          </cell>
          <cell r="F661">
            <v>0.26832022199109917</v>
          </cell>
          <cell r="G661">
            <v>0.70512638953435258</v>
          </cell>
          <cell r="H661">
            <v>1.0011233795037575</v>
          </cell>
          <cell r="I661">
            <v>1.2485418761496894</v>
          </cell>
          <cell r="J661">
            <v>1.484397892914036</v>
          </cell>
        </row>
        <row r="662">
          <cell r="A662" t="str">
            <v>RHNM-SHNGAHP</v>
          </cell>
          <cell r="B662" t="str">
            <v>VAR_ncap</v>
          </cell>
          <cell r="C662" t="str">
            <v>-</v>
          </cell>
          <cell r="E662">
            <v>2.2913636467667201E-5</v>
          </cell>
          <cell r="F662">
            <v>2.2597040185519002E-2</v>
          </cell>
          <cell r="G662">
            <v>3.30596398867994E-2</v>
          </cell>
          <cell r="H662">
            <v>2.39410162536331E-2</v>
          </cell>
          <cell r="I662">
            <v>4.9057259422380699E-2</v>
          </cell>
          <cell r="J662">
            <v>7.0768536989174596E-2</v>
          </cell>
        </row>
        <row r="663">
          <cell r="A663" t="str">
            <v>RHNM-SHNGAHP</v>
          </cell>
          <cell r="B663" t="str">
            <v>VAR_cap</v>
          </cell>
          <cell r="C663" t="str">
            <v>-</v>
          </cell>
          <cell r="E663">
            <v>2.2913636467667201E-5</v>
          </cell>
          <cell r="F663">
            <v>2.2616894191404936E-2</v>
          </cell>
          <cell r="G663">
            <v>5.5674508474238327E-2</v>
          </cell>
          <cell r="H663">
            <v>7.95948988536202E-2</v>
          </cell>
          <cell r="I663">
            <v>9.9569175874483273E-2</v>
          </cell>
          <cell r="J663">
            <v>0.11649319277519558</v>
          </cell>
        </row>
        <row r="664">
          <cell r="A664" t="str">
            <v>RHES-SHCONBR5</v>
          </cell>
          <cell r="B664" t="str">
            <v>VAR_fout</v>
          </cell>
          <cell r="C664" t="str">
            <v>RHES-SHCON</v>
          </cell>
          <cell r="E664">
            <v>1.219398144412339E-2</v>
          </cell>
          <cell r="F664">
            <v>5.7618477899008744E-3</v>
          </cell>
          <cell r="G664">
            <v>7.9357623612823242E-3</v>
          </cell>
          <cell r="H664">
            <v>9.5263491553376212E-3</v>
          </cell>
          <cell r="I664">
            <v>1.0071649249664255E-2</v>
          </cell>
          <cell r="J664">
            <v>6.2160240300213644E-3</v>
          </cell>
        </row>
        <row r="665">
          <cell r="A665" t="str">
            <v>RHES-SHCONBR5</v>
          </cell>
          <cell r="B665" t="str">
            <v>VAR_fin</v>
          </cell>
          <cell r="C665" t="str">
            <v>CON</v>
          </cell>
          <cell r="E665">
            <v>1.219398144412339E-2</v>
          </cell>
          <cell r="F665">
            <v>5.7618477899008744E-3</v>
          </cell>
          <cell r="G665">
            <v>7.9357623612823242E-3</v>
          </cell>
          <cell r="H665">
            <v>9.5263491553376212E-3</v>
          </cell>
          <cell r="I665">
            <v>1.0071649249664255E-2</v>
          </cell>
          <cell r="J665">
            <v>6.2160240300213644E-3</v>
          </cell>
        </row>
        <row r="666">
          <cell r="A666" t="str">
            <v>RHES-SHCONBR5</v>
          </cell>
          <cell r="B666" t="str">
            <v>VAR_ncap</v>
          </cell>
          <cell r="C666" t="str">
            <v>-</v>
          </cell>
          <cell r="E666">
            <v>9.42221424470084E-4</v>
          </cell>
          <cell r="F666">
            <v>4.3802656029921201E-6</v>
          </cell>
          <cell r="G666">
            <v>3.2652298940248502E-6</v>
          </cell>
          <cell r="H666">
            <v>9.8030485743465506E-7</v>
          </cell>
          <cell r="I666">
            <v>7.5665411899463002E-7</v>
          </cell>
          <cell r="J666">
            <v>2.32156304143718E-6</v>
          </cell>
        </row>
        <row r="667">
          <cell r="A667" t="str">
            <v>RHES-SHCONBR5</v>
          </cell>
          <cell r="B667" t="str">
            <v>VAR_cap</v>
          </cell>
          <cell r="C667" t="str">
            <v>-</v>
          </cell>
          <cell r="E667">
            <v>9.42221424470084E-4</v>
          </cell>
          <cell r="F667">
            <v>9.4496067151163135E-4</v>
          </cell>
          <cell r="G667">
            <v>9.4678829516984457E-4</v>
          </cell>
          <cell r="H667">
            <v>9.4729355690389636E-4</v>
          </cell>
          <cell r="I667">
            <v>9.4795248776572121E-4</v>
          </cell>
          <cell r="J667">
            <v>5.5306154596415397E-4</v>
          </cell>
        </row>
        <row r="668">
          <cell r="A668" t="str">
            <v>RHNS-SHCONBR</v>
          </cell>
          <cell r="B668" t="str">
            <v>VAR_fout</v>
          </cell>
          <cell r="C668" t="str">
            <v>RHNS-SHCON</v>
          </cell>
          <cell r="F668">
            <v>2.1804404966817584E-2</v>
          </cell>
          <cell r="G668">
            <v>2.1784211677031373E-2</v>
          </cell>
          <cell r="H668">
            <v>2.4626714860505806E-2</v>
          </cell>
          <cell r="I668">
            <v>2.656002919064674E-2</v>
          </cell>
          <cell r="J668">
            <v>2.6309800984479926E-2</v>
          </cell>
        </row>
        <row r="669">
          <cell r="A669" t="str">
            <v>RHNS-SHCONBR</v>
          </cell>
          <cell r="B669" t="str">
            <v>VAR_fin</v>
          </cell>
          <cell r="C669" t="str">
            <v>CON</v>
          </cell>
          <cell r="F669">
            <v>2.1804404966817584E-2</v>
          </cell>
          <cell r="G669">
            <v>2.1784211677031373E-2</v>
          </cell>
          <cell r="H669">
            <v>2.4626714860505806E-2</v>
          </cell>
          <cell r="I669">
            <v>2.656002919064674E-2</v>
          </cell>
          <cell r="J669">
            <v>2.6309800984479926E-2</v>
          </cell>
        </row>
        <row r="670">
          <cell r="A670" t="str">
            <v>RHNS-SHCONBR</v>
          </cell>
          <cell r="B670" t="str">
            <v>VAR_ncap</v>
          </cell>
          <cell r="C670" t="str">
            <v>-</v>
          </cell>
          <cell r="E670">
            <v>9.1127285801447301E-7</v>
          </cell>
          <cell r="F670">
            <v>1.6262558745084601E-3</v>
          </cell>
          <cell r="G670">
            <v>5.2673782255271703E-6</v>
          </cell>
          <cell r="H670">
            <v>2.1145998930683599E-4</v>
          </cell>
          <cell r="I670">
            <v>1.21005970674019E-4</v>
          </cell>
          <cell r="J670">
            <v>1.18177636729728E-6</v>
          </cell>
        </row>
        <row r="671">
          <cell r="A671" t="str">
            <v>RHNS-SHCONBR</v>
          </cell>
          <cell r="B671" t="str">
            <v>VAR_cap</v>
          </cell>
          <cell r="C671" t="str">
            <v>-</v>
          </cell>
          <cell r="E671">
            <v>9.1127285801447301E-7</v>
          </cell>
          <cell r="F671">
            <v>1.6267066060078916E-3</v>
          </cell>
          <cell r="G671">
            <v>1.6315006195571852E-3</v>
          </cell>
          <cell r="H671">
            <v>1.8421886220566933E-3</v>
          </cell>
          <cell r="I671">
            <v>1.9631990766688328E-3</v>
          </cell>
          <cell r="J671">
            <v>1.9651189173783929E-3</v>
          </cell>
        </row>
        <row r="672">
          <cell r="A672" t="str">
            <v>D-RHEM_SOLELC</v>
          </cell>
          <cell r="B672" t="str">
            <v>VAR_fout</v>
          </cell>
          <cell r="C672" t="str">
            <v>ELC5</v>
          </cell>
          <cell r="D672">
            <v>3.0602681631719215E-2</v>
          </cell>
          <cell r="E672">
            <v>1.363613888344716E-2</v>
          </cell>
          <cell r="F672">
            <v>1.5015768203766993E-2</v>
          </cell>
          <cell r="G672">
            <v>9.4164082334484266E-3</v>
          </cell>
          <cell r="H672">
            <v>1.8361965205644148E-2</v>
          </cell>
          <cell r="I672">
            <v>6.3042827518337702E-2</v>
          </cell>
          <cell r="J672">
            <v>7.1272691781815167E-2</v>
          </cell>
        </row>
        <row r="673">
          <cell r="A673" t="str">
            <v>D-RHEM_SOLELC</v>
          </cell>
          <cell r="B673" t="str">
            <v>VAR_fout</v>
          </cell>
          <cell r="C673" t="str">
            <v>RHEM_ELC</v>
          </cell>
          <cell r="D673">
            <v>0.83188054415412926</v>
          </cell>
          <cell r="E673">
            <v>1.2740056510112312</v>
          </cell>
          <cell r="F673">
            <v>1.5284333443975464</v>
          </cell>
          <cell r="G673">
            <v>1.6636362413438959</v>
          </cell>
          <cell r="H673">
            <v>1.7466963552886028</v>
          </cell>
          <cell r="I673">
            <v>5.6746051703375127</v>
          </cell>
          <cell r="J673">
            <v>6.1727440760680841</v>
          </cell>
        </row>
        <row r="674">
          <cell r="A674" t="str">
            <v>D-RHEM_SOLELC</v>
          </cell>
          <cell r="B674" t="str">
            <v>VAR_fin</v>
          </cell>
          <cell r="C674" t="str">
            <v>RHEM_SOL_ELC</v>
          </cell>
          <cell r="D674">
            <v>0.86248322578584768</v>
          </cell>
          <cell r="E674">
            <v>1.2875876906677814</v>
          </cell>
          <cell r="F674">
            <v>1.5434491126013148</v>
          </cell>
          <cell r="G674">
            <v>1.6730526495773443</v>
          </cell>
          <cell r="H674">
            <v>1.765058320494246</v>
          </cell>
          <cell r="I674">
            <v>5.7376479978558477</v>
          </cell>
          <cell r="J674">
            <v>6.2440167678499039</v>
          </cell>
        </row>
        <row r="675">
          <cell r="A675" t="str">
            <v>ITOT-SWHCONBR7</v>
          </cell>
          <cell r="B675" t="str">
            <v>VAR_fout</v>
          </cell>
          <cell r="C675" t="str">
            <v>ITOT-ELS</v>
          </cell>
          <cell r="J675">
            <v>0.28857237126714569</v>
          </cell>
        </row>
        <row r="676">
          <cell r="A676" t="str">
            <v>ITOT-SWHCONBR7</v>
          </cell>
          <cell r="B676" t="str">
            <v>VAR_fout</v>
          </cell>
          <cell r="C676" t="str">
            <v>ITOT-SWHC</v>
          </cell>
          <cell r="J676">
            <v>5.0320572282824209E-2</v>
          </cell>
        </row>
        <row r="677">
          <cell r="A677" t="str">
            <v>ITOT-SWHCONBR7</v>
          </cell>
          <cell r="B677" t="str">
            <v>VAR_fin</v>
          </cell>
          <cell r="C677" t="str">
            <v>CON</v>
          </cell>
          <cell r="J677">
            <v>0.33889294354997002</v>
          </cell>
        </row>
        <row r="678">
          <cell r="A678" t="str">
            <v>ITOT-SWHCONBR7</v>
          </cell>
          <cell r="B678" t="str">
            <v>VAR_ncap</v>
          </cell>
          <cell r="C678" t="str">
            <v>-</v>
          </cell>
          <cell r="J678">
            <v>1.8425087430001898E-2</v>
          </cell>
        </row>
        <row r="679">
          <cell r="A679" t="str">
            <v>ITOT-SWHCONBR7</v>
          </cell>
          <cell r="B679" t="str">
            <v>VAR_cap</v>
          </cell>
          <cell r="C679" t="str">
            <v>-</v>
          </cell>
          <cell r="J679">
            <v>1.8425087430001898E-2</v>
          </cell>
        </row>
        <row r="680">
          <cell r="A680" t="str">
            <v>RHNS-SHSTG-ELCHP</v>
          </cell>
          <cell r="B680" t="str">
            <v>VAR_fout</v>
          </cell>
          <cell r="C680" t="str">
            <v>RHNS-SHAELCH</v>
          </cell>
          <cell r="E680">
            <v>2.5162947845215836E-3</v>
          </cell>
          <cell r="F680">
            <v>9.1472312291248595E-2</v>
          </cell>
          <cell r="G680">
            <v>0.18618338565279194</v>
          </cell>
          <cell r="H680">
            <v>0.16280076219592507</v>
          </cell>
          <cell r="I680">
            <v>0.25586168242670643</v>
          </cell>
          <cell r="J680">
            <v>0.34451577612601214</v>
          </cell>
        </row>
        <row r="681">
          <cell r="A681" t="str">
            <v>RHNS-SHSTG-ELCHP</v>
          </cell>
          <cell r="B681" t="str">
            <v>VAR_fout</v>
          </cell>
          <cell r="C681" t="str">
            <v>AUX_RHNS-SHSTG-ELCHP_OUT</v>
          </cell>
          <cell r="E681">
            <v>2.5188110793061052E-3</v>
          </cell>
          <cell r="F681">
            <v>9.1563784603539811E-2</v>
          </cell>
          <cell r="G681">
            <v>0.18636956903844473</v>
          </cell>
          <cell r="H681">
            <v>0.16296356295812098</v>
          </cell>
          <cell r="I681">
            <v>0.25611754410913318</v>
          </cell>
          <cell r="J681">
            <v>0.34486029190213768</v>
          </cell>
        </row>
        <row r="682">
          <cell r="A682" t="str">
            <v>RHNS-SHSTG-ELCHP</v>
          </cell>
          <cell r="B682" t="str">
            <v>VAR_fin</v>
          </cell>
          <cell r="C682" t="str">
            <v>RHNS-SHAELCH</v>
          </cell>
          <cell r="E682">
            <v>2.5564377092235978E-3</v>
          </cell>
          <cell r="F682">
            <v>9.1460945652685657E-2</v>
          </cell>
          <cell r="G682">
            <v>0.18623201290343983</v>
          </cell>
          <cell r="H682">
            <v>0.16287666259466932</v>
          </cell>
          <cell r="I682">
            <v>0.25595327299316467</v>
          </cell>
          <cell r="J682">
            <v>0.34461062266255443</v>
          </cell>
        </row>
        <row r="683">
          <cell r="A683" t="str">
            <v>RHNS-SHSTG-ELCHP</v>
          </cell>
          <cell r="B683" t="str">
            <v>VAR_ncap</v>
          </cell>
          <cell r="C683" t="str">
            <v>-</v>
          </cell>
          <cell r="D683">
            <v>3.5059836027373498E-4</v>
          </cell>
          <cell r="E683">
            <v>4.7122400688783E-4</v>
          </cell>
          <cell r="F683">
            <v>1.3975954719076899E-2</v>
          </cell>
          <cell r="G683">
            <v>8.3662255275539204E-3</v>
          </cell>
          <cell r="H683">
            <v>7.30979140562523E-3</v>
          </cell>
          <cell r="I683">
            <v>1.96481274032408E-2</v>
          </cell>
          <cell r="J683">
            <v>2.5141390903580099E-2</v>
          </cell>
        </row>
        <row r="684">
          <cell r="A684" t="str">
            <v>RHNS-SHSTG-ELCHP</v>
          </cell>
          <cell r="B684" t="str">
            <v>VAR_cap</v>
          </cell>
          <cell r="C684" t="str">
            <v>-</v>
          </cell>
          <cell r="D684">
            <v>3.5059836027373498E-4</v>
          </cell>
          <cell r="E684">
            <v>6.1120747221287699E-4</v>
          </cell>
          <cell r="F684">
            <v>1.436895489819014E-2</v>
          </cell>
          <cell r="G684">
            <v>2.2454725487949131E-2</v>
          </cell>
          <cell r="H684">
            <v>2.876899991836426E-2</v>
          </cell>
          <cell r="I684">
            <v>3.40946022045217E-2</v>
          </cell>
          <cell r="J684">
            <v>4.187744045731101E-2</v>
          </cell>
        </row>
        <row r="685">
          <cell r="A685" t="str">
            <v>RHNS-SHSOLBR</v>
          </cell>
          <cell r="B685" t="str">
            <v>VAR_fout</v>
          </cell>
          <cell r="C685" t="str">
            <v>RHNS-SHASOL</v>
          </cell>
          <cell r="E685">
            <v>1.3504348156846839E-2</v>
          </cell>
          <cell r="F685">
            <v>2.1808879269080136E-4</v>
          </cell>
          <cell r="G685">
            <v>3.2929264949403512E-4</v>
          </cell>
          <cell r="H685">
            <v>3.0432361620090633E-4</v>
          </cell>
          <cell r="I685">
            <v>3.0337961423395308E-4</v>
          </cell>
          <cell r="J685">
            <v>5.5031872549270958E-4</v>
          </cell>
        </row>
        <row r="686">
          <cell r="A686" t="str">
            <v>RHNS-SHSOLBR</v>
          </cell>
          <cell r="B686" t="str">
            <v>VAR_fin</v>
          </cell>
          <cell r="C686" t="str">
            <v>SOL</v>
          </cell>
          <cell r="E686">
            <v>1.3504348156846839E-2</v>
          </cell>
          <cell r="F686">
            <v>2.1808879269080136E-4</v>
          </cell>
          <cell r="G686">
            <v>3.2929264949403512E-4</v>
          </cell>
          <cell r="H686">
            <v>3.0432361620090633E-4</v>
          </cell>
          <cell r="I686">
            <v>3.0337961423395308E-4</v>
          </cell>
          <cell r="J686">
            <v>5.5031872549270958E-4</v>
          </cell>
        </row>
        <row r="687">
          <cell r="A687" t="str">
            <v>RHNS-SHSOLBR</v>
          </cell>
          <cell r="B687" t="str">
            <v>VAR_ncap</v>
          </cell>
          <cell r="C687" t="str">
            <v>-</v>
          </cell>
          <cell r="E687">
            <v>2.9730898061927202E-3</v>
          </cell>
          <cell r="F687">
            <v>7.8337957806922298E-4</v>
          </cell>
          <cell r="G687">
            <v>2.38610303247884E-3</v>
          </cell>
          <cell r="H687">
            <v>1.70905423232125E-4</v>
          </cell>
          <cell r="I687">
            <v>5.3890265069170501E-4</v>
          </cell>
          <cell r="J687">
            <v>1.1327662801622099E-3</v>
          </cell>
        </row>
        <row r="688">
          <cell r="A688" t="str">
            <v>RHNS-SHSOLBR</v>
          </cell>
          <cell r="B688" t="str">
            <v>VAR_cap</v>
          </cell>
          <cell r="C688" t="str">
            <v>-</v>
          </cell>
          <cell r="E688">
            <v>2.9730898061927202E-3</v>
          </cell>
          <cell r="F688">
            <v>3.747653372951821E-3</v>
          </cell>
          <cell r="G688">
            <v>6.1134384955136463E-3</v>
          </cell>
          <cell r="H688">
            <v>4.834410456736965E-3</v>
          </cell>
          <cell r="I688">
            <v>2.4686312240867485E-3</v>
          </cell>
          <cell r="J688">
            <v>1.5913606537968385E-3</v>
          </cell>
        </row>
        <row r="689">
          <cell r="A689" t="str">
            <v>RHES-SHPLTBR</v>
          </cell>
          <cell r="B689" t="str">
            <v>VAR_fout</v>
          </cell>
          <cell r="C689" t="str">
            <v>RHES-SHPLT</v>
          </cell>
          <cell r="D689">
            <v>1.295854771101246</v>
          </cell>
          <cell r="E689">
            <v>1.4869235109984249</v>
          </cell>
          <cell r="F689">
            <v>3.1218965082513234E-2</v>
          </cell>
          <cell r="G689">
            <v>3.9855511800673302E-2</v>
          </cell>
          <cell r="H689">
            <v>4.4080522791272322E-2</v>
          </cell>
          <cell r="I689">
            <v>4.965737702321802E-2</v>
          </cell>
          <cell r="J689">
            <v>4.4599042618430937E-2</v>
          </cell>
        </row>
        <row r="690">
          <cell r="A690" t="str">
            <v>RHES-SHPLTBR</v>
          </cell>
          <cell r="B690" t="str">
            <v>VAR_fin</v>
          </cell>
          <cell r="C690" t="str">
            <v>RPLT</v>
          </cell>
          <cell r="D690">
            <v>1.4398386345569405</v>
          </cell>
          <cell r="E690">
            <v>1.6521372344426937</v>
          </cell>
          <cell r="F690">
            <v>4.2499048757309296E-2</v>
          </cell>
          <cell r="G690">
            <v>5.3878263845427141E-2</v>
          </cell>
          <cell r="H690">
            <v>5.9267439135641795E-2</v>
          </cell>
          <cell r="I690">
            <v>6.6113541271583587E-2</v>
          </cell>
          <cell r="J690">
            <v>5.8294830873594605E-2</v>
          </cell>
        </row>
        <row r="691">
          <cell r="A691" t="str">
            <v>RHES-SHPLTBR</v>
          </cell>
          <cell r="B691" t="str">
            <v>VAR_ncap</v>
          </cell>
          <cell r="C691" t="str">
            <v>-</v>
          </cell>
          <cell r="E691">
            <v>1.5549782633415299E-2</v>
          </cell>
          <cell r="F691">
            <v>1.4255671636628001E-6</v>
          </cell>
          <cell r="G691">
            <v>2.0478858254826799E-5</v>
          </cell>
          <cell r="H691">
            <v>1.1991573411629199E-3</v>
          </cell>
          <cell r="I691">
            <v>3.0317235792392998E-3</v>
          </cell>
          <cell r="J691">
            <v>1.0178889561429699E-3</v>
          </cell>
        </row>
        <row r="692">
          <cell r="A692" t="str">
            <v>RHES-SHPLTBR</v>
          </cell>
          <cell r="B692" t="str">
            <v>VAR_cap</v>
          </cell>
          <cell r="C692" t="str">
            <v>-</v>
          </cell>
          <cell r="D692">
            <v>0.104681131456585</v>
          </cell>
          <cell r="E692">
            <v>0.12023014126059102</v>
          </cell>
          <cell r="F692">
            <v>5.1320592504229962E-3</v>
          </cell>
          <cell r="G692">
            <v>5.1489561694068042E-3</v>
          </cell>
          <cell r="H692">
            <v>3.8446841449319147E-3</v>
          </cell>
          <cell r="I692">
            <v>4.2401972236099225E-3</v>
          </cell>
          <cell r="J692">
            <v>3.7231074795563983E-3</v>
          </cell>
        </row>
        <row r="693">
          <cell r="A693" t="str">
            <v>RHES-SHCONBR6</v>
          </cell>
          <cell r="B693" t="str">
            <v>VAR_fout</v>
          </cell>
          <cell r="C693" t="str">
            <v>RHES-SHCON</v>
          </cell>
          <cell r="E693">
            <v>4.702164922596082E-3</v>
          </cell>
          <cell r="F693">
            <v>2.3301709820210351E-3</v>
          </cell>
          <cell r="G693">
            <v>2.547739063032618E-3</v>
          </cell>
          <cell r="H693">
            <v>3.1725811509712839E-3</v>
          </cell>
          <cell r="I693">
            <v>3.3555548406647671E-3</v>
          </cell>
          <cell r="J693">
            <v>2.1672568806109329E-3</v>
          </cell>
        </row>
        <row r="694">
          <cell r="A694" t="str">
            <v>RHES-SHCONBR6</v>
          </cell>
          <cell r="B694" t="str">
            <v>VAR_fin</v>
          </cell>
          <cell r="C694" t="str">
            <v>CON</v>
          </cell>
          <cell r="E694">
            <v>4.702164922596082E-3</v>
          </cell>
          <cell r="F694">
            <v>2.3301709820210351E-3</v>
          </cell>
          <cell r="G694">
            <v>2.547739063032618E-3</v>
          </cell>
          <cell r="H694">
            <v>3.1725811509712839E-3</v>
          </cell>
          <cell r="I694">
            <v>3.3555548406647671E-3</v>
          </cell>
          <cell r="J694">
            <v>2.1672568806109329E-3</v>
          </cell>
        </row>
        <row r="695">
          <cell r="A695" t="str">
            <v>RHES-SHCONBR6</v>
          </cell>
          <cell r="B695" t="str">
            <v>VAR_ncap</v>
          </cell>
          <cell r="C695" t="str">
            <v>-</v>
          </cell>
          <cell r="E695">
            <v>3.3464388712328502E-4</v>
          </cell>
          <cell r="F695">
            <v>4.5663551966776498E-6</v>
          </cell>
          <cell r="G695">
            <v>4.1168360612629897E-6</v>
          </cell>
          <cell r="H695">
            <v>7.4127520406158104E-7</v>
          </cell>
          <cell r="I695">
            <v>5.7815495565137797E-7</v>
          </cell>
          <cell r="J695">
            <v>9.8245702698756808E-7</v>
          </cell>
        </row>
        <row r="696">
          <cell r="A696" t="str">
            <v>RHES-SHCONBR6</v>
          </cell>
          <cell r="B696" t="str">
            <v>VAR_cap</v>
          </cell>
          <cell r="C696" t="str">
            <v>-</v>
          </cell>
          <cell r="E696">
            <v>3.3464388712328502E-4</v>
          </cell>
          <cell r="F696">
            <v>3.3834867549139869E-4</v>
          </cell>
          <cell r="G696">
            <v>3.4163853170315103E-4</v>
          </cell>
          <cell r="H696">
            <v>3.4175192109478893E-4</v>
          </cell>
          <cell r="I696">
            <v>3.4198540953921336E-4</v>
          </cell>
          <cell r="J696">
            <v>2.0159359622804799E-4</v>
          </cell>
        </row>
        <row r="697">
          <cell r="A697" t="str">
            <v>RHSA-WHPLTBR</v>
          </cell>
          <cell r="B697" t="str">
            <v>VAR_fout</v>
          </cell>
          <cell r="C697" t="str">
            <v>RHSA-WHPLT</v>
          </cell>
          <cell r="D697">
            <v>0.16989588833677452</v>
          </cell>
          <cell r="E697">
            <v>0.19486198069243321</v>
          </cell>
          <cell r="F697">
            <v>7.5218280477073046E-2</v>
          </cell>
          <cell r="G697">
            <v>0.10246029685402656</v>
          </cell>
          <cell r="H697">
            <v>0.11497732526493928</v>
          </cell>
          <cell r="I697">
            <v>0.13337998528901565</v>
          </cell>
          <cell r="J697">
            <v>0.1338113885778231</v>
          </cell>
        </row>
        <row r="698">
          <cell r="A698" t="str">
            <v>RHSA-WHPLTBR</v>
          </cell>
          <cell r="B698" t="str">
            <v>VAR_fin</v>
          </cell>
          <cell r="C698" t="str">
            <v>RPLT</v>
          </cell>
          <cell r="D698">
            <v>0.27183342133883914</v>
          </cell>
          <cell r="E698">
            <v>0.31177916910789288</v>
          </cell>
          <cell r="F698">
            <v>0.16632247930164906</v>
          </cell>
          <cell r="G698">
            <v>0.22171337589810897</v>
          </cell>
          <cell r="H698">
            <v>0.24458773074716569</v>
          </cell>
          <cell r="I698">
            <v>0.27702685661190163</v>
          </cell>
          <cell r="J698">
            <v>0.26739448243480823</v>
          </cell>
        </row>
        <row r="699">
          <cell r="A699" t="str">
            <v>RHSA-WHPLTBR</v>
          </cell>
          <cell r="B699" t="str">
            <v>VAR_ncap</v>
          </cell>
          <cell r="C699" t="str">
            <v>-</v>
          </cell>
          <cell r="E699">
            <v>2.0553897283731399E-3</v>
          </cell>
          <cell r="F699">
            <v>2.8160175840249901E-6</v>
          </cell>
          <cell r="G699">
            <v>5.5789752107580097E-5</v>
          </cell>
          <cell r="H699">
            <v>5.1543637670751399E-3</v>
          </cell>
          <cell r="I699">
            <v>4.2613067975601901E-3</v>
          </cell>
          <cell r="J699">
            <v>4.0833458704561598E-3</v>
          </cell>
        </row>
        <row r="700">
          <cell r="A700" t="str">
            <v>RHSA-WHPLTBR</v>
          </cell>
          <cell r="B700" t="str">
            <v>VAR_cap</v>
          </cell>
          <cell r="C700" t="str">
            <v>-</v>
          </cell>
          <cell r="D700">
            <v>1.12410901121583E-2</v>
          </cell>
          <cell r="E700">
            <v>1.3295010748235789E-2</v>
          </cell>
          <cell r="F700">
            <v>9.7550191575930291E-3</v>
          </cell>
          <cell r="G700">
            <v>9.8012393293849514E-3</v>
          </cell>
          <cell r="H700">
            <v>8.2405302738208803E-3</v>
          </cell>
          <cell r="I700">
            <v>9.4459368275739818E-3</v>
          </cell>
          <cell r="J700">
            <v>9.3520477860262186E-3</v>
          </cell>
        </row>
        <row r="701">
          <cell r="A701" t="str">
            <v>ITOT-SWHCONBR8</v>
          </cell>
          <cell r="B701" t="str">
            <v>VAR_fout</v>
          </cell>
          <cell r="C701" t="str">
            <v>ITOT-ELS</v>
          </cell>
          <cell r="J701">
            <v>9.5952217130942149E-4</v>
          </cell>
        </row>
        <row r="702">
          <cell r="A702" t="str">
            <v>ITOT-SWHCONBR8</v>
          </cell>
          <cell r="B702" t="str">
            <v>VAR_fout</v>
          </cell>
          <cell r="C702" t="str">
            <v>ITOT-SWHC</v>
          </cell>
          <cell r="J702">
            <v>3.7047349977923079E-3</v>
          </cell>
        </row>
        <row r="703">
          <cell r="A703" t="str">
            <v>ITOT-SWHCONBR8</v>
          </cell>
          <cell r="B703" t="str">
            <v>VAR_fin</v>
          </cell>
          <cell r="C703" t="str">
            <v>CON</v>
          </cell>
          <cell r="J703">
            <v>4.6642571691017289E-3</v>
          </cell>
        </row>
        <row r="704">
          <cell r="A704" t="str">
            <v>ITOT-SWHCONBR8</v>
          </cell>
          <cell r="B704" t="str">
            <v>VAR_ncap</v>
          </cell>
          <cell r="C704" t="str">
            <v>-</v>
          </cell>
          <cell r="J704">
            <v>2.39368402753215E-4</v>
          </cell>
        </row>
        <row r="705">
          <cell r="A705" t="str">
            <v>ITOT-SWHCONBR8</v>
          </cell>
          <cell r="B705" t="str">
            <v>VAR_cap</v>
          </cell>
          <cell r="C705" t="str">
            <v>-</v>
          </cell>
          <cell r="J705">
            <v>2.39368402753215E-4</v>
          </cell>
        </row>
        <row r="706">
          <cell r="A706" t="str">
            <v>D-SCOM_KEV_HFC_ELC_CHP</v>
          </cell>
          <cell r="B706" t="str">
            <v>VAR_fout</v>
          </cell>
          <cell r="C706" t="str">
            <v>ELC5</v>
          </cell>
          <cell r="G706">
            <v>6.1531255565292712E-3</v>
          </cell>
          <cell r="H706">
            <v>1.0008914265603566E-2</v>
          </cell>
          <cell r="I706">
            <v>9.2255190690913383E-3</v>
          </cell>
          <cell r="J706">
            <v>6.0769556431174918E-3</v>
          </cell>
        </row>
        <row r="707">
          <cell r="A707" t="str">
            <v>D-SCOM_KEV_HFC_ELC_CHP</v>
          </cell>
          <cell r="B707" t="str">
            <v>VAR_fout</v>
          </cell>
          <cell r="C707" t="str">
            <v>SCOM_ELC</v>
          </cell>
          <cell r="G707">
            <v>3.5615049735319093E-2</v>
          </cell>
          <cell r="H707">
            <v>3.2328713777826076E-2</v>
          </cell>
          <cell r="I707">
            <v>3.6546213093861073E-2</v>
          </cell>
          <cell r="J707">
            <v>2.7261951925990787E-2</v>
          </cell>
        </row>
        <row r="708">
          <cell r="A708" t="str">
            <v>D-SCOM_KEV_HFC_ELC_CHP</v>
          </cell>
          <cell r="B708" t="str">
            <v>VAR_fin</v>
          </cell>
          <cell r="C708" t="str">
            <v>SCOM_KEV_HFC_ELC_CHP</v>
          </cell>
          <cell r="G708">
            <v>4.153084339351247E-2</v>
          </cell>
          <cell r="H708">
            <v>4.2069369448235208E-2</v>
          </cell>
          <cell r="I708">
            <v>4.5559261549061349E-2</v>
          </cell>
          <cell r="J708">
            <v>3.31706434913226E-2</v>
          </cell>
        </row>
        <row r="709">
          <cell r="A709" t="str">
            <v>D-EH2R</v>
          </cell>
          <cell r="B709" t="str">
            <v>VAR_fout</v>
          </cell>
          <cell r="C709" t="str">
            <v>EH2</v>
          </cell>
          <cell r="I709">
            <v>7.5231098083459319E-2</v>
          </cell>
          <cell r="J709">
            <v>7.2695614714307355E-2</v>
          </cell>
        </row>
        <row r="710">
          <cell r="A710" t="str">
            <v>D-EH2R</v>
          </cell>
          <cell r="B710" t="str">
            <v>VAR_fin</v>
          </cell>
          <cell r="C710" t="str">
            <v>H2</v>
          </cell>
          <cell r="I710">
            <v>7.5231098083459319E-2</v>
          </cell>
          <cell r="J710">
            <v>7.2695614714307355E-2</v>
          </cell>
        </row>
        <row r="711">
          <cell r="A711" t="str">
            <v>D-EH2R</v>
          </cell>
          <cell r="B711" t="str">
            <v>VAR_ncap</v>
          </cell>
          <cell r="C711" t="str">
            <v>-</v>
          </cell>
          <cell r="H711">
            <v>2.4974600786690299E-5</v>
          </cell>
          <cell r="I711">
            <v>7.8927152429410907E-3</v>
          </cell>
          <cell r="J711">
            <v>4.12788610555703E-3</v>
          </cell>
        </row>
        <row r="712">
          <cell r="A712" t="str">
            <v>D-EH2R</v>
          </cell>
          <cell r="B712" t="str">
            <v>VAR_cap</v>
          </cell>
          <cell r="C712" t="str">
            <v>-</v>
          </cell>
          <cell r="H712">
            <v>2.4974600786690299E-5</v>
          </cell>
          <cell r="I712">
            <v>7.8971387922651091E-3</v>
          </cell>
          <cell r="J712">
            <v>6.8313087707672897E-3</v>
          </cell>
        </row>
        <row r="713">
          <cell r="A713" t="str">
            <v>SCOM-ELCSPECADV</v>
          </cell>
          <cell r="B713" t="str">
            <v>VAR_fout</v>
          </cell>
          <cell r="C713" t="str">
            <v>SCOM-ELS</v>
          </cell>
          <cell r="F713">
            <v>0.12775472640594937</v>
          </cell>
          <cell r="G713">
            <v>7.2037354353215646</v>
          </cell>
          <cell r="H713">
            <v>9.5334693624506297</v>
          </cell>
          <cell r="I713">
            <v>11.670756415220705</v>
          </cell>
          <cell r="J713">
            <v>15.078254096888426</v>
          </cell>
        </row>
        <row r="714">
          <cell r="A714" t="str">
            <v>SCOM-ELCSPECADV</v>
          </cell>
          <cell r="B714" t="str">
            <v>VAR_fin</v>
          </cell>
          <cell r="C714" t="str">
            <v>SCOM_ELC</v>
          </cell>
          <cell r="F714">
            <v>8.5169817603966275E-2</v>
          </cell>
          <cell r="G714">
            <v>4.8024902902143802</v>
          </cell>
          <cell r="H714">
            <v>6.3556462416337567</v>
          </cell>
          <cell r="I714">
            <v>7.7805042768138089</v>
          </cell>
          <cell r="J714">
            <v>10.052169397925605</v>
          </cell>
        </row>
        <row r="715">
          <cell r="A715" t="str">
            <v>SCOM-ELCSPECADV</v>
          </cell>
          <cell r="B715" t="str">
            <v>VAR_ncap</v>
          </cell>
          <cell r="C715" t="str">
            <v>-</v>
          </cell>
          <cell r="F715">
            <v>1.35160441509259E-2</v>
          </cell>
          <cell r="G715">
            <v>0.74791168923540896</v>
          </cell>
          <cell r="H715">
            <v>0.246257318036263</v>
          </cell>
          <cell r="I715">
            <v>0.225913001266799</v>
          </cell>
          <cell r="J715">
            <v>0.62762648910524899</v>
          </cell>
        </row>
        <row r="716">
          <cell r="A716" t="str">
            <v>SCOM-ELCSPECADV</v>
          </cell>
          <cell r="B716" t="str">
            <v>VAR_cap</v>
          </cell>
          <cell r="C716" t="str">
            <v>-</v>
          </cell>
          <cell r="F716">
            <v>1.35160441509259E-2</v>
          </cell>
          <cell r="G716">
            <v>0.76142640080978685</v>
          </cell>
          <cell r="H716">
            <v>1.0076798488607979</v>
          </cell>
          <cell r="I716">
            <v>1.2335875273544308</v>
          </cell>
          <cell r="J716">
            <v>1.5937591017116997</v>
          </cell>
        </row>
        <row r="717">
          <cell r="A717" t="str">
            <v>RHSA-WHLTHRD</v>
          </cell>
          <cell r="B717" t="str">
            <v>VAR_fout</v>
          </cell>
          <cell r="C717" t="str">
            <v>RHSA-WHLTHRD</v>
          </cell>
          <cell r="D717">
            <v>1.317421798800231</v>
          </cell>
          <cell r="E717">
            <v>1.4634149442644346</v>
          </cell>
          <cell r="F717">
            <v>0.95822315729957919</v>
          </cell>
          <cell r="G717">
            <v>1.4685529170094489</v>
          </cell>
          <cell r="H717">
            <v>1.691296241656431</v>
          </cell>
          <cell r="I717">
            <v>1.9678652574345392</v>
          </cell>
          <cell r="J717">
            <v>2.1740260077481506</v>
          </cell>
        </row>
        <row r="718">
          <cell r="A718" t="str">
            <v>RHSA-WHLTHRD</v>
          </cell>
          <cell r="B718" t="str">
            <v>VAR_fin</v>
          </cell>
          <cell r="C718" t="str">
            <v>RHSA_LTH</v>
          </cell>
          <cell r="D718">
            <v>1.7109374010392615</v>
          </cell>
          <cell r="E718">
            <v>1.8956152127777661</v>
          </cell>
          <cell r="F718">
            <v>1.7692406828360636</v>
          </cell>
          <cell r="G718">
            <v>2.6270673376655354</v>
          </cell>
          <cell r="H718">
            <v>2.9821383181373973</v>
          </cell>
          <cell r="I718">
            <v>3.424190234674144</v>
          </cell>
          <cell r="J718">
            <v>3.6974043320068222</v>
          </cell>
        </row>
        <row r="719">
          <cell r="A719" t="str">
            <v>RHSA-WHLTHRD</v>
          </cell>
          <cell r="B719" t="str">
            <v>VAR_ncap</v>
          </cell>
          <cell r="C719" t="str">
            <v>-</v>
          </cell>
          <cell r="E719">
            <v>0.11911678118655999</v>
          </cell>
          <cell r="F719">
            <v>5.8668189307129803E-2</v>
          </cell>
          <cell r="G719">
            <v>6.9455517172225895E-2</v>
          </cell>
          <cell r="H719">
            <v>9.8900040210645801E-2</v>
          </cell>
          <cell r="I719">
            <v>0.135608381102027</v>
          </cell>
          <cell r="J719">
            <v>0.14150416940549601</v>
          </cell>
        </row>
        <row r="720">
          <cell r="A720" t="str">
            <v>RHSA-WHLTHRD</v>
          </cell>
          <cell r="B720" t="str">
            <v>VAR_cap</v>
          </cell>
          <cell r="C720" t="str">
            <v>-</v>
          </cell>
          <cell r="D720">
            <v>0.13737412127568699</v>
          </cell>
          <cell r="E720">
            <v>0.16392851959142299</v>
          </cell>
          <cell r="F720">
            <v>0.10992729029965595</v>
          </cell>
          <cell r="G720">
            <v>0.13192841266689098</v>
          </cell>
          <cell r="H720">
            <v>0.17750542173317102</v>
          </cell>
          <cell r="I720">
            <v>0.23506341246074097</v>
          </cell>
          <cell r="J720">
            <v>0.25502295846188983</v>
          </cell>
        </row>
        <row r="721">
          <cell r="A721" t="str">
            <v>RHES-SHCONBR7</v>
          </cell>
          <cell r="B721" t="str">
            <v>VAR_fout</v>
          </cell>
          <cell r="C721" t="str">
            <v>RHES-SHCON</v>
          </cell>
          <cell r="E721">
            <v>4.5334515276114424E-3</v>
          </cell>
          <cell r="F721">
            <v>2.2504229887761245E-3</v>
          </cell>
          <cell r="G721">
            <v>2.4407068667816854E-3</v>
          </cell>
          <cell r="H721">
            <v>3.0413751328506968E-3</v>
          </cell>
          <cell r="I721">
            <v>3.2145188421648535E-3</v>
          </cell>
          <cell r="J721">
            <v>2.0805141960767558E-3</v>
          </cell>
        </row>
        <row r="722">
          <cell r="A722" t="str">
            <v>RHES-SHCONBR7</v>
          </cell>
          <cell r="B722" t="str">
            <v>VAR_fin</v>
          </cell>
          <cell r="C722" t="str">
            <v>CON</v>
          </cell>
          <cell r="E722">
            <v>4.5334515276114424E-3</v>
          </cell>
          <cell r="F722">
            <v>2.2504229887761245E-3</v>
          </cell>
          <cell r="G722">
            <v>2.4407068667816854E-3</v>
          </cell>
          <cell r="H722">
            <v>3.0413751328506968E-3</v>
          </cell>
          <cell r="I722">
            <v>3.2145188421648535E-3</v>
          </cell>
          <cell r="J722">
            <v>2.0805141960767558E-3</v>
          </cell>
        </row>
        <row r="723">
          <cell r="A723" t="str">
            <v>RHES-SHCONBR7</v>
          </cell>
          <cell r="B723" t="str">
            <v>VAR_ncap</v>
          </cell>
          <cell r="C723" t="str">
            <v>-</v>
          </cell>
          <cell r="E723">
            <v>3.2086524258227099E-4</v>
          </cell>
          <cell r="F723">
            <v>4.7181008282527197E-6</v>
          </cell>
          <cell r="G723">
            <v>3.8281603245428699E-6</v>
          </cell>
          <cell r="H723">
            <v>7.3147761425323099E-7</v>
          </cell>
          <cell r="I723">
            <v>5.7096997004336696E-7</v>
          </cell>
          <cell r="J723">
            <v>9.7167147599938699E-7</v>
          </cell>
        </row>
        <row r="724">
          <cell r="A724" t="str">
            <v>RHES-SHCONBR7</v>
          </cell>
          <cell r="B724" t="str">
            <v>VAR_cap</v>
          </cell>
          <cell r="C724" t="str">
            <v>-</v>
          </cell>
          <cell r="E724">
            <v>3.2086524258227099E-4</v>
          </cell>
          <cell r="F724">
            <v>3.2474141210250547E-4</v>
          </cell>
          <cell r="G724">
            <v>3.2776507424980725E-4</v>
          </cell>
          <cell r="H724">
            <v>3.2787167812590789E-4</v>
          </cell>
          <cell r="I724">
            <v>3.2809532302798439E-4</v>
          </cell>
          <cell r="J724">
            <v>1.9345459022175449E-4</v>
          </cell>
        </row>
        <row r="725">
          <cell r="A725" t="str">
            <v>ITOT-SWHCONBR9</v>
          </cell>
          <cell r="B725" t="str">
            <v>VAR_fout</v>
          </cell>
          <cell r="C725" t="str">
            <v>ITOT-ELS</v>
          </cell>
          <cell r="J725">
            <v>4.7070036543945761E-4</v>
          </cell>
        </row>
        <row r="726">
          <cell r="A726" t="str">
            <v>ITOT-SWHCONBR9</v>
          </cell>
          <cell r="B726" t="str">
            <v>VAR_fout</v>
          </cell>
          <cell r="C726" t="str">
            <v>ITOT-SWHC</v>
          </cell>
          <cell r="J726">
            <v>2.7319421146882739E-3</v>
          </cell>
        </row>
        <row r="727">
          <cell r="A727" t="str">
            <v>ITOT-SWHCONBR9</v>
          </cell>
          <cell r="B727" t="str">
            <v>VAR_fin</v>
          </cell>
          <cell r="C727" t="str">
            <v>CON</v>
          </cell>
          <cell r="J727">
            <v>3.202642480127733E-3</v>
          </cell>
        </row>
        <row r="728">
          <cell r="A728" t="str">
            <v>ITOT-SWHCONBR9</v>
          </cell>
          <cell r="B728" t="str">
            <v>VAR_ncap</v>
          </cell>
          <cell r="C728" t="str">
            <v>-</v>
          </cell>
          <cell r="J728">
            <v>1.5985781837008701E-4</v>
          </cell>
        </row>
        <row r="729">
          <cell r="A729" t="str">
            <v>ITOT-SWHCONBR9</v>
          </cell>
          <cell r="B729" t="str">
            <v>VAR_cap</v>
          </cell>
          <cell r="C729" t="str">
            <v>-</v>
          </cell>
          <cell r="J729">
            <v>1.5985781837008701E-4</v>
          </cell>
        </row>
        <row r="730">
          <cell r="A730" t="str">
            <v>SCOM-SHPLTBR</v>
          </cell>
          <cell r="B730" t="str">
            <v>VAR_fout</v>
          </cell>
          <cell r="C730" t="str">
            <v>SCOM-SHPLT</v>
          </cell>
          <cell r="D730">
            <v>1.8771506481142195</v>
          </cell>
          <cell r="E730">
            <v>2.1601257705803349</v>
          </cell>
          <cell r="F730">
            <v>0.36389940041924101</v>
          </cell>
          <cell r="G730">
            <v>0.47075826318942304</v>
          </cell>
          <cell r="H730">
            <v>0.55067018125800105</v>
          </cell>
          <cell r="I730">
            <v>0.71175550133104226</v>
          </cell>
          <cell r="J730">
            <v>0.73431783870908807</v>
          </cell>
        </row>
        <row r="731">
          <cell r="A731" t="str">
            <v>SCOM-SHPLTBR</v>
          </cell>
          <cell r="B731" t="str">
            <v>VAR_fin</v>
          </cell>
          <cell r="C731" t="str">
            <v>SCOMPLTBRC</v>
          </cell>
          <cell r="D731">
            <v>1.8771506481142195</v>
          </cell>
          <cell r="E731">
            <v>2.1601257705803349</v>
          </cell>
          <cell r="F731">
            <v>0.36389940041924101</v>
          </cell>
          <cell r="G731">
            <v>0.47075826318942304</v>
          </cell>
          <cell r="H731">
            <v>0.55067018125800105</v>
          </cell>
          <cell r="I731">
            <v>0.71175550133104226</v>
          </cell>
          <cell r="J731">
            <v>0.73431783870908807</v>
          </cell>
        </row>
        <row r="732">
          <cell r="A732" t="str">
            <v>SCOM-SHPLTBR</v>
          </cell>
          <cell r="B732" t="str">
            <v>VAR_fin</v>
          </cell>
          <cell r="C732" t="str">
            <v>SPLT</v>
          </cell>
          <cell r="D732">
            <v>2.085722942349133</v>
          </cell>
          <cell r="E732">
            <v>2.4001397450892603</v>
          </cell>
          <cell r="F732">
            <v>0.55263559063612044</v>
          </cell>
          <cell r="G732">
            <v>0.71187208479320641</v>
          </cell>
          <cell r="H732">
            <v>0.82403515484801937</v>
          </cell>
          <cell r="I732">
            <v>1.0493339945128586</v>
          </cell>
          <cell r="J732">
            <v>1.0770210024951972</v>
          </cell>
        </row>
        <row r="733">
          <cell r="A733" t="str">
            <v>SCOM-SHPLTBR</v>
          </cell>
          <cell r="B733" t="str">
            <v>VAR_ncap</v>
          </cell>
          <cell r="C733" t="str">
            <v>-</v>
          </cell>
          <cell r="D733">
            <v>2.42001420874426E-5</v>
          </cell>
          <cell r="E733">
            <v>2.6296532478893402E-2</v>
          </cell>
          <cell r="F733">
            <v>7.1920069004541697E-6</v>
          </cell>
          <cell r="G733">
            <v>1.2354847035082E-4</v>
          </cell>
          <cell r="H733">
            <v>2.6563161249790801E-2</v>
          </cell>
          <cell r="I733">
            <v>3.4095646131080799E-2</v>
          </cell>
          <cell r="J733">
            <v>2.6129909425879599E-2</v>
          </cell>
        </row>
        <row r="734">
          <cell r="A734" t="str">
            <v>SCOM-SHPLTBR</v>
          </cell>
          <cell r="B734" t="str">
            <v>VAR_cap</v>
          </cell>
          <cell r="C734" t="str">
            <v>-</v>
          </cell>
          <cell r="D734">
            <v>0.15053506826628146</v>
          </cell>
          <cell r="E734">
            <v>0.17682883389726675</v>
          </cell>
          <cell r="F734">
            <v>5.3415176111420312E-2</v>
          </cell>
          <cell r="G734">
            <v>5.3496630464142103E-2</v>
          </cell>
          <cell r="H734">
            <v>4.7128038551611295E-2</v>
          </cell>
          <cell r="I734">
            <v>6.0727610019926763E-2</v>
          </cell>
          <cell r="J734">
            <v>6.2100770636975236E-2</v>
          </cell>
        </row>
        <row r="735">
          <cell r="A735" t="str">
            <v>ITOT-SWHELCHP</v>
          </cell>
          <cell r="B735" t="str">
            <v>VAR_fout</v>
          </cell>
          <cell r="C735" t="str">
            <v>ITOT-SWHAELCH</v>
          </cell>
          <cell r="D735">
            <v>1.1089658977082459</v>
          </cell>
          <cell r="E735">
            <v>1.4009596081921354</v>
          </cell>
          <cell r="F735">
            <v>2.5872197533277985</v>
          </cell>
          <cell r="G735">
            <v>6.1196187278782199</v>
          </cell>
          <cell r="H735">
            <v>7.1241064974452311</v>
          </cell>
          <cell r="I735">
            <v>7.1510980652294061</v>
          </cell>
          <cell r="J735">
            <v>10.985126953951735</v>
          </cell>
        </row>
        <row r="736">
          <cell r="A736" t="str">
            <v>ITOT-SWHELCHP</v>
          </cell>
          <cell r="B736" t="str">
            <v>VAR_fin</v>
          </cell>
          <cell r="C736" t="str">
            <v>ITOT_ELC</v>
          </cell>
          <cell r="D736">
            <v>0.35993931544795071</v>
          </cell>
          <cell r="E736">
            <v>0.45111663226873028</v>
          </cell>
          <cell r="F736">
            <v>0.8233330057928927</v>
          </cell>
          <cell r="G736">
            <v>1.910132472519898</v>
          </cell>
          <cell r="H736">
            <v>2.1818553224150228</v>
          </cell>
          <cell r="I736">
            <v>2.1497020421991948</v>
          </cell>
          <cell r="J736">
            <v>3.1847043774483832</v>
          </cell>
        </row>
        <row r="737">
          <cell r="A737" t="str">
            <v>ITOT-SWHELCHP</v>
          </cell>
          <cell r="B737" t="str">
            <v>VAR_fin</v>
          </cell>
          <cell r="C737" t="str">
            <v>ITOTELCHPC</v>
          </cell>
          <cell r="D737">
            <v>1.1089658977082459</v>
          </cell>
          <cell r="E737">
            <v>1.4009596081921354</v>
          </cell>
          <cell r="F737">
            <v>2.5872197533277985</v>
          </cell>
          <cell r="G737">
            <v>6.1196187278782199</v>
          </cell>
          <cell r="H737">
            <v>7.1241064974452311</v>
          </cell>
          <cell r="I737">
            <v>7.1510980652294061</v>
          </cell>
          <cell r="J737">
            <v>10.985126953951735</v>
          </cell>
        </row>
        <row r="738">
          <cell r="A738" t="str">
            <v>ITOT-SWHELCHP</v>
          </cell>
          <cell r="B738" t="str">
            <v>VAR_ncap</v>
          </cell>
          <cell r="C738" t="str">
            <v>-</v>
          </cell>
          <cell r="E738">
            <v>1.9640885298630301E-2</v>
          </cell>
          <cell r="F738">
            <v>6.46038229487539E-2</v>
          </cell>
          <cell r="G738">
            <v>0.19045187201719899</v>
          </cell>
          <cell r="H738">
            <v>0.110148257767477</v>
          </cell>
          <cell r="I738">
            <v>0.148973436456597</v>
          </cell>
          <cell r="J738">
            <v>0.45648716449239801</v>
          </cell>
        </row>
        <row r="739">
          <cell r="A739" t="str">
            <v>ITOT-SWHELCHP</v>
          </cell>
          <cell r="B739" t="str">
            <v>VAR_cap</v>
          </cell>
          <cell r="C739" t="str">
            <v>-</v>
          </cell>
          <cell r="D739">
            <v>6.02631234918991E-2</v>
          </cell>
          <cell r="E739">
            <v>7.9896500982636717E-2</v>
          </cell>
          <cell r="F739">
            <v>0.14448120733309161</v>
          </cell>
          <cell r="G739">
            <v>0.33492623162922935</v>
          </cell>
          <cell r="H739">
            <v>0.39079807943908618</v>
          </cell>
          <cell r="I739">
            <v>0.40037926457609035</v>
          </cell>
          <cell r="J739">
            <v>0.61039341989344797</v>
          </cell>
        </row>
        <row r="740">
          <cell r="A740" t="str">
            <v>RHES-SHCONBR8</v>
          </cell>
          <cell r="B740" t="str">
            <v>VAR_fout</v>
          </cell>
          <cell r="C740" t="str">
            <v>RHES-SHCON</v>
          </cell>
          <cell r="E740">
            <v>1.1216755770109611E-3</v>
          </cell>
          <cell r="F740">
            <v>8.1062154735503877E-4</v>
          </cell>
          <cell r="G740">
            <v>6.7606058836596871E-4</v>
          </cell>
          <cell r="H740">
            <v>8.7302876645287413E-4</v>
          </cell>
          <cell r="I740">
            <v>8.5539195404111721E-4</v>
          </cell>
          <cell r="J740">
            <v>6.3181916283377147E-4</v>
          </cell>
        </row>
        <row r="741">
          <cell r="A741" t="str">
            <v>RHES-SHCONBR8</v>
          </cell>
          <cell r="B741" t="str">
            <v>VAR_fin</v>
          </cell>
          <cell r="C741" t="str">
            <v>CON</v>
          </cell>
          <cell r="E741">
            <v>1.1216755770109611E-3</v>
          </cell>
          <cell r="F741">
            <v>8.1062154735503877E-4</v>
          </cell>
          <cell r="G741">
            <v>6.7606058836596871E-4</v>
          </cell>
          <cell r="H741">
            <v>8.7302876645287413E-4</v>
          </cell>
          <cell r="I741">
            <v>8.5539195404111721E-4</v>
          </cell>
          <cell r="J741">
            <v>6.3181916283377147E-4</v>
          </cell>
        </row>
        <row r="742">
          <cell r="A742" t="str">
            <v>RHES-SHCONBR8</v>
          </cell>
          <cell r="B742" t="str">
            <v>VAR_ncap</v>
          </cell>
          <cell r="C742" t="str">
            <v>-</v>
          </cell>
          <cell r="E742">
            <v>4.2193557851983697E-5</v>
          </cell>
          <cell r="F742">
            <v>2.1417783969150799E-5</v>
          </cell>
          <cell r="G742">
            <v>3.0326668421138501E-6</v>
          </cell>
          <cell r="H742">
            <v>4.7715003409294903E-7</v>
          </cell>
          <cell r="I742">
            <v>3.2857033762492602E-7</v>
          </cell>
          <cell r="J742">
            <v>4.52013135773269E-7</v>
          </cell>
        </row>
        <row r="743">
          <cell r="A743" t="str">
            <v>RHES-SHCONBR8</v>
          </cell>
          <cell r="B743" t="str">
            <v>VAR_cap</v>
          </cell>
          <cell r="C743" t="str">
            <v>-</v>
          </cell>
          <cell r="E743">
            <v>4.2193557851983697E-5</v>
          </cell>
          <cell r="F743">
            <v>6.3226625670363928E-5</v>
          </cell>
          <cell r="G743">
            <v>6.5943015748488846E-5</v>
          </cell>
          <cell r="H743">
            <v>6.6009277839292166E-5</v>
          </cell>
          <cell r="I743">
            <v>6.6092871347604384E-5</v>
          </cell>
          <cell r="J743">
            <v>4.4662537448613812E-5</v>
          </cell>
        </row>
        <row r="744">
          <cell r="A744" t="str">
            <v>RHEM-SHWODBR</v>
          </cell>
          <cell r="B744" t="str">
            <v>VAR_fout</v>
          </cell>
          <cell r="C744" t="str">
            <v>RHEM-SHWOD</v>
          </cell>
          <cell r="D744">
            <v>4.7440122738783943</v>
          </cell>
          <cell r="E744">
            <v>4.9451563845499908</v>
          </cell>
          <cell r="F744">
            <v>4.9531760160823399</v>
          </cell>
          <cell r="G744">
            <v>4.4940201702551414</v>
          </cell>
          <cell r="H744">
            <v>3.9052706181030574</v>
          </cell>
          <cell r="I744">
            <v>3.3011839126872351</v>
          </cell>
          <cell r="J744">
            <v>1.9393192600324656</v>
          </cell>
        </row>
        <row r="745">
          <cell r="A745" t="str">
            <v>RHEM-SHWODBR</v>
          </cell>
          <cell r="B745" t="str">
            <v>VAR_fin</v>
          </cell>
          <cell r="C745" t="str">
            <v>RHEMWODBRC</v>
          </cell>
          <cell r="D745">
            <v>4.7440122738783943</v>
          </cell>
          <cell r="E745">
            <v>4.9451563845499908</v>
          </cell>
          <cell r="F745">
            <v>4.9531760160823399</v>
          </cell>
          <cell r="G745">
            <v>4.4940201702551414</v>
          </cell>
          <cell r="H745">
            <v>3.9052706181030574</v>
          </cell>
          <cell r="I745">
            <v>3.3011839126872351</v>
          </cell>
          <cell r="J745">
            <v>1.9393192600324656</v>
          </cell>
        </row>
        <row r="746">
          <cell r="A746" t="str">
            <v>RHEM-SHWODBR</v>
          </cell>
          <cell r="B746" t="str">
            <v>VAR_fin</v>
          </cell>
          <cell r="C746" t="str">
            <v>RWOD</v>
          </cell>
          <cell r="D746">
            <v>6.5889059359422104</v>
          </cell>
          <cell r="E746">
            <v>6.8682727563194339</v>
          </cell>
          <cell r="F746">
            <v>6.8534670364147772</v>
          </cell>
          <cell r="G746">
            <v>6.1941692434873925</v>
          </cell>
          <cell r="H746">
            <v>5.3826877124976464</v>
          </cell>
          <cell r="I746">
            <v>4.5500667741555105</v>
          </cell>
          <cell r="J746">
            <v>2.5891246277057305</v>
          </cell>
        </row>
        <row r="747">
          <cell r="A747" t="str">
            <v>RHEM-SHWODBR</v>
          </cell>
          <cell r="B747" t="str">
            <v>VAR_ncap</v>
          </cell>
          <cell r="C747" t="str">
            <v>-</v>
          </cell>
          <cell r="D747">
            <v>1.52472387335808E-4</v>
          </cell>
          <cell r="E747">
            <v>1.49898216645135E-2</v>
          </cell>
          <cell r="F747">
            <v>8.5243420664670702E-4</v>
          </cell>
          <cell r="G747">
            <v>1.1615541676413799E-5</v>
          </cell>
          <cell r="H747">
            <v>0.18160167253770701</v>
          </cell>
          <cell r="I747">
            <v>5.5846588204870998E-2</v>
          </cell>
          <cell r="J747">
            <v>2.0693985920366101E-2</v>
          </cell>
        </row>
        <row r="748">
          <cell r="A748" t="str">
            <v>RHEM-SHWODBR</v>
          </cell>
          <cell r="B748" t="str">
            <v>VAR_cap</v>
          </cell>
          <cell r="C748" t="str">
            <v>-</v>
          </cell>
          <cell r="D748">
            <v>0.33522425134232881</v>
          </cell>
          <cell r="E748">
            <v>0.35021119044676657</v>
          </cell>
          <cell r="F748">
            <v>0.35104901654986581</v>
          </cell>
          <cell r="G748">
            <v>0.35099234429248238</v>
          </cell>
          <cell r="H748">
            <v>0.27702923294186899</v>
          </cell>
          <cell r="I748">
            <v>0.23759425182878871</v>
          </cell>
          <cell r="J748">
            <v>0.13803474721702574</v>
          </cell>
        </row>
        <row r="749">
          <cell r="A749" t="str">
            <v>RHES-SHCONBR9</v>
          </cell>
          <cell r="B749" t="str">
            <v>VAR_fout</v>
          </cell>
          <cell r="C749" t="str">
            <v>RHES-SHCON</v>
          </cell>
          <cell r="E749">
            <v>6.0182578113672437E-4</v>
          </cell>
          <cell r="F749">
            <v>4.8405529192973451E-4</v>
          </cell>
          <cell r="G749">
            <v>3.1245775590138796E-4</v>
          </cell>
          <cell r="H749">
            <v>4.5587370200742585E-4</v>
          </cell>
          <cell r="I749">
            <v>3.9867457265460821E-4</v>
          </cell>
          <cell r="J749">
            <v>2.8801481895147284E-4</v>
          </cell>
        </row>
        <row r="750">
          <cell r="A750" t="str">
            <v>RHES-SHCONBR9</v>
          </cell>
          <cell r="B750" t="str">
            <v>VAR_fin</v>
          </cell>
          <cell r="C750" t="str">
            <v>CON</v>
          </cell>
          <cell r="E750">
            <v>6.0182578113672437E-4</v>
          </cell>
          <cell r="F750">
            <v>4.8405529192973451E-4</v>
          </cell>
          <cell r="G750">
            <v>3.1245775590138796E-4</v>
          </cell>
          <cell r="H750">
            <v>4.5587370200742585E-4</v>
          </cell>
          <cell r="I750">
            <v>3.9867457265460821E-4</v>
          </cell>
          <cell r="J750">
            <v>2.8801481895147284E-4</v>
          </cell>
        </row>
        <row r="751">
          <cell r="A751" t="str">
            <v>RHES-SHCONBR9</v>
          </cell>
          <cell r="B751" t="str">
            <v>VAR_ncap</v>
          </cell>
          <cell r="C751" t="str">
            <v>-</v>
          </cell>
          <cell r="E751">
            <v>1.34020802989523E-7</v>
          </cell>
          <cell r="F751">
            <v>4.2290823470072698E-7</v>
          </cell>
          <cell r="G751">
            <v>2.18723319310549E-7</v>
          </cell>
          <cell r="H751">
            <v>1.3850019978691E-7</v>
          </cell>
          <cell r="I751">
            <v>1.1373740850361401E-7</v>
          </cell>
          <cell r="J751">
            <v>1.4634213324759401E-7</v>
          </cell>
        </row>
        <row r="752">
          <cell r="A752" t="str">
            <v>RHES-SHCONBR9</v>
          </cell>
          <cell r="B752" t="str">
            <v>VAR_cap</v>
          </cell>
          <cell r="C752" t="str">
            <v>-</v>
          </cell>
          <cell r="E752">
            <v>1.34020802989523E-7</v>
          </cell>
          <cell r="F752">
            <v>3.18361266442807E-7</v>
          </cell>
          <cell r="G752">
            <v>3.8530728862162801E-7</v>
          </cell>
          <cell r="H752">
            <v>2.4568377949365298E-7</v>
          </cell>
          <cell r="I752">
            <v>2.259759483227181E-7</v>
          </cell>
          <cell r="J752">
            <v>3.6532258239784406E-7</v>
          </cell>
        </row>
        <row r="753">
          <cell r="A753" t="str">
            <v>D-RHNS_LTH_CHPNGA</v>
          </cell>
          <cell r="B753" t="str">
            <v>VAR_fout</v>
          </cell>
          <cell r="C753" t="str">
            <v>RHSA_LTH</v>
          </cell>
          <cell r="D753">
            <v>5.6532733048855277E-4</v>
          </cell>
          <cell r="E753">
            <v>2.3111205245307611E-3</v>
          </cell>
          <cell r="F753">
            <v>4.9928521673070544E-3</v>
          </cell>
          <cell r="G753">
            <v>3.4051021460062788E-4</v>
          </cell>
          <cell r="H753">
            <v>2.585461685025039E-4</v>
          </cell>
          <cell r="I753">
            <v>3.1996775085549908E-4</v>
          </cell>
          <cell r="J753">
            <v>1.7717369182196628E-4</v>
          </cell>
        </row>
        <row r="754">
          <cell r="A754" t="str">
            <v>D-RHNS_LTH_CHPNGA</v>
          </cell>
          <cell r="B754" t="str">
            <v>VAR_fout</v>
          </cell>
          <cell r="C754" t="str">
            <v>LTH</v>
          </cell>
          <cell r="E754">
            <v>3.2104900799197293E-6</v>
          </cell>
          <cell r="F754">
            <v>1.7780841546753672E-6</v>
          </cell>
          <cell r="G754">
            <v>2.0942614211379403E-5</v>
          </cell>
          <cell r="H754">
            <v>3.3483875740903478E-5</v>
          </cell>
          <cell r="I754">
            <v>1.0237072343442276E-4</v>
          </cell>
          <cell r="J754">
            <v>1.1692708954651955E-4</v>
          </cell>
        </row>
        <row r="755">
          <cell r="A755" t="str">
            <v>D-RHNS_LTH_CHPNGA</v>
          </cell>
          <cell r="B755" t="str">
            <v>VAR_fout</v>
          </cell>
          <cell r="C755" t="str">
            <v>RHNS_LTH_CHPNGA_ON</v>
          </cell>
          <cell r="D755">
            <v>3.6732442481197361E-4</v>
          </cell>
          <cell r="E755">
            <v>2.8902406364849551E-3</v>
          </cell>
          <cell r="G755">
            <v>8.9658571872949089E-5</v>
          </cell>
          <cell r="H755">
            <v>1.207621111810801E-4</v>
          </cell>
          <cell r="I755">
            <v>7.6532198715155379E-5</v>
          </cell>
          <cell r="J755">
            <v>1.0703812077315995E-4</v>
          </cell>
        </row>
        <row r="756">
          <cell r="A756" t="str">
            <v>D-RHNS_LTH_CHPNGA</v>
          </cell>
          <cell r="B756" t="str">
            <v>VAR_fin</v>
          </cell>
          <cell r="C756" t="str">
            <v>RHNS_LTH_CHPNGA</v>
          </cell>
          <cell r="D756">
            <v>9.3265175530052595E-4</v>
          </cell>
          <cell r="E756">
            <v>5.2049079549352116E-3</v>
          </cell>
          <cell r="F756">
            <v>4.9960632093246932E-3</v>
          </cell>
          <cell r="G756">
            <v>4.5111140068495676E-4</v>
          </cell>
          <cell r="H756">
            <v>4.127921554244874E-4</v>
          </cell>
          <cell r="I756">
            <v>4.9887067300507745E-4</v>
          </cell>
          <cell r="J756">
            <v>4.0113890214164599E-4</v>
          </cell>
        </row>
        <row r="757">
          <cell r="A757" t="str">
            <v>D-SLFO</v>
          </cell>
          <cell r="B757" t="str">
            <v>VAR_fout</v>
          </cell>
          <cell r="C757" t="str">
            <v>CO2</v>
          </cell>
          <cell r="D757">
            <v>2267.7920244305801</v>
          </cell>
          <cell r="E757">
            <v>1933.6967713973099</v>
          </cell>
          <cell r="F757">
            <v>1957.23968949714</v>
          </cell>
          <cell r="G757">
            <v>1160.40081782383</v>
          </cell>
          <cell r="H757">
            <v>835.08316785970499</v>
          </cell>
          <cell r="I757">
            <v>406.77483808935301</v>
          </cell>
          <cell r="J757">
            <v>6.1128812110336599E-3</v>
          </cell>
        </row>
        <row r="758">
          <cell r="A758" t="str">
            <v>D-SLFO</v>
          </cell>
          <cell r="B758" t="str">
            <v>VAR_fout</v>
          </cell>
          <cell r="C758" t="str">
            <v>SLFO</v>
          </cell>
          <cell r="D758">
            <v>30.256679168903222</v>
          </cell>
          <cell r="E758">
            <v>25.799210065042509</v>
          </cell>
          <cell r="F758">
            <v>26.114252197428314</v>
          </cell>
          <cell r="G758">
            <v>15.489299762393747</v>
          </cell>
          <cell r="H758">
            <v>11.151242568810867</v>
          </cell>
          <cell r="I758">
            <v>5.4348603302027643</v>
          </cell>
          <cell r="J758">
            <v>0.42254364967528873</v>
          </cell>
        </row>
        <row r="759">
          <cell r="A759" t="str">
            <v>D-SLFO</v>
          </cell>
          <cell r="B759" t="str">
            <v>VAR_fin</v>
          </cell>
          <cell r="C759" t="str">
            <v>LFO</v>
          </cell>
          <cell r="D759">
            <v>30.770583777891158</v>
          </cell>
          <cell r="E759">
            <v>26.237405310682689</v>
          </cell>
          <cell r="F759">
            <v>26.556847890056115</v>
          </cell>
          <cell r="G759">
            <v>15.744922901273103</v>
          </cell>
          <cell r="H759">
            <v>11.330843525911881</v>
          </cell>
          <cell r="I759">
            <v>5.5193329455814641</v>
          </cell>
          <cell r="J759">
            <v>8.2942757273183945E-5</v>
          </cell>
        </row>
        <row r="760">
          <cell r="A760" t="str">
            <v>D-SLFO</v>
          </cell>
          <cell r="B760" t="str">
            <v>VAR_fin</v>
          </cell>
          <cell r="C760" t="str">
            <v>BDS</v>
          </cell>
          <cell r="F760">
            <v>9.5317539077009793E-4</v>
          </cell>
          <cell r="G760">
            <v>7.4854263886987692E-3</v>
          </cell>
          <cell r="H760">
            <v>9.8297696972346749E-3</v>
          </cell>
          <cell r="I760">
            <v>7.8570146721838457E-3</v>
          </cell>
          <cell r="J760">
            <v>0.42965812067712278</v>
          </cell>
        </row>
        <row r="761">
          <cell r="A761" t="str">
            <v>D-RCOA</v>
          </cell>
          <cell r="B761" t="str">
            <v>VAR_fout</v>
          </cell>
          <cell r="C761" t="str">
            <v>CO2</v>
          </cell>
          <cell r="D761">
            <v>9.2728601039877496</v>
          </cell>
          <cell r="E761">
            <v>9.2711067197275501</v>
          </cell>
          <cell r="F761">
            <v>2.5001913696749498</v>
          </cell>
          <cell r="G761">
            <v>2.2053707618221001E-2</v>
          </cell>
        </row>
        <row r="762">
          <cell r="A762" t="str">
            <v>D-RCOA</v>
          </cell>
          <cell r="B762" t="str">
            <v>VAR_fout</v>
          </cell>
          <cell r="C762" t="str">
            <v>RCOA</v>
          </cell>
          <cell r="D762">
            <v>0.10003085333320115</v>
          </cell>
          <cell r="E762">
            <v>0.10001193872413756</v>
          </cell>
          <cell r="F762">
            <v>2.6970780686892657E-2</v>
          </cell>
          <cell r="G762">
            <v>2.3790407355146724E-4</v>
          </cell>
        </row>
        <row r="763">
          <cell r="A763" t="str">
            <v>D-RCOA</v>
          </cell>
          <cell r="B763" t="str">
            <v>VAR_fin</v>
          </cell>
          <cell r="C763" t="str">
            <v>COA</v>
          </cell>
          <cell r="D763">
            <v>0.10003085333320115</v>
          </cell>
          <cell r="E763">
            <v>0.10001193872413756</v>
          </cell>
          <cell r="F763">
            <v>2.6970780686892657E-2</v>
          </cell>
          <cell r="G763">
            <v>2.3790407355146724E-4</v>
          </cell>
        </row>
        <row r="764">
          <cell r="A764" t="str">
            <v>SCOM-ELCSPECDC</v>
          </cell>
          <cell r="B764" t="str">
            <v>VAR_fout</v>
          </cell>
          <cell r="C764" t="str">
            <v>SCOM-ELSDC</v>
          </cell>
          <cell r="F764">
            <v>13.290698929185066</v>
          </cell>
          <cell r="G764">
            <v>13.175113596716098</v>
          </cell>
          <cell r="H764">
            <v>13.179390887137931</v>
          </cell>
          <cell r="I764">
            <v>13.115304700392768</v>
          </cell>
          <cell r="J764">
            <v>12.838404140405576</v>
          </cell>
        </row>
        <row r="765">
          <cell r="A765" t="str">
            <v>SCOM-ELCSPECDC</v>
          </cell>
          <cell r="B765" t="str">
            <v>VAR_fin</v>
          </cell>
          <cell r="C765" t="str">
            <v>SCOM_ELC</v>
          </cell>
          <cell r="F765">
            <v>13.290698929185066</v>
          </cell>
          <cell r="G765">
            <v>13.175113596716098</v>
          </cell>
          <cell r="H765">
            <v>13.179390887137931</v>
          </cell>
          <cell r="I765">
            <v>13.115304700392768</v>
          </cell>
          <cell r="J765">
            <v>12.838404140405576</v>
          </cell>
        </row>
        <row r="766">
          <cell r="A766" t="str">
            <v>RHES-SHSTG-SOL</v>
          </cell>
          <cell r="B766" t="str">
            <v>VAR_fout</v>
          </cell>
          <cell r="C766" t="str">
            <v>AUX_RHES-SHSTG-SOL_OUT</v>
          </cell>
          <cell r="D766">
            <v>5.1955985703851924E-2</v>
          </cell>
          <cell r="E766">
            <v>5.0893149046407939E-2</v>
          </cell>
          <cell r="F766">
            <v>9.1133523356119062E-3</v>
          </cell>
          <cell r="G766">
            <v>9.9226818204934605E-3</v>
          </cell>
          <cell r="H766">
            <v>9.7696608315541826E-3</v>
          </cell>
          <cell r="I766">
            <v>3.0843243702556324E-3</v>
          </cell>
          <cell r="J766">
            <v>2.8041710308942466E-3</v>
          </cell>
        </row>
        <row r="767">
          <cell r="A767" t="str">
            <v>RHES-SHSTG-SOL</v>
          </cell>
          <cell r="B767" t="str">
            <v>VAR_fout</v>
          </cell>
          <cell r="C767" t="str">
            <v>RHES-SHASOL</v>
          </cell>
          <cell r="D767">
            <v>5.1904081622229724E-2</v>
          </cell>
          <cell r="E767">
            <v>5.0842306739668233E-2</v>
          </cell>
          <cell r="F767">
            <v>9.1042480875243754E-3</v>
          </cell>
          <cell r="G767">
            <v>9.9127690514420174E-3</v>
          </cell>
          <cell r="H767">
            <v>9.7599009306235541E-3</v>
          </cell>
          <cell r="I767">
            <v>3.0812431271285052E-3</v>
          </cell>
          <cell r="J767">
            <v>2.8013696612330156E-3</v>
          </cell>
        </row>
        <row r="768">
          <cell r="A768" t="str">
            <v>RHES-SHSTG-SOL</v>
          </cell>
          <cell r="B768" t="str">
            <v>VAR_fin</v>
          </cell>
          <cell r="C768" t="str">
            <v>RHES-SHASOL</v>
          </cell>
          <cell r="D768">
            <v>5.150348437443221E-2</v>
          </cell>
          <cell r="E768">
            <v>5.0925589191183063E-2</v>
          </cell>
          <cell r="F768">
            <v>9.1718923494547699E-3</v>
          </cell>
          <cell r="G768">
            <v>9.8638542491311758E-3</v>
          </cell>
          <cell r="H768">
            <v>9.7054636392328794E-3</v>
          </cell>
          <cell r="I768">
            <v>3.0473470021820013E-3</v>
          </cell>
          <cell r="J768">
            <v>2.7544616819559363E-3</v>
          </cell>
        </row>
        <row r="769">
          <cell r="A769" t="str">
            <v>RHES-SHSTG-SOL</v>
          </cell>
          <cell r="B769" t="str">
            <v>VAR_ncap</v>
          </cell>
          <cell r="C769" t="str">
            <v>-</v>
          </cell>
          <cell r="D769">
            <v>1.12344462320643E-2</v>
          </cell>
          <cell r="E769">
            <v>1.9389512080385399E-5</v>
          </cell>
          <cell r="F769">
            <v>1.0235873842205099E-5</v>
          </cell>
          <cell r="G769">
            <v>1.33590495515354E-5</v>
          </cell>
          <cell r="H769">
            <v>3.9679898908624402E-4</v>
          </cell>
          <cell r="I769">
            <v>3.8497393411326199E-4</v>
          </cell>
          <cell r="J769">
            <v>2.2053985612115399E-4</v>
          </cell>
        </row>
        <row r="770">
          <cell r="A770" t="str">
            <v>RHES-SHSTG-SOL</v>
          </cell>
          <cell r="B770" t="str">
            <v>VAR_cap</v>
          </cell>
          <cell r="C770" t="str">
            <v>-</v>
          </cell>
          <cell r="D770">
            <v>1.12344462320643E-2</v>
          </cell>
          <cell r="E770">
            <v>1.12538357441446E-2</v>
          </cell>
          <cell r="F770">
            <v>1.12640716179869E-2</v>
          </cell>
          <cell r="G770">
            <v>1.1277430667538399E-2</v>
          </cell>
          <cell r="H770">
            <v>3.3438076788432098E-3</v>
          </cell>
          <cell r="I770">
            <v>7.9270996881440701E-4</v>
          </cell>
          <cell r="J770">
            <v>6.6777219596742096E-4</v>
          </cell>
        </row>
        <row r="771">
          <cell r="A771" t="str">
            <v>D-ITOT_LTH</v>
          </cell>
          <cell r="B771" t="str">
            <v>VAR_fout</v>
          </cell>
          <cell r="C771" t="str">
            <v>ITOT_LTH_DH</v>
          </cell>
          <cell r="D771">
            <v>7.1202094790041857</v>
          </cell>
          <cell r="E771">
            <v>7.6289546232497099</v>
          </cell>
          <cell r="F771">
            <v>7.6289456009858734</v>
          </cell>
          <cell r="G771">
            <v>7.6290252733156585</v>
          </cell>
          <cell r="H771">
            <v>7.6290127759654762</v>
          </cell>
          <cell r="I771">
            <v>7.6291573282089677</v>
          </cell>
          <cell r="J771">
            <v>9.2515740336308152</v>
          </cell>
        </row>
        <row r="772">
          <cell r="A772" t="str">
            <v>D-ITOT_LTH</v>
          </cell>
          <cell r="B772" t="str">
            <v>VAR_fin</v>
          </cell>
          <cell r="C772" t="str">
            <v>LTH</v>
          </cell>
          <cell r="D772">
            <v>7.7405634205725988</v>
          </cell>
          <cell r="E772">
            <v>8.2914537249965665</v>
          </cell>
          <cell r="F772">
            <v>8.2881765697366596</v>
          </cell>
          <cell r="G772">
            <v>8.282823206030379</v>
          </cell>
          <cell r="H772">
            <v>8.2773768621005175</v>
          </cell>
          <cell r="I772">
            <v>8.272107943125409</v>
          </cell>
          <cell r="J772">
            <v>10.018121183053829</v>
          </cell>
        </row>
        <row r="773">
          <cell r="A773" t="str">
            <v>D-ITOT_LTH</v>
          </cell>
          <cell r="B773" t="str">
            <v>VAR_ncap</v>
          </cell>
          <cell r="C773" t="str">
            <v>-</v>
          </cell>
          <cell r="D773">
            <v>0.79547978136727204</v>
          </cell>
          <cell r="E773">
            <v>2.0011936391865699E-6</v>
          </cell>
          <cell r="F773">
            <v>2.2673591661852101E-6</v>
          </cell>
          <cell r="G773">
            <v>2.5860812663031202E-6</v>
          </cell>
          <cell r="H773">
            <v>3.9169626751716997E-6</v>
          </cell>
          <cell r="I773">
            <v>4.8140304447772898E-6</v>
          </cell>
          <cell r="J773">
            <v>4.17569298799618E-6</v>
          </cell>
        </row>
        <row r="774">
          <cell r="A774" t="str">
            <v>D-ITOT_LTH</v>
          </cell>
          <cell r="B774" t="str">
            <v>VAR_cap</v>
          </cell>
          <cell r="C774" t="str">
            <v>-</v>
          </cell>
          <cell r="D774">
            <v>0.79547978136727204</v>
          </cell>
          <cell r="E774">
            <v>0.79548178256091195</v>
          </cell>
          <cell r="F774">
            <v>0.79548404992007804</v>
          </cell>
          <cell r="G774">
            <v>0.79548663600134395</v>
          </cell>
          <cell r="H774">
            <v>0.79549055296401905</v>
          </cell>
          <cell r="I774">
            <v>0.79549536699446399</v>
          </cell>
          <cell r="J774">
            <v>0.79549954268745204</v>
          </cell>
        </row>
        <row r="775">
          <cell r="A775" t="str">
            <v>D-IH2</v>
          </cell>
          <cell r="B775" t="str">
            <v>VAR_fout</v>
          </cell>
          <cell r="C775" t="str">
            <v>IH2</v>
          </cell>
          <cell r="H775">
            <v>1.8020925740833194</v>
          </cell>
          <cell r="I775">
            <v>1.4969975177465877</v>
          </cell>
          <cell r="J775">
            <v>2.7453645560192528</v>
          </cell>
        </row>
        <row r="776">
          <cell r="A776" t="str">
            <v>D-IH2</v>
          </cell>
          <cell r="B776" t="str">
            <v>VAR_fin</v>
          </cell>
          <cell r="C776" t="str">
            <v>H2</v>
          </cell>
          <cell r="H776">
            <v>1.8158216145576791</v>
          </cell>
          <cell r="I776">
            <v>1.5084022256992917</v>
          </cell>
          <cell r="J776">
            <v>2.7662798084588403</v>
          </cell>
        </row>
        <row r="777">
          <cell r="A777" t="str">
            <v>D-IH2</v>
          </cell>
          <cell r="B777" t="str">
            <v>VAR_ncap</v>
          </cell>
          <cell r="C777" t="str">
            <v>-</v>
          </cell>
          <cell r="G777">
            <v>1.4036171507022399E-5</v>
          </cell>
          <cell r="H777">
            <v>7.7214001736610194E-2</v>
          </cell>
          <cell r="I777">
            <v>0.17707174888438501</v>
          </cell>
          <cell r="J777">
            <v>0.132127333901777</v>
          </cell>
        </row>
        <row r="778">
          <cell r="A778" t="str">
            <v>D-IH2</v>
          </cell>
          <cell r="B778" t="str">
            <v>VAR_cap</v>
          </cell>
          <cell r="C778" t="str">
            <v>-</v>
          </cell>
          <cell r="G778">
            <v>1.4036171507022399E-5</v>
          </cell>
          <cell r="H778">
            <v>7.7228037908117206E-2</v>
          </cell>
          <cell r="I778">
            <v>0.25429978679250298</v>
          </cell>
          <cell r="J778">
            <v>0.38642712069427998</v>
          </cell>
        </row>
        <row r="779">
          <cell r="A779" t="str">
            <v>D-RHNM_LTH_CHPWOD</v>
          </cell>
          <cell r="B779" t="str">
            <v>VAR_fout</v>
          </cell>
          <cell r="C779" t="str">
            <v>RHNM_LTH_CHPWOD_ON</v>
          </cell>
          <cell r="D779">
            <v>6.3299589391340664E-4</v>
          </cell>
          <cell r="E779">
            <v>1.0760778197992141E-4</v>
          </cell>
          <cell r="F779">
            <v>6.4390076225150661E-5</v>
          </cell>
          <cell r="G779">
            <v>1.1367041961808162E-4</v>
          </cell>
          <cell r="H779">
            <v>1.0537627526771117E-4</v>
          </cell>
          <cell r="I779">
            <v>1.5284159793656086E-4</v>
          </cell>
          <cell r="J779">
            <v>7.524300828747216E-5</v>
          </cell>
        </row>
        <row r="780">
          <cell r="A780" t="str">
            <v>D-RHNM_LTH_CHPWOD</v>
          </cell>
          <cell r="B780" t="str">
            <v>VAR_fout</v>
          </cell>
          <cell r="C780" t="str">
            <v>RHSA_LTH</v>
          </cell>
          <cell r="D780">
            <v>2.9963077611581154E-4</v>
          </cell>
          <cell r="E780">
            <v>4.4623487028736447E-4</v>
          </cell>
          <cell r="F780">
            <v>1.6752547346586725E-4</v>
          </cell>
          <cell r="G780">
            <v>3.1651041127887195E-4</v>
          </cell>
          <cell r="H780">
            <v>2.7403767827685572E-4</v>
          </cell>
          <cell r="I780">
            <v>2.9091566619977242E-4</v>
          </cell>
          <cell r="J780">
            <v>2.6186446180189219E-4</v>
          </cell>
        </row>
        <row r="781">
          <cell r="A781" t="str">
            <v>D-RHNM_LTH_CHPWOD</v>
          </cell>
          <cell r="B781" t="str">
            <v>VAR_fout</v>
          </cell>
          <cell r="C781" t="str">
            <v>LTH</v>
          </cell>
          <cell r="E781">
            <v>9.7386470751907815E-6</v>
          </cell>
          <cell r="F781">
            <v>9.641714716976335E-6</v>
          </cell>
          <cell r="G781">
            <v>2.0961184226215024E-5</v>
          </cell>
          <cell r="H781">
            <v>3.468557792157582E-5</v>
          </cell>
          <cell r="I781">
            <v>1.0665251700499679E-4</v>
          </cell>
          <cell r="J781">
            <v>1.2376533018414423E-4</v>
          </cell>
        </row>
        <row r="782">
          <cell r="A782" t="str">
            <v>D-RHNM_LTH_CHPWOD</v>
          </cell>
          <cell r="B782" t="str">
            <v>VAR_fin</v>
          </cell>
          <cell r="C782" t="str">
            <v>RHNM_LTH_CHPWOD</v>
          </cell>
          <cell r="D782">
            <v>9.3262667002921862E-4</v>
          </cell>
          <cell r="E782">
            <v>5.6358129934247622E-4</v>
          </cell>
          <cell r="F782">
            <v>2.415572644079943E-4</v>
          </cell>
          <cell r="G782">
            <v>4.5114201512316875E-4</v>
          </cell>
          <cell r="H782">
            <v>4.1409953146614233E-4</v>
          </cell>
          <cell r="I782">
            <v>5.504097811413303E-4</v>
          </cell>
          <cell r="J782">
            <v>4.6087280027350857E-4</v>
          </cell>
        </row>
        <row r="783">
          <cell r="A783" t="str">
            <v>RHNS-SHWODBR</v>
          </cell>
          <cell r="B783" t="str">
            <v>VAR_fout</v>
          </cell>
          <cell r="C783" t="str">
            <v>RHNS-SHWOD</v>
          </cell>
          <cell r="E783">
            <v>2.6615756125538775E-2</v>
          </cell>
          <cell r="F783">
            <v>2.2354283532903009E-2</v>
          </cell>
          <cell r="G783">
            <v>7.6946419555608131E-2</v>
          </cell>
          <cell r="H783">
            <v>7.8660282705172599E-2</v>
          </cell>
          <cell r="I783">
            <v>8.0646333888807265E-2</v>
          </cell>
          <cell r="J783">
            <v>8.185780592984758E-2</v>
          </cell>
        </row>
        <row r="784">
          <cell r="A784" t="str">
            <v>RHNS-SHWODBR</v>
          </cell>
          <cell r="B784" t="str">
            <v>VAR_fin</v>
          </cell>
          <cell r="C784" t="str">
            <v>RHNSWODBRC</v>
          </cell>
          <cell r="E784">
            <v>2.6615756125538775E-2</v>
          </cell>
          <cell r="F784">
            <v>2.2354283532903009E-2</v>
          </cell>
          <cell r="G784">
            <v>7.6946419555608131E-2</v>
          </cell>
          <cell r="H784">
            <v>7.8660282705172599E-2</v>
          </cell>
          <cell r="I784">
            <v>8.0646333888807265E-2</v>
          </cell>
          <cell r="J784">
            <v>8.185780592984758E-2</v>
          </cell>
        </row>
        <row r="785">
          <cell r="A785" t="str">
            <v>RHNS-SHWODBR</v>
          </cell>
          <cell r="B785" t="str">
            <v>VAR_fin</v>
          </cell>
          <cell r="C785" t="str">
            <v>RWOD</v>
          </cell>
          <cell r="E785">
            <v>3.6966327952137244E-2</v>
          </cell>
          <cell r="F785">
            <v>3.0106142551570059E-2</v>
          </cell>
          <cell r="G785">
            <v>0.10168572126972551</v>
          </cell>
          <cell r="H785">
            <v>0.10384584372167546</v>
          </cell>
          <cell r="I785">
            <v>0.10629369166567229</v>
          </cell>
          <cell r="J785">
            <v>0.10748016270056547</v>
          </cell>
        </row>
        <row r="786">
          <cell r="A786" t="str">
            <v>RHNS-SHWODBR</v>
          </cell>
          <cell r="B786" t="str">
            <v>VAR_ncap</v>
          </cell>
          <cell r="C786" t="str">
            <v>-</v>
          </cell>
          <cell r="E786">
            <v>2.5607459364027901E-3</v>
          </cell>
          <cell r="F786">
            <v>3.9528184006040598E-3</v>
          </cell>
          <cell r="H786">
            <v>1.4624124862114E-2</v>
          </cell>
        </row>
        <row r="787">
          <cell r="A787" t="str">
            <v>RHNS-SHWODBR</v>
          </cell>
          <cell r="B787" t="str">
            <v>VAR_cap</v>
          </cell>
          <cell r="C787" t="str">
            <v>-</v>
          </cell>
          <cell r="E787">
            <v>2.5607459364027901E-3</v>
          </cell>
          <cell r="F787">
            <v>6.5083679514562447E-3</v>
          </cell>
          <cell r="G787">
            <v>6.5066918794091213E-3</v>
          </cell>
          <cell r="H787">
            <v>1.9611276280959804E-2</v>
          </cell>
          <cell r="I787">
            <v>1.5222566846372017E-2</v>
          </cell>
          <cell r="J787">
            <v>6.1849328697978958E-3</v>
          </cell>
        </row>
        <row r="788">
          <cell r="A788" t="str">
            <v>D-RHNM_NKEV_GAS_ELC_CHP</v>
          </cell>
          <cell r="B788" t="str">
            <v>VAR_fout</v>
          </cell>
          <cell r="C788" t="str">
            <v>ELC5</v>
          </cell>
          <cell r="E788">
            <v>2.3145317213980731E-3</v>
          </cell>
          <cell r="F788">
            <v>5.1256443590673301E-3</v>
          </cell>
        </row>
        <row r="789">
          <cell r="A789" t="str">
            <v>D-RHNM_NKEV_GAS_ELC_CHP</v>
          </cell>
          <cell r="B789" t="str">
            <v>VAR_fout</v>
          </cell>
          <cell r="C789" t="str">
            <v>RHNM_ELC</v>
          </cell>
          <cell r="E789">
            <v>2.6826095068424281E-3</v>
          </cell>
          <cell r="F789">
            <v>7.4842730974800957E-3</v>
          </cell>
        </row>
        <row r="790">
          <cell r="A790" t="str">
            <v>D-RHNM_NKEV_GAS_ELC_CHP</v>
          </cell>
          <cell r="B790" t="str">
            <v>VAR_fin</v>
          </cell>
          <cell r="C790" t="str">
            <v>RHNM_NKEV_GAS_ELC_CHP</v>
          </cell>
          <cell r="E790">
            <v>4.9971412282404978E-3</v>
          </cell>
          <cell r="F790">
            <v>1.2475269824182129E-2</v>
          </cell>
        </row>
        <row r="791">
          <cell r="A791" t="str">
            <v>D-RLFO</v>
          </cell>
          <cell r="B791" t="str">
            <v>VAR_fout</v>
          </cell>
          <cell r="C791" t="str">
            <v>CO2</v>
          </cell>
          <cell r="D791">
            <v>4514.5291404127502</v>
          </cell>
          <cell r="E791">
            <v>3846.57266256306</v>
          </cell>
          <cell r="F791">
            <v>3706.0219843080899</v>
          </cell>
          <cell r="G791">
            <v>1823.5811585651199</v>
          </cell>
          <cell r="H791">
            <v>1169.0017719447701</v>
          </cell>
          <cell r="I791">
            <v>448.21032044476601</v>
          </cell>
          <cell r="J791">
            <v>9.6669529286845992E-3</v>
          </cell>
        </row>
        <row r="792">
          <cell r="A792" t="str">
            <v>D-RLFO</v>
          </cell>
          <cell r="B792" t="str">
            <v>VAR_fout</v>
          </cell>
          <cell r="C792" t="str">
            <v>RLFO</v>
          </cell>
          <cell r="D792">
            <v>60.232445624916004</v>
          </cell>
          <cell r="E792">
            <v>51.320629800815738</v>
          </cell>
          <cell r="F792">
            <v>49.44635418167627</v>
          </cell>
          <cell r="G792">
            <v>24.33745865641847</v>
          </cell>
          <cell r="H792">
            <v>15.606402500061549</v>
          </cell>
          <cell r="I792">
            <v>5.9877899721881045</v>
          </cell>
          <cell r="J792">
            <v>0.57819385632436648</v>
          </cell>
        </row>
        <row r="793">
          <cell r="A793" t="str">
            <v>D-RLFO</v>
          </cell>
          <cell r="B793" t="str">
            <v>VAR_fin</v>
          </cell>
          <cell r="C793" t="str">
            <v>LFO</v>
          </cell>
          <cell r="D793">
            <v>61.25548358768993</v>
          </cell>
          <cell r="E793">
            <v>52.192302070055007</v>
          </cell>
          <cell r="F793">
            <v>50.285237236201965</v>
          </cell>
          <cell r="G793">
            <v>24.743299302104791</v>
          </cell>
          <cell r="H793">
            <v>15.861625128151564</v>
          </cell>
          <cell r="I793">
            <v>6.0815511593591127</v>
          </cell>
          <cell r="J793">
            <v>1.3116625412055096E-4</v>
          </cell>
        </row>
        <row r="794">
          <cell r="A794" t="str">
            <v>D-RLFO</v>
          </cell>
          <cell r="B794" t="str">
            <v>VAR_fin</v>
          </cell>
          <cell r="C794" t="str">
            <v>BDS</v>
          </cell>
          <cell r="F794">
            <v>9.5434524827599904E-4</v>
          </cell>
          <cell r="G794">
            <v>7.5287058467960605E-3</v>
          </cell>
          <cell r="H794">
            <v>9.8517512132436352E-3</v>
          </cell>
          <cell r="I794">
            <v>7.9418117323097788E-3</v>
          </cell>
          <cell r="J794">
            <v>0.58794408155540623</v>
          </cell>
        </row>
        <row r="795">
          <cell r="A795" t="str">
            <v>D-SCOM_LTH_CHPBIO</v>
          </cell>
          <cell r="B795" t="str">
            <v>VAR_fout</v>
          </cell>
          <cell r="C795" t="str">
            <v>SCOM_LTH_CHPBIO_ON</v>
          </cell>
          <cell r="D795">
            <v>1.4243679139317302</v>
          </cell>
          <cell r="E795">
            <v>1.5428509789299918</v>
          </cell>
        </row>
        <row r="796">
          <cell r="A796" t="str">
            <v>D-SCOM_LTH_CHPBIO</v>
          </cell>
          <cell r="B796" t="str">
            <v>VAR_fout</v>
          </cell>
          <cell r="C796" t="str">
            <v>LTH</v>
          </cell>
          <cell r="E796">
            <v>3.5779835358936779E-2</v>
          </cell>
        </row>
        <row r="797">
          <cell r="A797" t="str">
            <v>D-SCOM_LTH_CHPBIO</v>
          </cell>
          <cell r="B797" t="str">
            <v>VAR_fin</v>
          </cell>
          <cell r="C797" t="str">
            <v>SCOM_LTH_CHPBIO</v>
          </cell>
          <cell r="D797">
            <v>1.4243679139317302</v>
          </cell>
          <cell r="E797">
            <v>1.5786308142889296</v>
          </cell>
        </row>
        <row r="798">
          <cell r="A798" t="str">
            <v>D-SCOM_NKEV_GAS_ELC_CHP</v>
          </cell>
          <cell r="B798" t="str">
            <v>VAR_fout</v>
          </cell>
          <cell r="C798" t="str">
            <v>ELC5</v>
          </cell>
          <cell r="D798">
            <v>4.6656374639840605E-2</v>
          </cell>
          <cell r="E798">
            <v>1.9680455889309185E-2</v>
          </cell>
          <cell r="F798">
            <v>1.8341992905094334E-2</v>
          </cell>
        </row>
        <row r="799">
          <cell r="A799" t="str">
            <v>D-SCOM_NKEV_GAS_ELC_CHP</v>
          </cell>
          <cell r="B799" t="str">
            <v>VAR_fout</v>
          </cell>
          <cell r="C799" t="str">
            <v>SCOM_ELC</v>
          </cell>
          <cell r="D799">
            <v>0.54798592106316857</v>
          </cell>
          <cell r="E799">
            <v>0.60696215395446285</v>
          </cell>
          <cell r="F799">
            <v>0.51929548623497057</v>
          </cell>
        </row>
        <row r="800">
          <cell r="A800" t="str">
            <v>D-SCOM_NKEV_GAS_ELC_CHP</v>
          </cell>
          <cell r="B800" t="str">
            <v>VAR_fin</v>
          </cell>
          <cell r="C800" t="str">
            <v>SCOM_NKEV_GAS_ELC_CHP</v>
          </cell>
          <cell r="D800">
            <v>0.59464229570300875</v>
          </cell>
          <cell r="E800">
            <v>0.62664260984377185</v>
          </cell>
          <cell r="F800">
            <v>0.53747126247534416</v>
          </cell>
        </row>
        <row r="801">
          <cell r="A801" t="str">
            <v>RHEM-SHLTHDH</v>
          </cell>
          <cell r="B801" t="str">
            <v>VAR_fout</v>
          </cell>
          <cell r="C801" t="str">
            <v>RHEM-SHLTHD</v>
          </cell>
          <cell r="D801">
            <v>3.211715113318657</v>
          </cell>
          <cell r="E801">
            <v>3.7889116633381663</v>
          </cell>
          <cell r="F801">
            <v>4.4289999914988254</v>
          </cell>
          <cell r="G801">
            <v>5.263452390997605</v>
          </cell>
          <cell r="H801">
            <v>5.4116270571337628</v>
          </cell>
          <cell r="I801">
            <v>5.6679875017816901</v>
          </cell>
          <cell r="J801">
            <v>5.13089949731296</v>
          </cell>
        </row>
        <row r="802">
          <cell r="A802" t="str">
            <v>RHEM-SHLTHDH</v>
          </cell>
          <cell r="B802" t="str">
            <v>VAR_fin</v>
          </cell>
          <cell r="C802" t="str">
            <v>RHEMLTHDHC</v>
          </cell>
          <cell r="D802">
            <v>3.211715113318657</v>
          </cell>
          <cell r="E802">
            <v>3.7889116633381663</v>
          </cell>
          <cell r="F802">
            <v>4.4289999914988254</v>
          </cell>
          <cell r="G802">
            <v>5.263452390997605</v>
          </cell>
          <cell r="H802">
            <v>5.4116270571337628</v>
          </cell>
          <cell r="I802">
            <v>5.6679875017816901</v>
          </cell>
          <cell r="J802">
            <v>5.13089949731296</v>
          </cell>
        </row>
        <row r="803">
          <cell r="A803" t="str">
            <v>RHEM-SHLTHDH</v>
          </cell>
          <cell r="B803" t="str">
            <v>VAR_fin</v>
          </cell>
          <cell r="C803" t="str">
            <v>RHEM_LTH_DH</v>
          </cell>
          <cell r="D803">
            <v>3.2441566801198554</v>
          </cell>
          <cell r="E803">
            <v>3.8271834983213817</v>
          </cell>
          <cell r="F803">
            <v>4.9630346394655369</v>
          </cell>
          <cell r="G803">
            <v>5.8981026393857814</v>
          </cell>
          <cell r="H803">
            <v>6.0641437326656504</v>
          </cell>
          <cell r="I803">
            <v>6.3514152994795117</v>
          </cell>
          <cell r="J803">
            <v>5.7495669418962772</v>
          </cell>
        </row>
        <row r="804">
          <cell r="A804" t="str">
            <v>RHEM-SHLTHDH</v>
          </cell>
          <cell r="B804" t="str">
            <v>VAR_ncap</v>
          </cell>
          <cell r="C804" t="str">
            <v>-</v>
          </cell>
          <cell r="D804">
            <v>1.6796840818739101E-6</v>
          </cell>
          <cell r="E804">
            <v>0.167911275029796</v>
          </cell>
          <cell r="F804">
            <v>0.19448987706981</v>
          </cell>
          <cell r="G804">
            <v>0.18011697993283701</v>
          </cell>
          <cell r="H804">
            <v>0.164679584164929</v>
          </cell>
          <cell r="I804">
            <v>0.178726395032274</v>
          </cell>
          <cell r="J804">
            <v>0.177427765637206</v>
          </cell>
        </row>
        <row r="805">
          <cell r="A805" t="str">
            <v>RHEM-SHLTHDH</v>
          </cell>
          <cell r="B805" t="str">
            <v>VAR_cap</v>
          </cell>
          <cell r="C805" t="str">
            <v>-</v>
          </cell>
          <cell r="D805">
            <v>0.31562714679576986</v>
          </cell>
          <cell r="E805">
            <v>0.27465621958243291</v>
          </cell>
          <cell r="F805">
            <v>0.36577180425487799</v>
          </cell>
          <cell r="G805">
            <v>0.39759765002095399</v>
          </cell>
          <cell r="H805">
            <v>0.39666151903016189</v>
          </cell>
          <cell r="I805">
            <v>0.40992956106771505</v>
          </cell>
          <cell r="J805">
            <v>0.395852398096186</v>
          </cell>
        </row>
        <row r="806">
          <cell r="A806" t="str">
            <v>D-ITOT_SOLELC</v>
          </cell>
          <cell r="B806" t="str">
            <v>VAR_fout</v>
          </cell>
          <cell r="C806" t="str">
            <v>ITOT_ELC</v>
          </cell>
          <cell r="D806">
            <v>3.4722461259298605</v>
          </cell>
          <cell r="E806">
            <v>4.8216965664715952</v>
          </cell>
          <cell r="F806">
            <v>11.123168592516206</v>
          </cell>
          <cell r="G806">
            <v>19.076381317476553</v>
          </cell>
          <cell r="H806">
            <v>21.977279584625887</v>
          </cell>
          <cell r="I806">
            <v>39.854997851569244</v>
          </cell>
          <cell r="J806">
            <v>42.711874577812424</v>
          </cell>
        </row>
        <row r="807">
          <cell r="A807" t="str">
            <v>D-ITOT_SOLELC</v>
          </cell>
          <cell r="B807" t="str">
            <v>VAR_fout</v>
          </cell>
          <cell r="C807" t="str">
            <v>ELC5</v>
          </cell>
          <cell r="D807">
            <v>4.5707873777669709E-2</v>
          </cell>
          <cell r="E807">
            <v>2.6976964297584415E-2</v>
          </cell>
          <cell r="F807">
            <v>3.1922482827382068E-2</v>
          </cell>
          <cell r="G807">
            <v>1.1586241992679455E-2</v>
          </cell>
          <cell r="H807">
            <v>4.0199762483508698E-2</v>
          </cell>
          <cell r="I807">
            <v>0.84411990911676216</v>
          </cell>
          <cell r="J807">
            <v>0.72908670602078263</v>
          </cell>
        </row>
        <row r="808">
          <cell r="A808" t="str">
            <v>D-ITOT_SOLELC</v>
          </cell>
          <cell r="B808" t="str">
            <v>VAR_fin</v>
          </cell>
          <cell r="C808" t="str">
            <v>ITOT_SOL_ELC</v>
          </cell>
          <cell r="D808">
            <v>3.517953999707534</v>
          </cell>
          <cell r="E808">
            <v>4.8486281142671022</v>
          </cell>
          <cell r="F808">
            <v>11.155091075343593</v>
          </cell>
          <cell r="G808">
            <v>19.087967559469238</v>
          </cell>
          <cell r="H808">
            <v>22.01747934710939</v>
          </cell>
          <cell r="I808">
            <v>40.699117760686022</v>
          </cell>
          <cell r="J808">
            <v>43.440961283833175</v>
          </cell>
        </row>
        <row r="809">
          <cell r="A809" t="str">
            <v>D-SWOD</v>
          </cell>
          <cell r="B809" t="str">
            <v>VAR_fout</v>
          </cell>
          <cell r="C809" t="str">
            <v>SWOD</v>
          </cell>
          <cell r="D809">
            <v>8.5744660242739226</v>
          </cell>
          <cell r="E809">
            <v>7.2610711900694813</v>
          </cell>
          <cell r="F809">
            <v>10.069284452655683</v>
          </cell>
          <cell r="G809">
            <v>9.6060666162982002</v>
          </cell>
          <cell r="H809">
            <v>8.4536948091823874</v>
          </cell>
          <cell r="I809">
            <v>7.1453071659315377</v>
          </cell>
          <cell r="J809">
            <v>4.7599824851355077</v>
          </cell>
        </row>
        <row r="810">
          <cell r="A810" t="str">
            <v>D-SWOD</v>
          </cell>
          <cell r="B810" t="str">
            <v>VAR_fin</v>
          </cell>
          <cell r="C810" t="str">
            <v>WOD</v>
          </cell>
          <cell r="D810">
            <v>8.5744660242739226</v>
          </cell>
          <cell r="E810">
            <v>7.2610711900694813</v>
          </cell>
          <cell r="F810">
            <v>10.069284452655683</v>
          </cell>
          <cell r="G810">
            <v>9.6060666162982002</v>
          </cell>
          <cell r="H810">
            <v>8.4536948091823874</v>
          </cell>
          <cell r="I810">
            <v>7.1453071659315377</v>
          </cell>
          <cell r="J810">
            <v>4.7599824851355077</v>
          </cell>
        </row>
        <row r="811">
          <cell r="A811" t="str">
            <v>ITOT-PROCESSCO2CCS</v>
          </cell>
          <cell r="B811" t="str">
            <v>VAR_fout</v>
          </cell>
          <cell r="C811" t="str">
            <v>CO2_O</v>
          </cell>
          <cell r="I811">
            <v>1.2960053381384309</v>
          </cell>
          <cell r="J811">
            <v>897.2367904952647</v>
          </cell>
        </row>
        <row r="812">
          <cell r="A812" t="str">
            <v>ITOT-PROCESSCO2CCS</v>
          </cell>
          <cell r="B812" t="str">
            <v>VAR_fout</v>
          </cell>
          <cell r="C812" t="str">
            <v>CO2</v>
          </cell>
          <cell r="I812">
            <v>-1.29600533813843</v>
          </cell>
          <cell r="J812">
            <v>-897.23679049526504</v>
          </cell>
        </row>
        <row r="813">
          <cell r="A813" t="str">
            <v>ITOT-PROCESSCO2CCS</v>
          </cell>
          <cell r="B813" t="str">
            <v>VAR_fin</v>
          </cell>
          <cell r="C813" t="str">
            <v>ITOT_ELC</v>
          </cell>
          <cell r="I813">
            <v>2.744481892528444E-3</v>
          </cell>
          <cell r="J813">
            <v>1.9000308504605625</v>
          </cell>
        </row>
        <row r="814">
          <cell r="A814" t="str">
            <v>ITOT-PROCESSCO2CCS</v>
          </cell>
          <cell r="B814" t="str">
            <v>VAR_fin</v>
          </cell>
          <cell r="C814" t="str">
            <v>ITOT_LTH_DH</v>
          </cell>
          <cell r="I814">
            <v>1.0672985137610608E-3</v>
          </cell>
          <cell r="J814">
            <v>0.73890088629021811</v>
          </cell>
        </row>
        <row r="815">
          <cell r="A815" t="str">
            <v>ITOT-PROCESSCO2CCS</v>
          </cell>
          <cell r="B815" t="str">
            <v>VAR_ncap</v>
          </cell>
          <cell r="C815" t="str">
            <v>-</v>
          </cell>
          <cell r="I815">
            <v>3.8072509300627799</v>
          </cell>
          <cell r="J815">
            <v>2722.2212899173501</v>
          </cell>
        </row>
        <row r="816">
          <cell r="A816" t="str">
            <v>ITOT-PROCESSCO2CCS</v>
          </cell>
          <cell r="B816" t="str">
            <v>VAR_cap</v>
          </cell>
          <cell r="C816" t="str">
            <v>-</v>
          </cell>
          <cell r="I816">
            <v>3.8072509300627799</v>
          </cell>
          <cell r="J816">
            <v>2726.0285408474101</v>
          </cell>
        </row>
        <row r="817">
          <cell r="A817" t="str">
            <v>D-RSH2R</v>
          </cell>
          <cell r="B817" t="str">
            <v>VAR_fout</v>
          </cell>
          <cell r="C817" t="str">
            <v>RSH2</v>
          </cell>
          <cell r="G817">
            <v>4.949715505839546E-3</v>
          </cell>
          <cell r="H817">
            <v>4.2570541080911069E-3</v>
          </cell>
          <cell r="I817">
            <v>2.4843779430640213E-3</v>
          </cell>
          <cell r="J817">
            <v>2.5110577823140934E-3</v>
          </cell>
        </row>
        <row r="818">
          <cell r="A818" t="str">
            <v>D-RSH2R</v>
          </cell>
          <cell r="B818" t="str">
            <v>VAR_fin</v>
          </cell>
          <cell r="C818" t="str">
            <v>H2</v>
          </cell>
          <cell r="G818">
            <v>4.949715505839546E-3</v>
          </cell>
          <cell r="H818">
            <v>4.2570541080911069E-3</v>
          </cell>
          <cell r="I818">
            <v>2.4843779430640213E-3</v>
          </cell>
          <cell r="J818">
            <v>2.5110577823140934E-3</v>
          </cell>
        </row>
        <row r="819">
          <cell r="A819" t="str">
            <v>D-RSH2R</v>
          </cell>
          <cell r="B819" t="str">
            <v>VAR_ncap</v>
          </cell>
          <cell r="C819" t="str">
            <v>-</v>
          </cell>
          <cell r="G819">
            <v>9.2706046910049603E-4</v>
          </cell>
          <cell r="H819">
            <v>9.3505739772183104E-4</v>
          </cell>
          <cell r="I819">
            <v>1.1154525941372501E-3</v>
          </cell>
          <cell r="J819">
            <v>5.0247870232865205E-4</v>
          </cell>
        </row>
        <row r="820">
          <cell r="A820" t="str">
            <v>D-RSH2R</v>
          </cell>
          <cell r="B820" t="str">
            <v>VAR_cap</v>
          </cell>
          <cell r="C820" t="str">
            <v>-</v>
          </cell>
          <cell r="G820">
            <v>9.2706046910049603E-4</v>
          </cell>
          <cell r="H820">
            <v>1.6388651338120901E-3</v>
          </cell>
          <cell r="I820">
            <v>1.2810717587812301E-3</v>
          </cell>
          <cell r="J820">
            <v>8.84544915556755E-4</v>
          </cell>
        </row>
        <row r="821">
          <cell r="A821" t="str">
            <v>SCOM-SHLTHCHPBIO</v>
          </cell>
          <cell r="B821" t="str">
            <v>VAR_fout</v>
          </cell>
          <cell r="C821" t="str">
            <v>SCOM-SHLTHC-BIO</v>
          </cell>
          <cell r="D821">
            <v>1.4101242347924117</v>
          </cell>
          <cell r="E821">
            <v>1.5274224691406926</v>
          </cell>
        </row>
        <row r="822">
          <cell r="A822" t="str">
            <v>SCOM-SHLTHCHPBIO</v>
          </cell>
          <cell r="B822" t="str">
            <v>VAR_fin</v>
          </cell>
          <cell r="C822" t="str">
            <v>SCOM_LTH_CHPBIO_ON</v>
          </cell>
          <cell r="D822">
            <v>1.4243679139317302</v>
          </cell>
          <cell r="E822">
            <v>1.5428509789299918</v>
          </cell>
        </row>
        <row r="823">
          <cell r="A823" t="str">
            <v>SCOM-SHLTHCHPBIO</v>
          </cell>
          <cell r="B823" t="str">
            <v>VAR_fin</v>
          </cell>
          <cell r="C823" t="str">
            <v>SCOMLTHCHPC</v>
          </cell>
          <cell r="D823">
            <v>1.4101242347924117</v>
          </cell>
          <cell r="E823">
            <v>1.5274224691406926</v>
          </cell>
        </row>
        <row r="824">
          <cell r="A824" t="str">
            <v>SCOM-SHLTHCHPBIO</v>
          </cell>
          <cell r="B824" t="str">
            <v>VAR_ncap</v>
          </cell>
          <cell r="C824" t="str">
            <v>-</v>
          </cell>
          <cell r="D824">
            <v>2.4640933473597802E-6</v>
          </cell>
          <cell r="E824">
            <v>8.6102905947137098E-2</v>
          </cell>
          <cell r="F824">
            <v>6.5131722110967002E-2</v>
          </cell>
          <cell r="G824">
            <v>5.1330420867252403E-2</v>
          </cell>
          <cell r="H824">
            <v>5.7312493793284597E-2</v>
          </cell>
          <cell r="I824">
            <v>4.9480730166634401E-2</v>
          </cell>
          <cell r="J824">
            <v>5.7153435431025697E-2</v>
          </cell>
        </row>
        <row r="825">
          <cell r="A825" t="str">
            <v>SCOM-SHLTHCHPBIO</v>
          </cell>
          <cell r="B825" t="str">
            <v>VAR_cap</v>
          </cell>
          <cell r="C825" t="str">
            <v>-</v>
          </cell>
          <cell r="D825">
            <v>0.10914215167238636</v>
          </cell>
          <cell r="E825">
            <v>0.12103091729225199</v>
          </cell>
          <cell r="F825">
            <v>0.104657080440302</v>
          </cell>
          <cell r="G825">
            <v>9.2281873094359979E-2</v>
          </cell>
          <cell r="H825">
            <v>8.9471352253962411E-2</v>
          </cell>
          <cell r="I825">
            <v>7.7211934113112515E-2</v>
          </cell>
          <cell r="J825">
            <v>7.7210348597177403E-2</v>
          </cell>
        </row>
        <row r="826">
          <cell r="A826" t="str">
            <v>D-RSH2</v>
          </cell>
          <cell r="B826" t="str">
            <v>VAR_fout</v>
          </cell>
          <cell r="C826" t="str">
            <v>RSH2</v>
          </cell>
          <cell r="G826">
            <v>4.6824012189241671E-3</v>
          </cell>
          <cell r="H826">
            <v>4.0287454459152668E-3</v>
          </cell>
          <cell r="I826">
            <v>2.6385838545148455E-3</v>
          </cell>
          <cell r="J826">
            <v>2.8839600496561664E-3</v>
          </cell>
        </row>
        <row r="827">
          <cell r="A827" t="str">
            <v>D-RSH2</v>
          </cell>
          <cell r="B827" t="str">
            <v>VAR_fin</v>
          </cell>
          <cell r="C827" t="str">
            <v>H2</v>
          </cell>
          <cell r="G827">
            <v>4.7180735682675352E-3</v>
          </cell>
          <cell r="H827">
            <v>4.0594379919494184E-3</v>
          </cell>
          <cell r="I827">
            <v>2.6586856101375031E-3</v>
          </cell>
          <cell r="J827">
            <v>2.9059311763438753E-3</v>
          </cell>
        </row>
        <row r="828">
          <cell r="A828" t="str">
            <v>D-RSH2</v>
          </cell>
          <cell r="B828" t="str">
            <v>VAR_ncap</v>
          </cell>
          <cell r="C828" t="str">
            <v>-</v>
          </cell>
          <cell r="G828">
            <v>1.2126009950502001E-3</v>
          </cell>
          <cell r="H828">
            <v>5.1066817579369496E-4</v>
          </cell>
          <cell r="I828">
            <v>3.4455384746115597E-5</v>
          </cell>
          <cell r="J828">
            <v>1.6942437411373901E-5</v>
          </cell>
        </row>
        <row r="829">
          <cell r="A829" t="str">
            <v>D-RSH2</v>
          </cell>
          <cell r="B829" t="str">
            <v>VAR_cap</v>
          </cell>
          <cell r="C829" t="str">
            <v>-</v>
          </cell>
          <cell r="G829">
            <v>1.2126009950502001E-3</v>
          </cell>
          <cell r="H829">
            <v>1.7232691708438999E-3</v>
          </cell>
          <cell r="I829">
            <v>1.75772455559002E-3</v>
          </cell>
          <cell r="J829">
            <v>1.7746669930013899E-3</v>
          </cell>
        </row>
        <row r="830">
          <cell r="A830" t="str">
            <v>RHES-SHNGABR</v>
          </cell>
          <cell r="B830" t="str">
            <v>VAR_fout</v>
          </cell>
          <cell r="C830" t="str">
            <v>CO2_R</v>
          </cell>
          <cell r="D830">
            <v>1043.1446976712</v>
          </cell>
          <cell r="E830">
            <v>1155.2875816594701</v>
          </cell>
          <cell r="F830">
            <v>643.24748411699602</v>
          </cell>
          <cell r="G830">
            <v>452.82401288682797</v>
          </cell>
          <cell r="H830">
            <v>298.71728509588098</v>
          </cell>
          <cell r="I830">
            <v>141.71026557558</v>
          </cell>
          <cell r="J830">
            <v>57.033778808755201</v>
          </cell>
        </row>
        <row r="831">
          <cell r="A831" t="str">
            <v>RHES-SHNGABR</v>
          </cell>
          <cell r="B831" t="str">
            <v>VAR_fout</v>
          </cell>
          <cell r="C831" t="str">
            <v>RHES-SHNGA</v>
          </cell>
          <cell r="D831">
            <v>17.570699694816405</v>
          </cell>
          <cell r="E831">
            <v>19.459631251356271</v>
          </cell>
          <cell r="F831">
            <v>10.463605210474039</v>
          </cell>
          <cell r="G831">
            <v>7.366016685124853</v>
          </cell>
          <cell r="H831">
            <v>4.8591868883538565</v>
          </cell>
          <cell r="I831">
            <v>2.3051785041798865</v>
          </cell>
          <cell r="J831">
            <v>0.94684859367359397</v>
          </cell>
        </row>
        <row r="832">
          <cell r="A832" t="str">
            <v>RHES-SHNGABR</v>
          </cell>
          <cell r="B832" t="str">
            <v>VAR_fin</v>
          </cell>
          <cell r="C832" t="str">
            <v>RNGA</v>
          </cell>
          <cell r="D832">
            <v>18.495473362964624</v>
          </cell>
          <cell r="E832">
            <v>20.483822369848706</v>
          </cell>
          <cell r="F832">
            <v>11.40509723611695</v>
          </cell>
          <cell r="G832">
            <v>8.0287945547309878</v>
          </cell>
          <cell r="H832">
            <v>5.2964057641113538</v>
          </cell>
          <cell r="I832">
            <v>2.5125933612691402</v>
          </cell>
          <cell r="J832">
            <v>1.0112372129211906</v>
          </cell>
        </row>
        <row r="833">
          <cell r="A833" t="str">
            <v>RHES-SHNGABR</v>
          </cell>
          <cell r="B833" t="str">
            <v>VAR_ncap</v>
          </cell>
          <cell r="C833" t="str">
            <v>-</v>
          </cell>
          <cell r="E833">
            <v>0.15041305349379799</v>
          </cell>
          <cell r="F833">
            <v>2.24303120289568E-6</v>
          </cell>
          <cell r="G833">
            <v>4.8878090904517199E-6</v>
          </cell>
          <cell r="H833">
            <v>2.3316361983557601E-2</v>
          </cell>
          <cell r="I833">
            <v>0.163644131105358</v>
          </cell>
          <cell r="J833">
            <v>3.3855151606808201E-6</v>
          </cell>
        </row>
        <row r="834">
          <cell r="A834" t="str">
            <v>RHES-SHNGABR</v>
          </cell>
          <cell r="B834" t="str">
            <v>VAR_cap</v>
          </cell>
          <cell r="C834" t="str">
            <v>-</v>
          </cell>
          <cell r="D834">
            <v>1.4219190615860799</v>
          </cell>
          <cell r="E834">
            <v>1.5723306922808513</v>
          </cell>
          <cell r="F834">
            <v>1.2946643233812538</v>
          </cell>
          <cell r="G834">
            <v>1.2932621474372088</v>
          </cell>
          <cell r="H834">
            <v>0.39669875957132222</v>
          </cell>
          <cell r="I834">
            <v>0.18695784506481117</v>
          </cell>
          <cell r="J834">
            <v>0.1113153296470281</v>
          </cell>
        </row>
        <row r="835">
          <cell r="A835" t="str">
            <v>SCOM-SHLTHCHPHFC</v>
          </cell>
          <cell r="B835" t="str">
            <v>VAR_ncap</v>
          </cell>
          <cell r="C835" t="str">
            <v>-</v>
          </cell>
          <cell r="G835">
            <v>1.52923213657146E-3</v>
          </cell>
          <cell r="H835">
            <v>1.91231664404916E-3</v>
          </cell>
          <cell r="I835">
            <v>1.22201716060696E-3</v>
          </cell>
          <cell r="J835">
            <v>8.0594974953634502E-4</v>
          </cell>
        </row>
        <row r="836">
          <cell r="A836" t="str">
            <v>SCOM-SHLTHCHPHFC</v>
          </cell>
          <cell r="B836" t="str">
            <v>VAR_cap</v>
          </cell>
          <cell r="C836" t="str">
            <v>-</v>
          </cell>
          <cell r="G836">
            <v>1.52923213657146E-3</v>
          </cell>
          <cell r="H836">
            <v>2.4341437261804601E-3</v>
          </cell>
          <cell r="I836">
            <v>1.9359691026595897E-3</v>
          </cell>
          <cell r="J836">
            <v>1.24287125922371E-3</v>
          </cell>
        </row>
        <row r="837">
          <cell r="A837" t="str">
            <v>RHSA-WHNGABR</v>
          </cell>
          <cell r="B837" t="str">
            <v>VAR_fout</v>
          </cell>
          <cell r="C837" t="str">
            <v>RHSA-WHNGA</v>
          </cell>
          <cell r="D837">
            <v>6.3805777484808273</v>
          </cell>
          <cell r="E837">
            <v>5.2356337330010145</v>
          </cell>
          <cell r="F837">
            <v>5.2098911521953006</v>
          </cell>
          <cell r="G837">
            <v>3.4409882838664663</v>
          </cell>
          <cell r="H837">
            <v>2.3786588969339557</v>
          </cell>
          <cell r="I837">
            <v>1.4265533053604063</v>
          </cell>
          <cell r="J837">
            <v>0.63691958426298811</v>
          </cell>
        </row>
        <row r="838">
          <cell r="A838" t="str">
            <v>RHSA-WHNGABR</v>
          </cell>
          <cell r="B838" t="str">
            <v>VAR_fout</v>
          </cell>
          <cell r="C838" t="str">
            <v>CO2_R</v>
          </cell>
          <cell r="D838">
            <v>479.81944668575801</v>
          </cell>
          <cell r="E838">
            <v>391.63095827753</v>
          </cell>
          <cell r="F838">
            <v>555.54102999001702</v>
          </cell>
          <cell r="G838">
            <v>350.29291512057102</v>
          </cell>
          <cell r="H838">
            <v>239.63320577790401</v>
          </cell>
          <cell r="I838">
            <v>143.715243163791</v>
          </cell>
          <cell r="J838">
            <v>63.631392220190698</v>
          </cell>
        </row>
        <row r="839">
          <cell r="A839" t="str">
            <v>RHSA-WHNGABR</v>
          </cell>
          <cell r="B839" t="str">
            <v>VAR_fin</v>
          </cell>
          <cell r="C839" t="str">
            <v>RNGA</v>
          </cell>
          <cell r="D839">
            <v>8.5074369979744358</v>
          </cell>
          <cell r="E839">
            <v>6.9438113169774711</v>
          </cell>
          <cell r="F839">
            <v>9.8500182622343662</v>
          </cell>
          <cell r="G839">
            <v>6.2108672893718184</v>
          </cell>
          <cell r="H839">
            <v>4.2488157052819844</v>
          </cell>
          <cell r="I839">
            <v>2.5481426092870811</v>
          </cell>
          <cell r="J839">
            <v>1.1282161741168568</v>
          </cell>
        </row>
        <row r="840">
          <cell r="A840" t="str">
            <v>RHSA-WHNGABR</v>
          </cell>
          <cell r="B840" t="str">
            <v>VAR_ncap</v>
          </cell>
          <cell r="C840" t="str">
            <v>-</v>
          </cell>
          <cell r="E840">
            <v>1.2777307758621499E-5</v>
          </cell>
          <cell r="F840">
            <v>5.2685956135009598E-6</v>
          </cell>
          <cell r="G840">
            <v>6.4269173914872399E-6</v>
          </cell>
          <cell r="H840">
            <v>5.2216439385500801E-2</v>
          </cell>
          <cell r="I840">
            <v>4.9940391617701897E-2</v>
          </cell>
          <cell r="J840">
            <v>1.32053249867963E-5</v>
          </cell>
        </row>
        <row r="841">
          <cell r="A841" t="str">
            <v>RHSA-WHNGABR</v>
          </cell>
          <cell r="B841" t="str">
            <v>VAR_cap</v>
          </cell>
          <cell r="C841" t="str">
            <v>-</v>
          </cell>
          <cell r="D841">
            <v>0.43610075802020798</v>
          </cell>
          <cell r="E841">
            <v>0.43597688599444984</v>
          </cell>
          <cell r="F841">
            <v>0.43561150923411529</v>
          </cell>
          <cell r="G841">
            <v>0.43409237162383379</v>
          </cell>
          <cell r="H841">
            <v>0.16477732685106797</v>
          </cell>
          <cell r="I841">
            <v>0.10214673738134948</v>
          </cell>
          <cell r="J841">
            <v>5.8328135227309556E-2</v>
          </cell>
        </row>
        <row r="842">
          <cell r="A842" t="str">
            <v>ITOT-SWHWSTBR</v>
          </cell>
          <cell r="B842" t="str">
            <v>VAR_fout</v>
          </cell>
          <cell r="C842" t="str">
            <v>ITOT-SWH</v>
          </cell>
          <cell r="D842">
            <v>4.1174169544843391</v>
          </cell>
          <cell r="E842">
            <v>4.2667306877460165</v>
          </cell>
          <cell r="F842">
            <v>5.7220937662547611</v>
          </cell>
          <cell r="G842">
            <v>6.0522454199934543</v>
          </cell>
          <cell r="H842">
            <v>5.5194963051130177</v>
          </cell>
          <cell r="I842">
            <v>4.6504193290834204</v>
          </cell>
          <cell r="J842">
            <v>3.2361935718712505</v>
          </cell>
        </row>
        <row r="843">
          <cell r="A843" t="str">
            <v>ITOT-SWHWSTBR</v>
          </cell>
          <cell r="B843" t="str">
            <v>VAR_fout</v>
          </cell>
          <cell r="C843" t="str">
            <v>CO2_I</v>
          </cell>
          <cell r="D843">
            <v>723.66722230330799</v>
          </cell>
          <cell r="E843">
            <v>749.91024208869499</v>
          </cell>
          <cell r="F843">
            <v>1005.70132861447</v>
          </cell>
          <cell r="G843">
            <v>1063.72798290794</v>
          </cell>
          <cell r="H843">
            <v>970.09328998956005</v>
          </cell>
          <cell r="I843">
            <v>817.346427535874</v>
          </cell>
          <cell r="J843">
            <v>552.05655049568395</v>
          </cell>
        </row>
        <row r="844">
          <cell r="A844" t="str">
            <v>ITOT-SWHWSTBR</v>
          </cell>
          <cell r="B844" t="str">
            <v>VAR_fin</v>
          </cell>
          <cell r="C844" t="str">
            <v>IWST</v>
          </cell>
          <cell r="D844">
            <v>7.7981381713718525</v>
          </cell>
          <cell r="E844">
            <v>8.0809293328523033</v>
          </cell>
          <cell r="F844">
            <v>10.837298799724925</v>
          </cell>
          <cell r="G844">
            <v>11.462586022714868</v>
          </cell>
          <cell r="H844">
            <v>10.453591486956473</v>
          </cell>
          <cell r="I844">
            <v>8.8076123656883052</v>
          </cell>
          <cell r="J844">
            <v>5.9488852424103884</v>
          </cell>
        </row>
        <row r="845">
          <cell r="A845" t="str">
            <v>ITOT-SWHWSTBR</v>
          </cell>
          <cell r="B845" t="str">
            <v>VAR_ncap</v>
          </cell>
          <cell r="C845" t="str">
            <v>-</v>
          </cell>
          <cell r="E845">
            <v>2.9534702156191198E-4</v>
          </cell>
          <cell r="F845">
            <v>3.3034897794502402E-3</v>
          </cell>
          <cell r="G845">
            <v>1.1035311799147401E-3</v>
          </cell>
          <cell r="H845">
            <v>0.23190195988074799</v>
          </cell>
          <cell r="I845">
            <v>0.11157515758101599</v>
          </cell>
          <cell r="J845">
            <v>5.2789745238950303E-2</v>
          </cell>
        </row>
        <row r="846">
          <cell r="A846" t="str">
            <v>ITOT-SWHWSTBR</v>
          </cell>
          <cell r="B846" t="str">
            <v>VAR_cap</v>
          </cell>
          <cell r="C846" t="str">
            <v>-</v>
          </cell>
          <cell r="D846">
            <v>0.35954682816669398</v>
          </cell>
          <cell r="E846">
            <v>0.35972166923393006</v>
          </cell>
          <cell r="F846">
            <v>0.3627477669035265</v>
          </cell>
          <cell r="G846">
            <v>0.3624702228908267</v>
          </cell>
          <cell r="H846">
            <v>0.32833685575226623</v>
          </cell>
          <cell r="I846">
            <v>0.34288020154806803</v>
          </cell>
          <cell r="J846">
            <v>0.23012417435644186</v>
          </cell>
        </row>
        <row r="847">
          <cell r="A847" t="str">
            <v>SCOM-SHSTG-ELC</v>
          </cell>
          <cell r="B847" t="str">
            <v>VAR_fout</v>
          </cell>
          <cell r="C847" t="str">
            <v>SCOM-SHAELCB</v>
          </cell>
          <cell r="D847">
            <v>3.5495482986421672E-4</v>
          </cell>
          <cell r="E847">
            <v>3.2481469323005284E-3</v>
          </cell>
          <cell r="F847">
            <v>3.4663456736437062E-4</v>
          </cell>
          <cell r="G847">
            <v>3.5466579666674727E-4</v>
          </cell>
          <cell r="H847">
            <v>3.09822955498612E-4</v>
          </cell>
          <cell r="I847">
            <v>3.193450082812604E-4</v>
          </cell>
          <cell r="J847">
            <v>1.8732607262690048E-4</v>
          </cell>
        </row>
        <row r="848">
          <cell r="A848" t="str">
            <v>SCOM-SHSTG-ELC</v>
          </cell>
          <cell r="B848" t="str">
            <v>VAR_fin</v>
          </cell>
          <cell r="C848" t="str">
            <v>SCOM-SHAELCB</v>
          </cell>
          <cell r="D848">
            <v>3.6513783648456518E-4</v>
          </cell>
          <cell r="E848">
            <v>4.1674321010277699E-3</v>
          </cell>
          <cell r="F848">
            <v>4.0121692395879996E-4</v>
          </cell>
          <cell r="G848">
            <v>4.2504853415375652E-4</v>
          </cell>
          <cell r="H848">
            <v>3.4009411155447571E-4</v>
          </cell>
          <cell r="I848">
            <v>3.6988812789475416E-4</v>
          </cell>
          <cell r="J848">
            <v>2.0431558160977604E-4</v>
          </cell>
        </row>
        <row r="849">
          <cell r="A849" t="str">
            <v>SCOM-SHSTG-ELC</v>
          </cell>
          <cell r="B849" t="str">
            <v>VAR_ncap</v>
          </cell>
          <cell r="C849" t="str">
            <v>-</v>
          </cell>
          <cell r="D849">
            <v>3.8519432793578001E-2</v>
          </cell>
          <cell r="E849">
            <v>3.43417892742983E-4</v>
          </cell>
          <cell r="F849">
            <v>4.1560852433997799E-4</v>
          </cell>
          <cell r="G849">
            <v>4.8898083001516399E-4</v>
          </cell>
          <cell r="H849">
            <v>5.6108004265795998E-3</v>
          </cell>
          <cell r="I849">
            <v>9.3700430373273305E-4</v>
          </cell>
          <cell r="J849">
            <v>1.9352414973850701E-3</v>
          </cell>
        </row>
        <row r="850">
          <cell r="A850" t="str">
            <v>SCOM-SHSTG-ELC</v>
          </cell>
          <cell r="B850" t="str">
            <v>VAR_cap</v>
          </cell>
          <cell r="C850" t="str">
            <v>-</v>
          </cell>
          <cell r="D850">
            <v>3.8519432793578001E-2</v>
          </cell>
          <cell r="E850">
            <v>1.9201814735690097E-2</v>
          </cell>
          <cell r="F850">
            <v>1.7250380032952699E-2</v>
          </cell>
          <cell r="G850">
            <v>9.8810673846932012E-3</v>
          </cell>
          <cell r="H850">
            <v>8.0490361276436499E-3</v>
          </cell>
          <cell r="I850">
            <v>6.1525782276280697E-3</v>
          </cell>
          <cell r="J850">
            <v>4.2450086910241795E-3</v>
          </cell>
        </row>
        <row r="851">
          <cell r="A851" t="str">
            <v>SCOM-SHNGABR</v>
          </cell>
          <cell r="B851" t="str">
            <v>VAR_fout</v>
          </cell>
          <cell r="C851" t="str">
            <v>CO2_S</v>
          </cell>
          <cell r="D851">
            <v>1440.95087646311</v>
          </cell>
          <cell r="E851">
            <v>1508.4890124480301</v>
          </cell>
          <cell r="F851">
            <v>1282.2013583896501</v>
          </cell>
          <cell r="G851">
            <v>948.61851031839103</v>
          </cell>
          <cell r="H851">
            <v>635.329150650168</v>
          </cell>
          <cell r="I851">
            <v>338.22768668273602</v>
          </cell>
          <cell r="J851">
            <v>126.82231928101</v>
          </cell>
        </row>
        <row r="852">
          <cell r="A852" t="str">
            <v>SCOM-SHNGABR</v>
          </cell>
          <cell r="B852" t="str">
            <v>VAR_fout</v>
          </cell>
          <cell r="C852" t="str">
            <v>SCOM-SHNGA</v>
          </cell>
          <cell r="D852">
            <v>24.189797043386285</v>
          </cell>
          <cell r="E852">
            <v>25.32358573032193</v>
          </cell>
          <cell r="F852">
            <v>19.399026731304602</v>
          </cell>
          <cell r="G852">
            <v>14.580020031693589</v>
          </cell>
          <cell r="H852">
            <v>9.764843973041673</v>
          </cell>
          <cell r="I852">
            <v>5.1984716653405085</v>
          </cell>
          <cell r="J852">
            <v>1.9492260961283017</v>
          </cell>
        </row>
        <row r="853">
          <cell r="A853" t="str">
            <v>SCOM-SHNGABR</v>
          </cell>
          <cell r="B853" t="str">
            <v>VAR_fin</v>
          </cell>
          <cell r="C853" t="str">
            <v>SNGA</v>
          </cell>
          <cell r="D853">
            <v>25.548774405374239</v>
          </cell>
          <cell r="E853">
            <v>26.746259085957991</v>
          </cell>
          <cell r="F853">
            <v>22.734066638114321</v>
          </cell>
          <cell r="G853">
            <v>16.819477133304794</v>
          </cell>
          <cell r="H853">
            <v>11.264701252662539</v>
          </cell>
          <cell r="I853">
            <v>5.996944799339297</v>
          </cell>
          <cell r="J853">
            <v>2.2486226822874098</v>
          </cell>
        </row>
        <row r="854">
          <cell r="A854" t="str">
            <v>SCOM-SHNGABR</v>
          </cell>
          <cell r="B854" t="str">
            <v>VAR_ncap</v>
          </cell>
          <cell r="C854" t="str">
            <v>-</v>
          </cell>
          <cell r="D854">
            <v>2.9012457790720198E-6</v>
          </cell>
          <cell r="E854">
            <v>1.64373638095966E-5</v>
          </cell>
          <cell r="F854">
            <v>1.5256804537481399E-5</v>
          </cell>
          <cell r="G854">
            <v>2.4841632924722501E-5</v>
          </cell>
          <cell r="H854">
            <v>0.46614229830663301</v>
          </cell>
          <cell r="I854">
            <v>5.7119055890831397E-2</v>
          </cell>
          <cell r="J854">
            <v>1.75644198018808E-4</v>
          </cell>
        </row>
        <row r="855">
          <cell r="A855" t="str">
            <v>SCOM-SHNGABR</v>
          </cell>
          <cell r="B855" t="str">
            <v>VAR_cap</v>
          </cell>
          <cell r="C855" t="str">
            <v>-</v>
          </cell>
          <cell r="D855">
            <v>2.7746843991209991</v>
          </cell>
          <cell r="E855">
            <v>2.7634927996358405</v>
          </cell>
          <cell r="F855">
            <v>2.4548937160890181</v>
          </cell>
          <cell r="G855">
            <v>2.4530584458586695</v>
          </cell>
          <cell r="H855">
            <v>1.1022930684524039</v>
          </cell>
          <cell r="I855">
            <v>0.5232476899220404</v>
          </cell>
          <cell r="J855">
            <v>0.23876433598385777</v>
          </cell>
        </row>
        <row r="856">
          <cell r="A856" t="str">
            <v>RHEM-SHELCHP</v>
          </cell>
          <cell r="B856" t="str">
            <v>VAR_fout</v>
          </cell>
          <cell r="C856" t="str">
            <v>RHEM-SHAELCH</v>
          </cell>
          <cell r="D856">
            <v>9.9030336787867057</v>
          </cell>
          <cell r="E856">
            <v>11.655398608142388</v>
          </cell>
          <cell r="F856">
            <v>10.026877923705543</v>
          </cell>
          <cell r="G856">
            <v>14.926953389533587</v>
          </cell>
          <cell r="H856">
            <v>18.148845412049877</v>
          </cell>
          <cell r="I856">
            <v>22.204624174655933</v>
          </cell>
          <cell r="J856">
            <v>22.172924804185033</v>
          </cell>
        </row>
        <row r="857">
          <cell r="A857" t="str">
            <v>RHEM-SHELCHP</v>
          </cell>
          <cell r="B857" t="str">
            <v>VAR_fin</v>
          </cell>
          <cell r="C857" t="str">
            <v>RHEMELCHPC</v>
          </cell>
          <cell r="D857">
            <v>9.9030336787867057</v>
          </cell>
          <cell r="E857">
            <v>11.655398608142388</v>
          </cell>
          <cell r="F857">
            <v>10.026877923705543</v>
          </cell>
          <cell r="G857">
            <v>14.926953389533587</v>
          </cell>
          <cell r="H857">
            <v>18.148845412049877</v>
          </cell>
          <cell r="I857">
            <v>22.204624174655933</v>
          </cell>
          <cell r="J857">
            <v>22.172924804185033</v>
          </cell>
        </row>
        <row r="858">
          <cell r="A858" t="str">
            <v>RHEM-SHELCHP</v>
          </cell>
          <cell r="B858" t="str">
            <v>VAR_fin</v>
          </cell>
          <cell r="C858" t="str">
            <v>RHEM_ELC</v>
          </cell>
          <cell r="D858">
            <v>3.0946980246208424</v>
          </cell>
          <cell r="E858">
            <v>3.5826020311913149</v>
          </cell>
          <cell r="F858">
            <v>3.2329103877177485</v>
          </cell>
          <cell r="G858">
            <v>4.41162619889006</v>
          </cell>
          <cell r="H858">
            <v>5.0742858590200459</v>
          </cell>
          <cell r="I858">
            <v>5.8648201085904628</v>
          </cell>
          <cell r="J858">
            <v>5.3537328624390561</v>
          </cell>
        </row>
        <row r="859">
          <cell r="A859" t="str">
            <v>RHEM-SHELCHP</v>
          </cell>
          <cell r="B859" t="str">
            <v>VAR_ncap</v>
          </cell>
          <cell r="C859" t="str">
            <v>-</v>
          </cell>
          <cell r="D859">
            <v>1.6770873841115299E-5</v>
          </cell>
          <cell r="E859">
            <v>0.123748897446756</v>
          </cell>
          <cell r="F859">
            <v>1.8095301967799099E-5</v>
          </cell>
          <cell r="G859">
            <v>0.23159534139048599</v>
          </cell>
          <cell r="H859">
            <v>0.80598808654686604</v>
          </cell>
          <cell r="I859">
            <v>0.60491459528123803</v>
          </cell>
          <cell r="J859">
            <v>0.78631756156201005</v>
          </cell>
        </row>
        <row r="860">
          <cell r="A860" t="str">
            <v>RHEM-SHELCHP</v>
          </cell>
          <cell r="B860" t="str">
            <v>VAR_cap</v>
          </cell>
          <cell r="C860" t="str">
            <v>-</v>
          </cell>
          <cell r="D860">
            <v>0.69926872126584017</v>
          </cell>
          <cell r="E860">
            <v>0.82301637656344617</v>
          </cell>
          <cell r="F860">
            <v>0.82300757433657745</v>
          </cell>
          <cell r="G860">
            <v>1.0546161103294747</v>
          </cell>
          <cell r="H860">
            <v>1.2823223919100926</v>
          </cell>
          <cell r="I860">
            <v>1.5690753228048686</v>
          </cell>
          <cell r="J860">
            <v>1.5662496365169676</v>
          </cell>
        </row>
        <row r="861">
          <cell r="A861" t="str">
            <v>RHNM-SHSTG-ELC</v>
          </cell>
          <cell r="B861" t="str">
            <v>VAR_fout</v>
          </cell>
          <cell r="C861" t="str">
            <v>RHNM-SHAELCB</v>
          </cell>
          <cell r="E861">
            <v>9.9264222043302427E-3</v>
          </cell>
          <cell r="F861">
            <v>8.3209543619146195E-5</v>
          </cell>
          <cell r="G861">
            <v>9.7060361446588191E-5</v>
          </cell>
          <cell r="H861">
            <v>5.7804167233178827E-5</v>
          </cell>
          <cell r="I861">
            <v>1.7821184601581015E-4</v>
          </cell>
          <cell r="J861">
            <v>2.3491275427933172E-4</v>
          </cell>
        </row>
        <row r="862">
          <cell r="A862" t="str">
            <v>RHNM-SHSTG-ELC</v>
          </cell>
          <cell r="B862" t="str">
            <v>VAR_fout</v>
          </cell>
          <cell r="C862" t="str">
            <v>AUX_RHNM-SHSTG-ELC_OUT</v>
          </cell>
          <cell r="E862">
            <v>9.9363486265345771E-3</v>
          </cell>
          <cell r="F862">
            <v>8.3292753162765324E-5</v>
          </cell>
          <cell r="G862">
            <v>9.7157421808034727E-5</v>
          </cell>
          <cell r="H862">
            <v>5.786197140041198E-5</v>
          </cell>
          <cell r="I862">
            <v>1.7839005786182574E-4</v>
          </cell>
          <cell r="J862">
            <v>2.3514766703361089E-4</v>
          </cell>
        </row>
        <row r="863">
          <cell r="A863" t="str">
            <v>RHNM-SHSTG-ELC</v>
          </cell>
          <cell r="B863" t="str">
            <v>VAR_fin</v>
          </cell>
          <cell r="C863" t="str">
            <v>RHNM-SHAELCB</v>
          </cell>
          <cell r="E863">
            <v>9.849867811119661E-3</v>
          </cell>
          <cell r="F863">
            <v>2.563763619232318E-6</v>
          </cell>
          <cell r="G863">
            <v>3.0603237861941303E-5</v>
          </cell>
          <cell r="H863">
            <v>2.0808881230978791E-5</v>
          </cell>
          <cell r="I863">
            <v>1.1005072766313628E-4</v>
          </cell>
          <cell r="J863">
            <v>2.300625380664694E-4</v>
          </cell>
        </row>
        <row r="864">
          <cell r="A864" t="str">
            <v>RHNM-SHSTG-ELC</v>
          </cell>
          <cell r="B864" t="str">
            <v>VAR_ncap</v>
          </cell>
          <cell r="C864" t="str">
            <v>-</v>
          </cell>
          <cell r="D864">
            <v>1.46304056633485E-3</v>
          </cell>
          <cell r="E864">
            <v>2.7784448571520799E-3</v>
          </cell>
          <cell r="F864">
            <v>1.00507553242694E-3</v>
          </cell>
          <cell r="G864">
            <v>1.09258826339476E-3</v>
          </cell>
          <cell r="H864">
            <v>3.0765462761498099E-3</v>
          </cell>
          <cell r="I864">
            <v>8.2644686225426104E-4</v>
          </cell>
          <cell r="J864">
            <v>6.2229621783620897E-4</v>
          </cell>
        </row>
        <row r="865">
          <cell r="A865" t="str">
            <v>RHNM-SHSTG-ELC</v>
          </cell>
          <cell r="B865" t="str">
            <v>VAR_cap</v>
          </cell>
          <cell r="C865" t="str">
            <v>-</v>
          </cell>
          <cell r="D865">
            <v>1.46304056633485E-3</v>
          </cell>
          <cell r="E865">
            <v>4.0725712060975493E-3</v>
          </cell>
          <cell r="F865">
            <v>4.2466008414726707E-3</v>
          </cell>
          <cell r="G865">
            <v>4.2338206927211401E-3</v>
          </cell>
          <cell r="H865">
            <v>5.2637407328513797E-3</v>
          </cell>
          <cell r="I865">
            <v>3.1296324969747906E-3</v>
          </cell>
          <cell r="J865">
            <v>1.3246188133629101E-3</v>
          </cell>
        </row>
        <row r="866">
          <cell r="A866" t="str">
            <v>D-RWOD</v>
          </cell>
          <cell r="B866" t="str">
            <v>VAR_fout</v>
          </cell>
          <cell r="C866" t="str">
            <v>RWOD</v>
          </cell>
          <cell r="D866">
            <v>13.723481082941639</v>
          </cell>
          <cell r="E866">
            <v>15.204634650354425</v>
          </cell>
          <cell r="F866">
            <v>16.945578762872383</v>
          </cell>
          <cell r="G866">
            <v>15.000448781571004</v>
          </cell>
          <cell r="H866">
            <v>12.719797254982412</v>
          </cell>
          <cell r="I866">
            <v>10.590821377812407</v>
          </cell>
          <cell r="J866">
            <v>6.1682967456821167</v>
          </cell>
        </row>
        <row r="867">
          <cell r="A867" t="str">
            <v>D-RWOD</v>
          </cell>
          <cell r="B867" t="str">
            <v>VAR_fin</v>
          </cell>
          <cell r="C867" t="str">
            <v>WOD</v>
          </cell>
          <cell r="D867">
            <v>13.723481082941639</v>
          </cell>
          <cell r="E867">
            <v>15.204634650354425</v>
          </cell>
          <cell r="F867">
            <v>16.945578762872383</v>
          </cell>
          <cell r="G867">
            <v>15.000448781571004</v>
          </cell>
          <cell r="H867">
            <v>12.719797254982412</v>
          </cell>
          <cell r="I867">
            <v>10.590821377812407</v>
          </cell>
          <cell r="J867">
            <v>6.1682967456821167</v>
          </cell>
        </row>
        <row r="868">
          <cell r="A868" t="str">
            <v>RHNS-SHLTHCHPWOD</v>
          </cell>
          <cell r="B868" t="str">
            <v>VAR_ncap</v>
          </cell>
          <cell r="C868" t="str">
            <v>-</v>
          </cell>
          <cell r="G868">
            <v>1.6837955093124401E-4</v>
          </cell>
          <cell r="H868">
            <v>2.6672825217644399E-4</v>
          </cell>
          <cell r="I868">
            <v>1.6298712744368201E-4</v>
          </cell>
          <cell r="J868">
            <v>8.6419799409509198E-5</v>
          </cell>
        </row>
        <row r="869">
          <cell r="A869" t="str">
            <v>RHNS-SHLTHCHPWOD</v>
          </cell>
          <cell r="B869" t="str">
            <v>VAR_cap</v>
          </cell>
          <cell r="C869" t="str">
            <v>-</v>
          </cell>
          <cell r="G869">
            <v>1.6837955093124401E-4</v>
          </cell>
          <cell r="H869">
            <v>3.4814121434119502E-4</v>
          </cell>
          <cell r="I869">
            <v>2.9686820024819101E-4</v>
          </cell>
          <cell r="J869">
            <v>1.4699375846580602E-4</v>
          </cell>
        </row>
        <row r="870">
          <cell r="A870" t="str">
            <v>RHNM-SHELCBR</v>
          </cell>
          <cell r="B870" t="str">
            <v>VAR_fout</v>
          </cell>
          <cell r="C870" t="str">
            <v>RHNM-SHAELCB</v>
          </cell>
          <cell r="E870">
            <v>0.15443791056843106</v>
          </cell>
          <cell r="F870">
            <v>7.8965347869375117E-4</v>
          </cell>
          <cell r="G870">
            <v>1.6595769052436217E-3</v>
          </cell>
          <cell r="H870">
            <v>1.7863504442530425E-3</v>
          </cell>
          <cell r="I870">
            <v>1.9800421899642197E-3</v>
          </cell>
          <cell r="J870">
            <v>1.9671522180627244E-3</v>
          </cell>
        </row>
        <row r="871">
          <cell r="A871" t="str">
            <v>RHNM-SHELCBR</v>
          </cell>
          <cell r="B871" t="str">
            <v>VAR_fin</v>
          </cell>
          <cell r="C871" t="str">
            <v>RHNM_ELC</v>
          </cell>
          <cell r="E871">
            <v>0.1625662216509802</v>
          </cell>
          <cell r="F871">
            <v>8.3121418809868532E-4</v>
          </cell>
          <cell r="G871">
            <v>1.7469230581511812E-3</v>
          </cell>
          <cell r="H871">
            <v>1.8803688886874126E-3</v>
          </cell>
          <cell r="I871">
            <v>2.0842549368044407E-3</v>
          </cell>
          <cell r="J871">
            <v>2.0706865453291824E-3</v>
          </cell>
        </row>
        <row r="872">
          <cell r="A872" t="str">
            <v>RHNM-SHELCBR</v>
          </cell>
          <cell r="B872" t="str">
            <v>VAR_ncap</v>
          </cell>
          <cell r="C872" t="str">
            <v>-</v>
          </cell>
          <cell r="E872">
            <v>1.8020079448868701E-2</v>
          </cell>
          <cell r="H872">
            <v>1.32838727444236E-2</v>
          </cell>
        </row>
        <row r="873">
          <cell r="A873" t="str">
            <v>RHNM-SHELCBR</v>
          </cell>
          <cell r="B873" t="str">
            <v>VAR_cap</v>
          </cell>
          <cell r="C873" t="str">
            <v>-</v>
          </cell>
          <cell r="E873">
            <v>1.8020079448868701E-2</v>
          </cell>
          <cell r="F873">
            <v>1.7997740967347738E-2</v>
          </cell>
          <cell r="G873">
            <v>1.7944480003585919E-2</v>
          </cell>
          <cell r="H873">
            <v>2.2385455252757095E-2</v>
          </cell>
          <cell r="I873">
            <v>1.3275811273817783E-2</v>
          </cell>
          <cell r="J873">
            <v>5.6033779479975464E-3</v>
          </cell>
        </row>
        <row r="874">
          <cell r="A874" t="str">
            <v>RHNS-SHSTG-NGAHP</v>
          </cell>
          <cell r="B874" t="str">
            <v>VAR_fout</v>
          </cell>
          <cell r="C874" t="str">
            <v>RHNS-SHANGAH</v>
          </cell>
          <cell r="F874">
            <v>8.0226647865538452E-3</v>
          </cell>
          <cell r="G874">
            <v>2.5937406398620362E-2</v>
          </cell>
          <cell r="H874">
            <v>3.4851856355146045E-2</v>
          </cell>
          <cell r="I874">
            <v>4.4256230077575814E-2</v>
          </cell>
          <cell r="J874">
            <v>5.8892308154677643E-2</v>
          </cell>
        </row>
        <row r="875">
          <cell r="A875" t="str">
            <v>RHNS-SHSTG-NGAHP</v>
          </cell>
          <cell r="B875" t="str">
            <v>VAR_fout</v>
          </cell>
          <cell r="C875" t="str">
            <v>AUX_RHNS-SHSTG-NGAHP_OUT</v>
          </cell>
          <cell r="F875">
            <v>8.0306874513404059E-3</v>
          </cell>
          <cell r="G875">
            <v>2.5963343805019003E-2</v>
          </cell>
          <cell r="H875">
            <v>3.4886708211501131E-2</v>
          </cell>
          <cell r="I875">
            <v>4.4300486307653389E-2</v>
          </cell>
          <cell r="J875">
            <v>5.8951200462832316E-2</v>
          </cell>
        </row>
        <row r="876">
          <cell r="A876" t="str">
            <v>RHNS-SHSTG-NGAHP</v>
          </cell>
          <cell r="B876" t="str">
            <v>VAR_fin</v>
          </cell>
          <cell r="C876" t="str">
            <v>RHNS-SHANGAH</v>
          </cell>
          <cell r="F876">
            <v>8.4172563144792427E-3</v>
          </cell>
          <cell r="G876">
            <v>2.6331543328010982E-2</v>
          </cell>
          <cell r="H876">
            <v>3.5130502526852944E-2</v>
          </cell>
          <cell r="I876">
            <v>4.447351681209346E-2</v>
          </cell>
          <cell r="J876">
            <v>5.9170920231497968E-2</v>
          </cell>
        </row>
        <row r="877">
          <cell r="A877" t="str">
            <v>RHNS-SHSTG-NGAHP</v>
          </cell>
          <cell r="B877" t="str">
            <v>VAR_ncap</v>
          </cell>
          <cell r="C877" t="str">
            <v>-</v>
          </cell>
          <cell r="D877">
            <v>1.7812537811365899E-4</v>
          </cell>
          <cell r="E877">
            <v>1.8380635264387399E-4</v>
          </cell>
          <cell r="F877">
            <v>2.8099369215082298E-3</v>
          </cell>
          <cell r="G877">
            <v>4.71562458131529E-3</v>
          </cell>
          <cell r="H877">
            <v>3.4367378081101999E-3</v>
          </cell>
          <cell r="I877">
            <v>6.2811544181923E-3</v>
          </cell>
          <cell r="J877">
            <v>9.6910203138090897E-3</v>
          </cell>
        </row>
        <row r="878">
          <cell r="A878" t="str">
            <v>RHNS-SHSTG-NGAHP</v>
          </cell>
          <cell r="B878" t="str">
            <v>VAR_cap</v>
          </cell>
          <cell r="C878" t="str">
            <v>-</v>
          </cell>
          <cell r="D878">
            <v>1.7812537811365899E-4</v>
          </cell>
          <cell r="E878">
            <v>1.3933460359447005E-5</v>
          </cell>
          <cell r="F878">
            <v>2.6735978844528831E-3</v>
          </cell>
          <cell r="G878">
            <v>7.0657019005456794E-3</v>
          </cell>
          <cell r="H878">
            <v>1.007170819774156E-2</v>
          </cell>
          <cell r="I878">
            <v>1.2522084497946284E-2</v>
          </cell>
          <cell r="J878">
            <v>1.513709656016295E-2</v>
          </cell>
        </row>
        <row r="879">
          <cell r="A879" t="str">
            <v>RHNS-SHLTHDH</v>
          </cell>
          <cell r="B879" t="str">
            <v>VAR_fout</v>
          </cell>
          <cell r="C879" t="str">
            <v>RHNS-SHLTHD</v>
          </cell>
          <cell r="E879">
            <v>5.4175690548459679E-2</v>
          </cell>
          <cell r="F879">
            <v>3.0916322868036572E-3</v>
          </cell>
          <cell r="G879">
            <v>0.14949902547956601</v>
          </cell>
          <cell r="H879">
            <v>0.15934002505271527</v>
          </cell>
          <cell r="I879">
            <v>0.17132291797902582</v>
          </cell>
          <cell r="J879">
            <v>0.19868261028815468</v>
          </cell>
        </row>
        <row r="880">
          <cell r="A880" t="str">
            <v>RHNS-SHLTHDH</v>
          </cell>
          <cell r="B880" t="str">
            <v>VAR_fin</v>
          </cell>
          <cell r="C880" t="str">
            <v>RHNS_LTH_DH</v>
          </cell>
          <cell r="E880">
            <v>5.4722919745918884E-2</v>
          </cell>
          <cell r="F880">
            <v>3.4194417493835089E-3</v>
          </cell>
          <cell r="G880">
            <v>0.16441057041326471</v>
          </cell>
          <cell r="H880">
            <v>0.17518280883366746</v>
          </cell>
          <cell r="I880">
            <v>0.18826841729994523</v>
          </cell>
          <cell r="J880">
            <v>0.21820988630940233</v>
          </cell>
        </row>
        <row r="881">
          <cell r="A881" t="str">
            <v>RHNS-SHLTHDH</v>
          </cell>
          <cell r="B881" t="str">
            <v>VAR_fin</v>
          </cell>
          <cell r="C881" t="str">
            <v>RHNSLTHDHC</v>
          </cell>
          <cell r="E881">
            <v>5.4175690548459679E-2</v>
          </cell>
          <cell r="F881">
            <v>3.0916322868036572E-3</v>
          </cell>
          <cell r="G881">
            <v>0.14949902547956601</v>
          </cell>
          <cell r="H881">
            <v>0.15934002505271527</v>
          </cell>
          <cell r="I881">
            <v>0.17132291797902582</v>
          </cell>
          <cell r="J881">
            <v>0.19868261028815468</v>
          </cell>
        </row>
        <row r="882">
          <cell r="A882" t="str">
            <v>RHNS-SHLTHDH</v>
          </cell>
          <cell r="B882" t="str">
            <v>VAR_ncap</v>
          </cell>
          <cell r="C882" t="str">
            <v>-</v>
          </cell>
          <cell r="E882">
            <v>1.5589720533196899E-2</v>
          </cell>
          <cell r="F882">
            <v>4.0900792287968099E-2</v>
          </cell>
          <cell r="G882">
            <v>1.63603508135543E-2</v>
          </cell>
          <cell r="H882">
            <v>9.6422066897580306E-3</v>
          </cell>
          <cell r="I882">
            <v>8.2991758476471302E-3</v>
          </cell>
          <cell r="J882">
            <v>1.20191159298684E-2</v>
          </cell>
        </row>
        <row r="883">
          <cell r="A883" t="str">
            <v>RHNS-SHLTHDH</v>
          </cell>
          <cell r="B883" t="str">
            <v>VAR_cap</v>
          </cell>
          <cell r="C883" t="str">
            <v>-</v>
          </cell>
          <cell r="E883">
            <v>1.5589720533196899E-2</v>
          </cell>
          <cell r="F883">
            <v>4.9846483391263657E-2</v>
          </cell>
          <cell r="G883">
            <v>2.8368461115262804E-2</v>
          </cell>
          <cell r="H883">
            <v>2.0519111076851802E-2</v>
          </cell>
          <cell r="I883">
            <v>1.8208135156784003E-2</v>
          </cell>
          <cell r="J883">
            <v>2.0541638460848E-2</v>
          </cell>
        </row>
        <row r="884">
          <cell r="A884" t="str">
            <v>ITOT-SWHNGAHP</v>
          </cell>
          <cell r="B884" t="str">
            <v>VAR_fout</v>
          </cell>
          <cell r="C884" t="str">
            <v>ITOT-SWHANGAH</v>
          </cell>
          <cell r="F884">
            <v>7.2732520008101903E-2</v>
          </cell>
          <cell r="G884">
            <v>2.6222601149550204E-2</v>
          </cell>
          <cell r="H884">
            <v>5.6870534787086757E-2</v>
          </cell>
          <cell r="I884">
            <v>3.1031856556590649E-2</v>
          </cell>
          <cell r="J884">
            <v>1.9324300630132258E-2</v>
          </cell>
        </row>
        <row r="885">
          <cell r="A885" t="str">
            <v>ITOT-SWHNGAHP</v>
          </cell>
          <cell r="B885" t="str">
            <v>VAR_fout</v>
          </cell>
          <cell r="C885" t="str">
            <v>CO2_I</v>
          </cell>
          <cell r="F885">
            <v>2.1756984185718902</v>
          </cell>
          <cell r="G885">
            <v>0.76938328260584998</v>
          </cell>
          <cell r="H885">
            <v>1.63723383858445</v>
          </cell>
          <cell r="I885">
            <v>0.87688198534231299</v>
          </cell>
          <cell r="J885">
            <v>0.52661798049248498</v>
          </cell>
        </row>
        <row r="886">
          <cell r="A886" t="str">
            <v>ITOT-SWHNGAHP</v>
          </cell>
          <cell r="B886" t="str">
            <v>VAR_fin</v>
          </cell>
          <cell r="C886" t="str">
            <v>ITOTELCHPC</v>
          </cell>
          <cell r="F886">
            <v>7.2732520008101903E-2</v>
          </cell>
          <cell r="G886">
            <v>2.6222601149550204E-2</v>
          </cell>
          <cell r="H886">
            <v>5.6870534787086757E-2</v>
          </cell>
          <cell r="I886">
            <v>3.1031856556590649E-2</v>
          </cell>
          <cell r="J886">
            <v>1.9324300630132258E-2</v>
          </cell>
        </row>
        <row r="887">
          <cell r="A887" t="str">
            <v>ITOT-SWHNGAHP</v>
          </cell>
          <cell r="B887" t="str">
            <v>VAR_fin</v>
          </cell>
          <cell r="C887" t="str">
            <v>INGA</v>
          </cell>
          <cell r="F887">
            <v>3.8576213095246274E-2</v>
          </cell>
          <cell r="G887">
            <v>1.3641547563933517E-2</v>
          </cell>
          <cell r="H887">
            <v>2.9028968769227743E-2</v>
          </cell>
          <cell r="I887">
            <v>1.5547552931601278E-2</v>
          </cell>
          <cell r="J887">
            <v>9.3371982356823587E-3</v>
          </cell>
        </row>
        <row r="888">
          <cell r="A888" t="str">
            <v>ITOT-SWHNGAHP</v>
          </cell>
          <cell r="B888" t="str">
            <v>VAR_ncap</v>
          </cell>
          <cell r="C888" t="str">
            <v>-</v>
          </cell>
          <cell r="E888">
            <v>6.2952223019076096E-3</v>
          </cell>
          <cell r="F888">
            <v>1.34452987966574E-4</v>
          </cell>
          <cell r="G888">
            <v>1.91726294880785E-5</v>
          </cell>
          <cell r="H888">
            <v>3.77637327498142E-3</v>
          </cell>
          <cell r="I888">
            <v>7.9196817323648003E-5</v>
          </cell>
          <cell r="J888">
            <v>6.0129449991752702E-4</v>
          </cell>
        </row>
        <row r="889">
          <cell r="A889" t="str">
            <v>ITOT-SWHNGAHP</v>
          </cell>
          <cell r="B889" t="str">
            <v>VAR_cap</v>
          </cell>
          <cell r="C889" t="str">
            <v>-</v>
          </cell>
          <cell r="E889">
            <v>6.2952223019076096E-3</v>
          </cell>
          <cell r="F889">
            <v>6.4007498035958616E-3</v>
          </cell>
          <cell r="G889">
            <v>2.8293946700429897E-3</v>
          </cell>
          <cell r="H889">
            <v>5.2764141138245801E-3</v>
          </cell>
          <cell r="I889">
            <v>3.3358025842918958E-3</v>
          </cell>
          <cell r="J889">
            <v>1.9888529647645158E-3</v>
          </cell>
        </row>
        <row r="890">
          <cell r="A890" t="str">
            <v>RHSA-WHLFOBR</v>
          </cell>
          <cell r="B890" t="str">
            <v>VAR_fout</v>
          </cell>
          <cell r="C890" t="str">
            <v>CO2_R</v>
          </cell>
          <cell r="D890">
            <v>726.729998070021</v>
          </cell>
          <cell r="E890">
            <v>603.81232171432998</v>
          </cell>
          <cell r="F890">
            <v>658.22139672475805</v>
          </cell>
          <cell r="G890">
            <v>290.89892708687398</v>
          </cell>
          <cell r="H890">
            <v>194.827938128227</v>
          </cell>
          <cell r="I890">
            <v>96.612354264071996</v>
          </cell>
          <cell r="J890">
            <v>7.2910471320438504</v>
          </cell>
        </row>
        <row r="891">
          <cell r="A891" t="str">
            <v>RHSA-WHLFOBR</v>
          </cell>
          <cell r="B891" t="str">
            <v>VAR_fout</v>
          </cell>
          <cell r="C891" t="str">
            <v>RHSA-WHLFO</v>
          </cell>
          <cell r="D891">
            <v>6.9846279778326181</v>
          </cell>
          <cell r="E891">
            <v>5.8544670496385915</v>
          </cell>
          <cell r="F891">
            <v>4.4836979255221125</v>
          </cell>
          <cell r="G891">
            <v>2.1231662544547563</v>
          </cell>
          <cell r="H891">
            <v>1.4574522724710124</v>
          </cell>
          <cell r="I891">
            <v>0.73351587160113951</v>
          </cell>
          <cell r="J891">
            <v>5.835306005670108E-2</v>
          </cell>
        </row>
        <row r="892">
          <cell r="A892" t="str">
            <v>RHSA-WHLFOBR</v>
          </cell>
          <cell r="B892" t="str">
            <v>VAR_fin</v>
          </cell>
          <cell r="C892" t="str">
            <v>RLFO</v>
          </cell>
          <cell r="D892">
            <v>9.8606512628225165</v>
          </cell>
          <cell r="E892">
            <v>8.1928401860831652</v>
          </cell>
          <cell r="F892">
            <v>8.9310908646507343</v>
          </cell>
          <cell r="G892">
            <v>3.9470682101339736</v>
          </cell>
          <cell r="H892">
            <v>2.6435269759596611</v>
          </cell>
          <cell r="I892">
            <v>1.3108867607065386</v>
          </cell>
          <cell r="J892">
            <v>9.8928726350662785E-2</v>
          </cell>
        </row>
        <row r="893">
          <cell r="A893" t="str">
            <v>RHSA-WHLFOBR</v>
          </cell>
          <cell r="B893" t="str">
            <v>VAR_ncap</v>
          </cell>
          <cell r="C893" t="str">
            <v>-</v>
          </cell>
          <cell r="E893">
            <v>6.7005014714817597E-6</v>
          </cell>
          <cell r="F893">
            <v>2.76600558444557E-6</v>
          </cell>
          <cell r="G893">
            <v>5.4987703994920097E-6</v>
          </cell>
          <cell r="H893">
            <v>4.5716107692648597E-2</v>
          </cell>
          <cell r="I893">
            <v>4.6865889155324504E-3</v>
          </cell>
        </row>
        <row r="894">
          <cell r="A894" t="str">
            <v>RHSA-WHLFOBR</v>
          </cell>
          <cell r="B894" t="str">
            <v>VAR_cap</v>
          </cell>
          <cell r="C894" t="str">
            <v>-</v>
          </cell>
          <cell r="D894">
            <v>0.47738433216181703</v>
          </cell>
          <cell r="E894">
            <v>0.47722932399319301</v>
          </cell>
          <cell r="F894">
            <v>0.35136389197531193</v>
          </cell>
          <cell r="G894">
            <v>0.22652625532743143</v>
          </cell>
          <cell r="H894">
            <v>0.10444688192184001</v>
          </cell>
          <cell r="I894">
            <v>5.0396972234560015E-2</v>
          </cell>
          <cell r="J894">
            <v>5.7820951305594011E-3</v>
          </cell>
        </row>
        <row r="895">
          <cell r="A895" t="str">
            <v>D-IWST</v>
          </cell>
          <cell r="B895" t="str">
            <v>VAR_fout</v>
          </cell>
          <cell r="C895" t="str">
            <v>CO2</v>
          </cell>
          <cell r="D895">
            <v>1068.1467514154299</v>
          </cell>
          <cell r="E895">
            <v>1114.5279192180899</v>
          </cell>
          <cell r="F895">
            <v>1024.64874575832</v>
          </cell>
          <cell r="G895">
            <v>1085.2835714412199</v>
          </cell>
          <cell r="H895">
            <v>1001.75820873872</v>
          </cell>
          <cell r="I895">
            <v>1073.7819792759699</v>
          </cell>
          <cell r="J895">
            <v>1086.8531425791</v>
          </cell>
        </row>
        <row r="896">
          <cell r="A896" t="str">
            <v>D-IWST</v>
          </cell>
          <cell r="B896" t="str">
            <v>VAR_fout</v>
          </cell>
          <cell r="C896" t="str">
            <v>IWST</v>
          </cell>
          <cell r="D896">
            <v>11.510202062666306</v>
          </cell>
          <cell r="E896">
            <v>12.009999129505342</v>
          </cell>
          <cell r="F896">
            <v>11.041473553430187</v>
          </cell>
          <cell r="G896">
            <v>11.694866071564908</v>
          </cell>
          <cell r="H896">
            <v>10.794808283822427</v>
          </cell>
          <cell r="I896">
            <v>11.570926500818633</v>
          </cell>
          <cell r="J896">
            <v>11.711779553654047</v>
          </cell>
        </row>
        <row r="897">
          <cell r="A897" t="str">
            <v>D-IWST</v>
          </cell>
          <cell r="B897" t="str">
            <v>VAR_fin</v>
          </cell>
          <cell r="C897" t="str">
            <v>WSTNREN</v>
          </cell>
          <cell r="D897">
            <v>11.510202062666306</v>
          </cell>
          <cell r="E897">
            <v>12.009999129505342</v>
          </cell>
          <cell r="F897">
            <v>11.041473553430187</v>
          </cell>
          <cell r="G897">
            <v>11.694866071564908</v>
          </cell>
          <cell r="H897">
            <v>10.794808283822427</v>
          </cell>
          <cell r="I897">
            <v>11.570926500818633</v>
          </cell>
          <cell r="J897">
            <v>11.711779553654047</v>
          </cell>
        </row>
        <row r="898">
          <cell r="A898" t="str">
            <v>RHES-SHLFOBR</v>
          </cell>
          <cell r="B898" t="str">
            <v>VAR_fout</v>
          </cell>
          <cell r="C898" t="str">
            <v>CO2_R</v>
          </cell>
          <cell r="D898">
            <v>1783.67686066532</v>
          </cell>
          <cell r="E898">
            <v>1640.9746237633001</v>
          </cell>
          <cell r="F898">
            <v>1237.9224606564801</v>
          </cell>
          <cell r="G898">
            <v>591.29789336870397</v>
          </cell>
          <cell r="H898">
            <v>349.248890560738</v>
          </cell>
          <cell r="I898">
            <v>114.619027356453</v>
          </cell>
          <cell r="J898">
            <v>11.3057494504595</v>
          </cell>
        </row>
        <row r="899">
          <cell r="A899" t="str">
            <v>RHES-SHLFOBR</v>
          </cell>
          <cell r="B899" t="str">
            <v>VAR_fout</v>
          </cell>
          <cell r="C899" t="str">
            <v>RHES-SHLFO</v>
          </cell>
          <cell r="D899">
            <v>21.680830226314097</v>
          </cell>
          <cell r="E899">
            <v>19.946265496896796</v>
          </cell>
          <cell r="F899">
            <v>14.272948224789113</v>
          </cell>
          <cell r="G899">
            <v>6.9399075524483633</v>
          </cell>
          <cell r="H899">
            <v>4.1053607884264682</v>
          </cell>
          <cell r="I899">
            <v>1.3451158172911679</v>
          </cell>
          <cell r="J899">
            <v>0.1328840631179164</v>
          </cell>
        </row>
        <row r="900">
          <cell r="A900" t="str">
            <v>RHES-SHLFOBR</v>
          </cell>
          <cell r="B900" t="str">
            <v>VAR_fin</v>
          </cell>
          <cell r="C900" t="str">
            <v>RLFO</v>
          </cell>
          <cell r="D900">
            <v>24.201856996815707</v>
          </cell>
          <cell r="E900">
            <v>22.265598694210354</v>
          </cell>
          <cell r="F900">
            <v>16.796776942421751</v>
          </cell>
          <cell r="G900">
            <v>8.0230379018820077</v>
          </cell>
          <cell r="H900">
            <v>4.7387909166992923</v>
          </cell>
          <cell r="I900">
            <v>1.5552106832625927</v>
          </cell>
          <cell r="J900">
            <v>0.15340229919212398</v>
          </cell>
        </row>
        <row r="901">
          <cell r="A901" t="str">
            <v>RHES-SHLFOBR</v>
          </cell>
          <cell r="B901" t="str">
            <v>VAR_ncap</v>
          </cell>
          <cell r="C901" t="str">
            <v>-</v>
          </cell>
          <cell r="E901">
            <v>3.3023980335218099E-6</v>
          </cell>
          <cell r="F901">
            <v>2.0114775108692401E-6</v>
          </cell>
          <cell r="G901">
            <v>3.4041962712037801E-6</v>
          </cell>
          <cell r="H901">
            <v>1.40648372557907E-2</v>
          </cell>
          <cell r="I901">
            <v>9.4922254939259404E-2</v>
          </cell>
          <cell r="J901">
            <v>1.73037408254202E-6</v>
          </cell>
        </row>
        <row r="902">
          <cell r="A902" t="str">
            <v>RHES-SHLFOBR</v>
          </cell>
          <cell r="B902" t="str">
            <v>VAR_cap</v>
          </cell>
          <cell r="C902" t="str">
            <v>-</v>
          </cell>
          <cell r="D902">
            <v>1.7515307393373001</v>
          </cell>
          <cell r="E902">
            <v>1.7505536175479406</v>
          </cell>
          <cell r="F902">
            <v>1.2424715511101876</v>
          </cell>
          <cell r="G902">
            <v>1.2359052300486266</v>
          </cell>
          <cell r="H902">
            <v>0.3345663263783536</v>
          </cell>
          <cell r="I902">
            <v>0.10898313785380126</v>
          </cell>
          <cell r="J902">
            <v>1.7437651601324197E-2</v>
          </cell>
        </row>
        <row r="903">
          <cell r="A903" t="str">
            <v>ITOT-SWHSTG</v>
          </cell>
          <cell r="B903" t="str">
            <v>VAR_fout</v>
          </cell>
          <cell r="C903" t="str">
            <v>ITOT-SWH</v>
          </cell>
          <cell r="D903">
            <v>1.2012174318184833E-4</v>
          </cell>
          <cell r="E903">
            <v>4.8700551630116908E-3</v>
          </cell>
          <cell r="F903">
            <v>5.7055805585679201E-2</v>
          </cell>
          <cell r="G903">
            <v>3.2082192524260832E-2</v>
          </cell>
          <cell r="H903">
            <v>0.11748203749568582</v>
          </cell>
          <cell r="I903">
            <v>0.3230423817159459</v>
          </cell>
          <cell r="J903">
            <v>2.0069061696648056</v>
          </cell>
        </row>
        <row r="904">
          <cell r="A904" t="str">
            <v>ITOT-SWHSTG</v>
          </cell>
          <cell r="B904" t="str">
            <v>VAR_fout</v>
          </cell>
          <cell r="C904" t="str">
            <v>AUX_ITOT-STG_OUT</v>
          </cell>
          <cell r="D904">
            <v>1.2012174318184817E-4</v>
          </cell>
          <cell r="E904">
            <v>4.8660777814278945E-3</v>
          </cell>
          <cell r="F904">
            <v>5.6983030323452588E-2</v>
          </cell>
          <cell r="G904">
            <v>3.208219252426088E-2</v>
          </cell>
          <cell r="H904">
            <v>0.11735150189846841</v>
          </cell>
          <cell r="I904">
            <v>0.32304238171594635</v>
          </cell>
          <cell r="J904">
            <v>2.0069061696648065</v>
          </cell>
        </row>
        <row r="905">
          <cell r="A905" t="str">
            <v>ITOT-SWHSTG</v>
          </cell>
          <cell r="B905" t="str">
            <v>VAR_fin</v>
          </cell>
          <cell r="C905" t="str">
            <v>AUX_ITOT-STG_IN</v>
          </cell>
          <cell r="D905">
            <v>1.4829927106231066E-4</v>
          </cell>
          <cell r="E905">
            <v>5.9246411464044767E-3</v>
          </cell>
          <cell r="F905">
            <v>6.7923578514015925E-2</v>
          </cell>
          <cell r="G905">
            <v>3.6876084714990369E-2</v>
          </cell>
          <cell r="H905">
            <v>0.13053559589352437</v>
          </cell>
          <cell r="I905">
            <v>0.34735740933043507</v>
          </cell>
          <cell r="J905">
            <v>2.0271779662219802</v>
          </cell>
        </row>
        <row r="906">
          <cell r="A906" t="str">
            <v>ITOT-SWHSTG</v>
          </cell>
          <cell r="B906" t="str">
            <v>VAR_fin</v>
          </cell>
          <cell r="C906" t="str">
            <v>ITOT-SWH</v>
          </cell>
          <cell r="D906">
            <v>1.4829927106231066E-4</v>
          </cell>
          <cell r="E906">
            <v>5.9246411464044767E-3</v>
          </cell>
          <cell r="F906">
            <v>6.7923578514015925E-2</v>
          </cell>
          <cell r="G906">
            <v>3.6876084714990369E-2</v>
          </cell>
          <cell r="H906">
            <v>0.13053559589352437</v>
          </cell>
          <cell r="I906">
            <v>0.34735740933043507</v>
          </cell>
          <cell r="J906">
            <v>2.0271779662219802</v>
          </cell>
        </row>
        <row r="907">
          <cell r="A907" t="str">
            <v>ITOT-SWHSTG</v>
          </cell>
          <cell r="B907" t="str">
            <v>VAR_ncap</v>
          </cell>
          <cell r="C907" t="str">
            <v>-</v>
          </cell>
          <cell r="D907">
            <v>1.84799623810213E-2</v>
          </cell>
          <cell r="E907">
            <v>1.3553097492080999E-4</v>
          </cell>
          <cell r="F907">
            <v>1.50903264582423E-4</v>
          </cell>
          <cell r="G907">
            <v>1.01741911535731E-4</v>
          </cell>
          <cell r="H907">
            <v>3.13725019939071E-2</v>
          </cell>
          <cell r="I907">
            <v>3.5230220552974097E-2</v>
          </cell>
          <cell r="J907">
            <v>0.19016737970346001</v>
          </cell>
        </row>
        <row r="908">
          <cell r="A908" t="str">
            <v>ITOT-SWHSTG</v>
          </cell>
          <cell r="B908" t="str">
            <v>VAR_cap</v>
          </cell>
          <cell r="C908" t="str">
            <v>-</v>
          </cell>
          <cell r="D908">
            <v>1.84799623810213E-2</v>
          </cell>
          <cell r="E908">
            <v>1.8597021753481015E-2</v>
          </cell>
          <cell r="F908">
            <v>1.8721678421596225E-2</v>
          </cell>
          <cell r="G908">
            <v>1.8764804618206933E-2</v>
          </cell>
          <cell r="H908">
            <v>3.62914656228202E-2</v>
          </cell>
          <cell r="I908">
            <v>6.6606995494060961E-2</v>
          </cell>
          <cell r="J908">
            <v>0.22888853398068446</v>
          </cell>
        </row>
        <row r="909">
          <cell r="A909" t="str">
            <v>SCOM-SHLFOBR</v>
          </cell>
          <cell r="B909" t="str">
            <v>VAR_fout</v>
          </cell>
          <cell r="C909" t="str">
            <v>CO2_S</v>
          </cell>
          <cell r="D909">
            <v>2229.9172547481699</v>
          </cell>
          <cell r="E909">
            <v>1901.4017817936301</v>
          </cell>
          <cell r="F909">
            <v>1924.62038695047</v>
          </cell>
          <cell r="G909">
            <v>1141.5613924884201</v>
          </cell>
          <cell r="H909">
            <v>821.84657732135997</v>
          </cell>
          <cell r="I909">
            <v>400.54920633594401</v>
          </cell>
          <cell r="J909">
            <v>31.141466981068799</v>
          </cell>
        </row>
        <row r="910">
          <cell r="A910" t="str">
            <v>SCOM-SHLFOBR</v>
          </cell>
          <cell r="B910" t="str">
            <v>VAR_fout</v>
          </cell>
          <cell r="C910" t="str">
            <v>SCOM-SHLFO</v>
          </cell>
          <cell r="D910">
            <v>24.84310667054552</v>
          </cell>
          <cell r="E910">
            <v>21.225121811907183</v>
          </cell>
          <cell r="F910">
            <v>20.675718559819455</v>
          </cell>
          <cell r="G910">
            <v>12.681970222599137</v>
          </cell>
          <cell r="H910">
            <v>9.1301561963433819</v>
          </cell>
          <cell r="I910">
            <v>4.4498291032470156</v>
          </cell>
          <cell r="J910">
            <v>0.34596050597075112</v>
          </cell>
        </row>
        <row r="911">
          <cell r="A911" t="str">
            <v>SCOM-SHLFOBR</v>
          </cell>
          <cell r="B911" t="str">
            <v>VAR_fin</v>
          </cell>
          <cell r="C911" t="str">
            <v>SLFO</v>
          </cell>
          <cell r="D911">
            <v>30.256679168903222</v>
          </cell>
          <cell r="E911">
            <v>25.799210065042509</v>
          </cell>
          <cell r="F911">
            <v>26.114252197428314</v>
          </cell>
          <cell r="G911">
            <v>15.489299762393747</v>
          </cell>
          <cell r="H911">
            <v>11.151242568810867</v>
          </cell>
          <cell r="I911">
            <v>5.4348603302027643</v>
          </cell>
          <cell r="J911">
            <v>0.42254364967528873</v>
          </cell>
        </row>
        <row r="912">
          <cell r="A912" t="str">
            <v>SCOM-SHLFOBR</v>
          </cell>
          <cell r="B912" t="str">
            <v>VAR_ncap</v>
          </cell>
          <cell r="C912" t="str">
            <v>-</v>
          </cell>
          <cell r="D912">
            <v>4.4530037536301503E-5</v>
          </cell>
          <cell r="E912">
            <v>2.17210904719528E-5</v>
          </cell>
          <cell r="F912">
            <v>1.42338276648176E-5</v>
          </cell>
          <cell r="G912">
            <v>1.9722071206102001E-5</v>
          </cell>
          <cell r="H912">
            <v>0.34709341650102699</v>
          </cell>
          <cell r="I912">
            <v>7.1560417634599307E-5</v>
          </cell>
          <cell r="J912">
            <v>5.7489450386197802E-6</v>
          </cell>
        </row>
        <row r="913">
          <cell r="A913" t="str">
            <v>SCOM-SHLFOBR</v>
          </cell>
          <cell r="B913" t="str">
            <v>VAR_cap</v>
          </cell>
          <cell r="C913" t="str">
            <v>-</v>
          </cell>
          <cell r="D913">
            <v>1.9286181872626562</v>
          </cell>
          <cell r="E913">
            <v>1.7632298083626252</v>
          </cell>
          <cell r="F913">
            <v>1.739096190723606</v>
          </cell>
          <cell r="G913">
            <v>1.7364734098863761</v>
          </cell>
          <cell r="H913">
            <v>0.79741275366331599</v>
          </cell>
          <cell r="I913">
            <v>0.34716280022267326</v>
          </cell>
          <cell r="J913">
            <v>5.7531663360244192E-2</v>
          </cell>
        </row>
        <row r="914">
          <cell r="A914" t="str">
            <v>RHNM-SHPLTBR</v>
          </cell>
          <cell r="B914" t="str">
            <v>VAR_fout</v>
          </cell>
          <cell r="C914" t="str">
            <v>RHNM-SHPLT</v>
          </cell>
          <cell r="E914">
            <v>7.3585810215565303E-2</v>
          </cell>
          <cell r="F914">
            <v>7.8491820866934941E-3</v>
          </cell>
          <cell r="G914">
            <v>1.6523732629620948E-2</v>
          </cell>
          <cell r="H914">
            <v>1.9034162263765378E-2</v>
          </cell>
          <cell r="I914">
            <v>2.1658090418863383E-2</v>
          </cell>
          <cell r="J914">
            <v>2.6449920421258797E-2</v>
          </cell>
        </row>
        <row r="915">
          <cell r="A915" t="str">
            <v>RHNM-SHPLTBR</v>
          </cell>
          <cell r="B915" t="str">
            <v>VAR_fin</v>
          </cell>
          <cell r="C915" t="str">
            <v>RPLT</v>
          </cell>
          <cell r="E915">
            <v>8.1762011350628175E-2</v>
          </cell>
          <cell r="F915">
            <v>1.0577141811578565E-2</v>
          </cell>
          <cell r="G915">
            <v>2.1877445251010517E-2</v>
          </cell>
          <cell r="H915">
            <v>2.508632635194467E-2</v>
          </cell>
          <cell r="I915">
            <v>2.8314923341461476E-2</v>
          </cell>
          <cell r="J915">
            <v>3.4579570711525488E-2</v>
          </cell>
        </row>
        <row r="916">
          <cell r="A916" t="str">
            <v>RHNM-SHPLTBR</v>
          </cell>
          <cell r="B916" t="str">
            <v>VAR_fin</v>
          </cell>
          <cell r="C916" t="str">
            <v>RHNMPLTBRC</v>
          </cell>
          <cell r="E916">
            <v>7.3585810215565303E-2</v>
          </cell>
          <cell r="F916">
            <v>7.8491820866934941E-3</v>
          </cell>
          <cell r="G916">
            <v>1.6523732629620948E-2</v>
          </cell>
          <cell r="H916">
            <v>1.9034162263765378E-2</v>
          </cell>
          <cell r="I916">
            <v>2.1658090418863383E-2</v>
          </cell>
          <cell r="J916">
            <v>2.6449920421258797E-2</v>
          </cell>
        </row>
        <row r="917">
          <cell r="A917" t="str">
            <v>RHNM-SHPLTBR</v>
          </cell>
          <cell r="B917" t="str">
            <v>VAR_ncap</v>
          </cell>
          <cell r="C917" t="str">
            <v>-</v>
          </cell>
          <cell r="E917">
            <v>6.4162421923676504E-3</v>
          </cell>
          <cell r="F917">
            <v>8.8427436603091096E-5</v>
          </cell>
          <cell r="G917">
            <v>2.9110128528431201E-4</v>
          </cell>
          <cell r="H917">
            <v>1.8648376070553099E-4</v>
          </cell>
          <cell r="I917">
            <v>2.1952438507872899E-3</v>
          </cell>
          <cell r="J917">
            <v>9.3022881632073796E-4</v>
          </cell>
        </row>
        <row r="918">
          <cell r="A918" t="str">
            <v>RHNM-SHPLTBR</v>
          </cell>
          <cell r="B918" t="str">
            <v>VAR_cap</v>
          </cell>
          <cell r="C918" t="str">
            <v>-</v>
          </cell>
          <cell r="E918">
            <v>6.4162421923676504E-3</v>
          </cell>
          <cell r="F918">
            <v>6.4953894939356414E-3</v>
          </cell>
          <cell r="G918">
            <v>6.7665624532646839E-3</v>
          </cell>
          <cell r="H918">
            <v>3.8199792034794675E-3</v>
          </cell>
          <cell r="I918">
            <v>2.5840965797475192E-3</v>
          </cell>
          <cell r="J918">
            <v>2.5974731631594711E-3</v>
          </cell>
        </row>
        <row r="919">
          <cell r="A919" t="str">
            <v>D-RHES_NKEV_GAS_ELC_CHP</v>
          </cell>
          <cell r="B919" t="str">
            <v>VAR_fout</v>
          </cell>
          <cell r="C919" t="str">
            <v>RHES_ELC</v>
          </cell>
          <cell r="D919">
            <v>2.3759949980461426E-2</v>
          </cell>
          <cell r="E919">
            <v>5.4906705740114829E-3</v>
          </cell>
          <cell r="F919">
            <v>7.5682971625022121E-3</v>
          </cell>
        </row>
        <row r="920">
          <cell r="A920" t="str">
            <v>D-RHES_NKEV_GAS_ELC_CHP</v>
          </cell>
          <cell r="B920" t="str">
            <v>VAR_fout</v>
          </cell>
          <cell r="C920" t="str">
            <v>ELC5</v>
          </cell>
          <cell r="D920">
            <v>1.5895361152803697E-2</v>
          </cell>
          <cell r="E920">
            <v>3.6823387998899614E-3</v>
          </cell>
          <cell r="F920">
            <v>5.3524807419731944E-3</v>
          </cell>
        </row>
        <row r="921">
          <cell r="A921" t="str">
            <v>D-RHES_NKEV_GAS_ELC_CHP</v>
          </cell>
          <cell r="B921" t="str">
            <v>VAR_fin</v>
          </cell>
          <cell r="C921" t="str">
            <v>RHES_NKEV_GAS_ELC_CHP</v>
          </cell>
          <cell r="D921">
            <v>3.9655311133265141E-2</v>
          </cell>
          <cell r="E921">
            <v>9.1730093739014404E-3</v>
          </cell>
          <cell r="F921">
            <v>1.2781126079905466E-2</v>
          </cell>
        </row>
        <row r="922">
          <cell r="A922" t="str">
            <v>SCOM-SHSTG-SOL</v>
          </cell>
          <cell r="B922" t="str">
            <v>VAR_fout</v>
          </cell>
          <cell r="C922" t="str">
            <v>SCOM-SHASOL</v>
          </cell>
          <cell r="D922">
            <v>6.722707933787944E-4</v>
          </cell>
          <cell r="E922">
            <v>7.2219074596873898E-4</v>
          </cell>
          <cell r="F922">
            <v>4.7032726012596725E-4</v>
          </cell>
          <cell r="G922">
            <v>4.6847744511683566E-4</v>
          </cell>
          <cell r="H922">
            <v>3.9619040386267262E-4</v>
          </cell>
          <cell r="I922">
            <v>3.9984694243750692E-4</v>
          </cell>
          <cell r="J922">
            <v>3.1456072151446251E-4</v>
          </cell>
        </row>
        <row r="923">
          <cell r="A923" t="str">
            <v>SCOM-SHSTG-SOL</v>
          </cell>
          <cell r="B923" t="str">
            <v>VAR_fin</v>
          </cell>
          <cell r="C923" t="str">
            <v>SCOM-SHASOL</v>
          </cell>
          <cell r="D923">
            <v>6.7645309979169502E-4</v>
          </cell>
          <cell r="E923">
            <v>6.8400446920646913E-4</v>
          </cell>
          <cell r="F923">
            <v>3.5278418194949272E-4</v>
          </cell>
          <cell r="G923">
            <v>3.7860962474617501E-4</v>
          </cell>
          <cell r="H923">
            <v>3.1738224800121565E-4</v>
          </cell>
          <cell r="I923">
            <v>3.3759853972085291E-4</v>
          </cell>
          <cell r="J923">
            <v>1.8301604873487623E-4</v>
          </cell>
        </row>
        <row r="924">
          <cell r="A924" t="str">
            <v>SCOM-SHSTG-SOL</v>
          </cell>
          <cell r="B924" t="str">
            <v>VAR_ncap</v>
          </cell>
          <cell r="C924" t="str">
            <v>-</v>
          </cell>
          <cell r="D924">
            <v>2.3621917510509599E-2</v>
          </cell>
          <cell r="E924">
            <v>7.0947482002359897E-5</v>
          </cell>
          <cell r="F924">
            <v>1.5307732968118001E-5</v>
          </cell>
          <cell r="G924">
            <v>2.4924974330326801E-5</v>
          </cell>
          <cell r="H924">
            <v>1.6853805643075901E-2</v>
          </cell>
          <cell r="I924">
            <v>1.0131276172047199E-2</v>
          </cell>
          <cell r="J924">
            <v>1.53087661543524E-2</v>
          </cell>
        </row>
        <row r="925">
          <cell r="A925" t="str">
            <v>SCOM-SHSTG-SOL</v>
          </cell>
          <cell r="B925" t="str">
            <v>VAR_cap</v>
          </cell>
          <cell r="C925" t="str">
            <v>-</v>
          </cell>
          <cell r="D925">
            <v>2.3621917510509599E-2</v>
          </cell>
          <cell r="E925">
            <v>2.36928649925119E-2</v>
          </cell>
          <cell r="F925">
            <v>2.3708172725480099E-2</v>
          </cell>
          <cell r="G925">
            <v>2.3733097699810399E-2</v>
          </cell>
          <cell r="H925">
            <v>2.3056366384714099E-2</v>
          </cell>
          <cell r="I925">
            <v>2.7004816566463301E-2</v>
          </cell>
          <cell r="J925">
            <v>2.97904425538526E-2</v>
          </cell>
        </row>
        <row r="926">
          <cell r="A926" t="str">
            <v>RHNM-SHELCBRA</v>
          </cell>
          <cell r="B926" t="str">
            <v>VAR_fout</v>
          </cell>
          <cell r="C926" t="str">
            <v>RHNM-SHELCB</v>
          </cell>
          <cell r="E926">
            <v>0.15451446496164178</v>
          </cell>
          <cell r="F926">
            <v>8.7029925869366582E-4</v>
          </cell>
          <cell r="G926">
            <v>1.7260051160793795E-3</v>
          </cell>
          <cell r="H926">
            <v>1.8233377174018384E-3</v>
          </cell>
          <cell r="I926">
            <v>2.0482033083168943E-3</v>
          </cell>
          <cell r="J926">
            <v>1.9719841594092618E-3</v>
          </cell>
        </row>
        <row r="927">
          <cell r="A927" t="str">
            <v>RHNM-SHELCBRA</v>
          </cell>
          <cell r="B927" t="str">
            <v>VAR_fin</v>
          </cell>
          <cell r="C927" t="str">
            <v>RHNM-SHAELCB</v>
          </cell>
          <cell r="E927">
            <v>0.15451446496164178</v>
          </cell>
          <cell r="F927">
            <v>8.7029925869366582E-4</v>
          </cell>
          <cell r="G927">
            <v>1.7260051160793795E-3</v>
          </cell>
          <cell r="H927">
            <v>1.8233377174018384E-3</v>
          </cell>
          <cell r="I927">
            <v>2.0482033083168943E-3</v>
          </cell>
          <cell r="J927">
            <v>1.9719841594092618E-3</v>
          </cell>
        </row>
        <row r="928">
          <cell r="A928" t="str">
            <v>RHNM-SHELCBRA</v>
          </cell>
          <cell r="B928" t="str">
            <v>VAR_ncap</v>
          </cell>
          <cell r="C928" t="str">
            <v>-</v>
          </cell>
          <cell r="E928">
            <v>1.8020079448868701E-2</v>
          </cell>
          <cell r="H928">
            <v>1.4310978155125701E-2</v>
          </cell>
        </row>
        <row r="929">
          <cell r="A929" t="str">
            <v>RHNM-SHELCBRA</v>
          </cell>
          <cell r="B929" t="str">
            <v>VAR_cap</v>
          </cell>
          <cell r="C929" t="str">
            <v>-</v>
          </cell>
          <cell r="E929">
            <v>1.8020079448868701E-2</v>
          </cell>
          <cell r="F929">
            <v>1.799866574835219E-2</v>
          </cell>
          <cell r="G929">
            <v>1.794436168036246E-2</v>
          </cell>
          <cell r="H929">
            <v>2.238576187014343E-2</v>
          </cell>
          <cell r="I929">
            <v>1.327835598390205E-2</v>
          </cell>
          <cell r="J929">
            <v>5.6038208829917646E-3</v>
          </cell>
        </row>
        <row r="930">
          <cell r="A930" t="str">
            <v>RHNM-SHSTG-SOL</v>
          </cell>
          <cell r="B930" t="str">
            <v>VAR_fout</v>
          </cell>
          <cell r="C930" t="str">
            <v>AUX_RHNM-SHSTG-SOL_OUT</v>
          </cell>
          <cell r="E930">
            <v>2.029063247733393E-3</v>
          </cell>
          <cell r="F930">
            <v>2.8152867047916163E-4</v>
          </cell>
          <cell r="G930">
            <v>1.5727294432864254E-4</v>
          </cell>
          <cell r="H930">
            <v>1.8224081461511903E-4</v>
          </cell>
          <cell r="I930">
            <v>7.6723323154054545E-5</v>
          </cell>
          <cell r="J930">
            <v>8.480686199521719E-5</v>
          </cell>
        </row>
        <row r="931">
          <cell r="A931" t="str">
            <v>RHNM-SHSTG-SOL</v>
          </cell>
          <cell r="B931" t="str">
            <v>VAR_fout</v>
          </cell>
          <cell r="C931" t="str">
            <v>RHNM-SHASOL</v>
          </cell>
          <cell r="E931">
            <v>2.0270362115218702E-3</v>
          </cell>
          <cell r="F931">
            <v>2.8124742305610532E-4</v>
          </cell>
          <cell r="G931">
            <v>1.5711582850014237E-4</v>
          </cell>
          <cell r="H931">
            <v>1.8205875585925984E-4</v>
          </cell>
          <cell r="I931">
            <v>7.6646676477576956E-5</v>
          </cell>
          <cell r="J931">
            <v>8.4722139855361876E-5</v>
          </cell>
        </row>
        <row r="932">
          <cell r="A932" t="str">
            <v>RHNM-SHSTG-SOL</v>
          </cell>
          <cell r="B932" t="str">
            <v>VAR_fin</v>
          </cell>
          <cell r="C932" t="str">
            <v>RHNM-SHASOL</v>
          </cell>
          <cell r="E932">
            <v>1.4931556926331133E-3</v>
          </cell>
          <cell r="F932">
            <v>5.7130345559283618E-5</v>
          </cell>
          <cell r="G932">
            <v>6.755369196692824E-6</v>
          </cell>
          <cell r="I932">
            <v>1.991829435571961E-6</v>
          </cell>
          <cell r="J932">
            <v>3.8562302564255749E-5</v>
          </cell>
        </row>
        <row r="933">
          <cell r="A933" t="str">
            <v>RHNM-SHSTG-SOL</v>
          </cell>
          <cell r="B933" t="str">
            <v>VAR_ncap</v>
          </cell>
          <cell r="C933" t="str">
            <v>-</v>
          </cell>
          <cell r="D933">
            <v>3.82304880364443E-4</v>
          </cell>
          <cell r="E933">
            <v>2.3731577742881001E-4</v>
          </cell>
          <cell r="F933">
            <v>5.76730633805024E-4</v>
          </cell>
          <cell r="G933">
            <v>5.0761005884084997E-4</v>
          </cell>
          <cell r="H933">
            <v>9.3091492342193497E-5</v>
          </cell>
          <cell r="I933">
            <v>2.9875182560542299E-4</v>
          </cell>
          <cell r="J933">
            <v>3.1293387611839901E-4</v>
          </cell>
        </row>
        <row r="934">
          <cell r="A934" t="str">
            <v>RHNM-SHSTG-SOL</v>
          </cell>
          <cell r="B934" t="str">
            <v>VAR_cap</v>
          </cell>
          <cell r="C934" t="str">
            <v>-</v>
          </cell>
          <cell r="D934">
            <v>3.82304880364443E-4</v>
          </cell>
          <cell r="E934">
            <v>6.1962065779325301E-4</v>
          </cell>
          <cell r="F934">
            <v>1.19635129159828E-3</v>
          </cell>
          <cell r="G934">
            <v>1.7039613504391299E-3</v>
          </cell>
          <cell r="H934">
            <v>1.3981643028293401E-3</v>
          </cell>
          <cell r="I934">
            <v>8.4068567784259898E-4</v>
          </cell>
          <cell r="J934">
            <v>5.6912529462565403E-4</v>
          </cell>
        </row>
        <row r="935">
          <cell r="A935" t="str">
            <v>RHNS-SHELCHP</v>
          </cell>
          <cell r="B935" t="str">
            <v>VAR_fout</v>
          </cell>
          <cell r="C935" t="str">
            <v>RHNS-SHAELCH</v>
          </cell>
          <cell r="E935">
            <v>0.15145341341149907</v>
          </cell>
          <cell r="F935">
            <v>1.0974309432844349</v>
          </cell>
          <cell r="G935">
            <v>1.708005803127822</v>
          </cell>
          <cell r="H935">
            <v>2.216797975596863</v>
          </cell>
          <cell r="I935">
            <v>2.631601942079679</v>
          </cell>
          <cell r="J935">
            <v>3.2507181976316599</v>
          </cell>
        </row>
        <row r="936">
          <cell r="A936" t="str">
            <v>RHNS-SHELCHP</v>
          </cell>
          <cell r="B936" t="str">
            <v>VAR_fin</v>
          </cell>
          <cell r="C936" t="str">
            <v>RHNS_ELC</v>
          </cell>
          <cell r="E936">
            <v>4.655330330271492E-2</v>
          </cell>
          <cell r="F936">
            <v>0.32457299734394485</v>
          </cell>
          <cell r="G936">
            <v>0.47916889397149476</v>
          </cell>
          <cell r="H936">
            <v>0.59682921658971799</v>
          </cell>
          <cell r="I936">
            <v>0.6849113563632776</v>
          </cell>
          <cell r="J936">
            <v>0.77778805691266328</v>
          </cell>
        </row>
        <row r="937">
          <cell r="A937" t="str">
            <v>RHNS-SHELCHP</v>
          </cell>
          <cell r="B937" t="str">
            <v>VAR_fin</v>
          </cell>
          <cell r="C937" t="str">
            <v>RHNSELCHPC</v>
          </cell>
          <cell r="E937">
            <v>0.15145341341149907</v>
          </cell>
          <cell r="F937">
            <v>1.0974309432844349</v>
          </cell>
          <cell r="G937">
            <v>1.708005803127822</v>
          </cell>
          <cell r="H937">
            <v>2.216797975596863</v>
          </cell>
          <cell r="I937">
            <v>2.631601942079679</v>
          </cell>
          <cell r="J937">
            <v>3.2507181976316599</v>
          </cell>
        </row>
        <row r="938">
          <cell r="A938" t="str">
            <v>RHNS-SHELCHP</v>
          </cell>
          <cell r="B938" t="str">
            <v>VAR_ncap</v>
          </cell>
          <cell r="C938" t="str">
            <v>-</v>
          </cell>
          <cell r="E938">
            <v>1.1804653425239E-2</v>
          </cell>
          <cell r="F938">
            <v>6.9684955877527904E-2</v>
          </cell>
          <cell r="G938">
            <v>4.56985758801427E-2</v>
          </cell>
          <cell r="H938">
            <v>4.18282430151906E-2</v>
          </cell>
          <cell r="I938">
            <v>0.107818765599813</v>
          </cell>
          <cell r="J938">
            <v>0.14135069514349899</v>
          </cell>
        </row>
        <row r="939">
          <cell r="A939" t="str">
            <v>RHNS-SHELCHP</v>
          </cell>
          <cell r="B939" t="str">
            <v>VAR_cap</v>
          </cell>
          <cell r="C939" t="str">
            <v>-</v>
          </cell>
          <cell r="E939">
            <v>1.1804653425239E-2</v>
          </cell>
          <cell r="F939">
            <v>8.1486775624648108E-2</v>
          </cell>
          <cell r="G939">
            <v>0.12717679027301376</v>
          </cell>
          <cell r="H939">
            <v>0.16324516044643039</v>
          </cell>
          <cell r="I939">
            <v>0.19319365757412282</v>
          </cell>
          <cell r="J939">
            <v>0.23728847887123997</v>
          </cell>
        </row>
        <row r="940">
          <cell r="A940" t="str">
            <v>SCOM-SHBIOBR</v>
          </cell>
          <cell r="B940" t="str">
            <v>VAR_fout</v>
          </cell>
          <cell r="C940" t="str">
            <v>SCOM-SHBIO</v>
          </cell>
          <cell r="D940">
            <v>1.2231576316855999</v>
          </cell>
          <cell r="E940">
            <v>1.3408440109024429</v>
          </cell>
        </row>
        <row r="941">
          <cell r="A941" t="str">
            <v>SCOM-SHBIOBR</v>
          </cell>
          <cell r="B941" t="str">
            <v>VAR_fin</v>
          </cell>
          <cell r="C941" t="str">
            <v>SBIO</v>
          </cell>
          <cell r="D941">
            <v>1.402382058800276</v>
          </cell>
          <cell r="E941">
            <v>1.5373125554946594</v>
          </cell>
        </row>
        <row r="942">
          <cell r="A942" t="str">
            <v>SCOM-SHBIOBR</v>
          </cell>
          <cell r="B942" t="str">
            <v>VAR_ncap</v>
          </cell>
          <cell r="C942" t="str">
            <v>-</v>
          </cell>
          <cell r="D942">
            <v>1.6782718268349901E-5</v>
          </cell>
          <cell r="E942">
            <v>2.8483782863931501E-4</v>
          </cell>
          <cell r="F942">
            <v>1.3232688374630299E-5</v>
          </cell>
          <cell r="G942">
            <v>2.1011286694650001E-5</v>
          </cell>
          <cell r="H942">
            <v>1.0579736416093299E-3</v>
          </cell>
          <cell r="I942">
            <v>2.05764069597386E-3</v>
          </cell>
          <cell r="J942">
            <v>6.8718873319984397E-4</v>
          </cell>
        </row>
        <row r="943">
          <cell r="A943" t="str">
            <v>SCOM-SHBIOBR</v>
          </cell>
          <cell r="B943" t="str">
            <v>VAR_cap</v>
          </cell>
          <cell r="C943" t="str">
            <v>-</v>
          </cell>
          <cell r="D943">
            <v>0.10535770818694436</v>
          </cell>
          <cell r="E943">
            <v>0.10563169814739681</v>
          </cell>
          <cell r="F943">
            <v>0.10493480091104547</v>
          </cell>
          <cell r="G943">
            <v>0.10472441661210848</v>
          </cell>
          <cell r="H943">
            <v>2.8226888204201064E-2</v>
          </cell>
          <cell r="I943">
            <v>3.0916485339507888E-3</v>
          </cell>
          <cell r="J943">
            <v>2.6040217745173272E-3</v>
          </cell>
        </row>
        <row r="944">
          <cell r="A944" t="str">
            <v>RHES-SHDEM</v>
          </cell>
          <cell r="B944" t="str">
            <v>VAR_fout</v>
          </cell>
          <cell r="C944" t="str">
            <v>RHES-SHD</v>
          </cell>
          <cell r="D944">
            <v>62.024837503894084</v>
          </cell>
          <cell r="E944">
            <v>67.815394581973521</v>
          </cell>
          <cell r="F944">
            <v>56.576361530436877</v>
          </cell>
          <cell r="G944">
            <v>54.672253708648633</v>
          </cell>
          <cell r="H944">
            <v>53.412532282813032</v>
          </cell>
          <cell r="I944">
            <v>52.40788546477102</v>
          </cell>
          <cell r="J944">
            <v>51.191661711690465</v>
          </cell>
        </row>
        <row r="945">
          <cell r="A945" t="str">
            <v>RHES-SHDEM</v>
          </cell>
          <cell r="B945" t="str">
            <v>VAR_fin</v>
          </cell>
          <cell r="C945" t="str">
            <v>RHES-SHPLT</v>
          </cell>
          <cell r="D945">
            <v>1.2887785601475841</v>
          </cell>
          <cell r="E945">
            <v>1.4860508337317331</v>
          </cell>
          <cell r="F945">
            <v>3.147276531194567E-2</v>
          </cell>
          <cell r="G945">
            <v>4.0057113542296179E-2</v>
          </cell>
          <cell r="H945">
            <v>4.4285040989722017E-2</v>
          </cell>
          <cell r="I945">
            <v>4.9825337491596892E-2</v>
          </cell>
          <cell r="J945">
            <v>4.475984906270157E-2</v>
          </cell>
        </row>
        <row r="946">
          <cell r="A946" t="str">
            <v>RHES-SHDEM</v>
          </cell>
          <cell r="B946" t="str">
            <v>VAR_fin</v>
          </cell>
          <cell r="C946" t="str">
            <v>RHES-SHLTHC-NGA</v>
          </cell>
          <cell r="D946">
            <v>4.8773733379440139E-2</v>
          </cell>
          <cell r="E946">
            <v>2.065269009124808E-2</v>
          </cell>
          <cell r="F946">
            <v>2.1804215509326921E-6</v>
          </cell>
          <cell r="G946">
            <v>5.9758700988756285E-5</v>
          </cell>
          <cell r="H946">
            <v>1.615333307551575E-6</v>
          </cell>
          <cell r="J946">
            <v>3.8903374459688243E-5</v>
          </cell>
        </row>
        <row r="947">
          <cell r="A947" t="str">
            <v>RHES-SHDEM</v>
          </cell>
          <cell r="B947" t="str">
            <v>VAR_fin</v>
          </cell>
          <cell r="C947" t="str">
            <v>RHES-SHSOL</v>
          </cell>
          <cell r="D947">
            <v>0.373355184120154</v>
          </cell>
          <cell r="E947">
            <v>0.43488422581921832</v>
          </cell>
          <cell r="F947">
            <v>2.1999683743722236E-2</v>
          </cell>
          <cell r="G947">
            <v>2.3233072847839053E-2</v>
          </cell>
          <cell r="H947">
            <v>2.2866344280858569E-2</v>
          </cell>
          <cell r="I947">
            <v>2.2162640269491201E-2</v>
          </cell>
          <cell r="J947">
            <v>2.0010138849730342E-2</v>
          </cell>
        </row>
        <row r="948">
          <cell r="A948" t="str">
            <v>RHES-SHDEM</v>
          </cell>
          <cell r="B948" t="str">
            <v>VAR_fin</v>
          </cell>
          <cell r="C948" t="str">
            <v>RHES-SHLTHC-WOD</v>
          </cell>
          <cell r="D948">
            <v>2.2575492552246589E-3</v>
          </cell>
          <cell r="E948">
            <v>4.9565023672727942E-4</v>
          </cell>
          <cell r="F948">
            <v>4.926077247785499E-5</v>
          </cell>
          <cell r="G948">
            <v>5.6644190937219838E-6</v>
          </cell>
          <cell r="H948">
            <v>1.5857003509838651E-5</v>
          </cell>
          <cell r="I948">
            <v>1.1811681600314614E-5</v>
          </cell>
          <cell r="J948">
            <v>1.8347260260845118E-5</v>
          </cell>
        </row>
        <row r="949">
          <cell r="A949" t="str">
            <v>RHES-SHDEM</v>
          </cell>
          <cell r="B949" t="str">
            <v>VAR_fin</v>
          </cell>
          <cell r="C949" t="str">
            <v>RHES-SHNGA</v>
          </cell>
          <cell r="D949">
            <v>17.556030053303793</v>
          </cell>
          <cell r="E949">
            <v>19.458599391871058</v>
          </cell>
          <cell r="F949">
            <v>10.463861159152954</v>
          </cell>
          <cell r="G949">
            <v>7.3661866308375075</v>
          </cell>
          <cell r="H949">
            <v>4.8593958851310441</v>
          </cell>
          <cell r="I949">
            <v>2.3053587122696695</v>
          </cell>
          <cell r="J949">
            <v>0.94702357164115081</v>
          </cell>
        </row>
        <row r="950">
          <cell r="A950" t="str">
            <v>RHES-SHDEM</v>
          </cell>
          <cell r="B950" t="str">
            <v>VAR_fin</v>
          </cell>
          <cell r="C950" t="str">
            <v>RHES-SHNGAH</v>
          </cell>
          <cell r="D950">
            <v>1.6898716208873764E-3</v>
          </cell>
          <cell r="E950">
            <v>4.7766955623156071E-4</v>
          </cell>
          <cell r="F950">
            <v>2.2602262678704408</v>
          </cell>
          <cell r="G950">
            <v>5.4978173570883246</v>
          </cell>
          <cell r="H950">
            <v>6.5771656645432408</v>
          </cell>
          <cell r="I950">
            <v>7.6659073893332588</v>
          </cell>
          <cell r="J950">
            <v>7.0921283017340544</v>
          </cell>
        </row>
        <row r="951">
          <cell r="A951" t="str">
            <v>RHES-SHDEM</v>
          </cell>
          <cell r="B951" t="str">
            <v>VAR_fin</v>
          </cell>
          <cell r="C951" t="str">
            <v>RHES-SHCOA</v>
          </cell>
          <cell r="D951">
            <v>7.9298018950777843E-2</v>
          </cell>
          <cell r="E951">
            <v>7.215304150867996E-2</v>
          </cell>
          <cell r="F951">
            <v>2.1754990123534716E-2</v>
          </cell>
          <cell r="G951">
            <v>3.9247945532721148E-4</v>
          </cell>
          <cell r="H951">
            <v>6.3744192458661046E-5</v>
          </cell>
          <cell r="J951">
            <v>1.6326866375591924E-5</v>
          </cell>
        </row>
        <row r="952">
          <cell r="A952" t="str">
            <v>RHES-SHDEM</v>
          </cell>
          <cell r="B952" t="str">
            <v>VAR_fin</v>
          </cell>
          <cell r="C952" t="str">
            <v>RHES-SHLFO</v>
          </cell>
          <cell r="D952">
            <v>21.663032193435996</v>
          </cell>
          <cell r="E952">
            <v>19.945107349591421</v>
          </cell>
          <cell r="F952">
            <v>14.273200979183786</v>
          </cell>
          <cell r="G952">
            <v>6.9400939182515966</v>
          </cell>
          <cell r="H952">
            <v>4.1055815459314919</v>
          </cell>
          <cell r="I952">
            <v>1.3453028760339594</v>
          </cell>
          <cell r="J952">
            <v>0.13306286914839463</v>
          </cell>
        </row>
        <row r="953">
          <cell r="A953" t="str">
            <v>RHES-SHDEM</v>
          </cell>
          <cell r="B953" t="str">
            <v>VAR_fin</v>
          </cell>
          <cell r="C953" t="str">
            <v>RHES-SHCON</v>
          </cell>
          <cell r="D953">
            <v>0.18029593259256818</v>
          </cell>
          <cell r="E953">
            <v>3.1066429120945207</v>
          </cell>
          <cell r="F953">
            <v>2.2637082981321979</v>
          </cell>
          <cell r="G953">
            <v>4.6077106534293302</v>
          </cell>
          <cell r="H953">
            <v>6.7905663518498587</v>
          </cell>
          <cell r="I953">
            <v>8.8186785945937665</v>
          </cell>
          <cell r="J953">
            <v>13.180520387533457</v>
          </cell>
        </row>
        <row r="954">
          <cell r="A954" t="str">
            <v>RHES-SHDEM</v>
          </cell>
          <cell r="B954" t="str">
            <v>VAR_fin</v>
          </cell>
          <cell r="C954" t="str">
            <v>RHES-SHWOD</v>
          </cell>
          <cell r="D954">
            <v>4.375504566646037</v>
          </cell>
          <cell r="E954">
            <v>5.0333344867412899</v>
          </cell>
          <cell r="F954">
            <v>5.2095425967991105</v>
          </cell>
          <cell r="G954">
            <v>4.3637712078367645</v>
          </cell>
          <cell r="H954">
            <v>3.4806716887902436</v>
          </cell>
          <cell r="I954">
            <v>2.7003040210696629</v>
          </cell>
          <cell r="J954">
            <v>1.4271648399668899</v>
          </cell>
        </row>
        <row r="955">
          <cell r="A955" t="str">
            <v>RHES-SHDEM</v>
          </cell>
          <cell r="B955" t="str">
            <v>VAR_fin</v>
          </cell>
          <cell r="C955" t="str">
            <v>RHES-SHLTHD</v>
          </cell>
          <cell r="D955">
            <v>3.0420298529435068</v>
          </cell>
          <cell r="E955">
            <v>3.502825556201691</v>
          </cell>
          <cell r="F955">
            <v>1.4313410425807944</v>
          </cell>
          <cell r="G955">
            <v>1.9305971216545259</v>
          </cell>
          <cell r="H955">
            <v>2.0767267556030338</v>
          </cell>
          <cell r="I955">
            <v>2.2429827214177971</v>
          </cell>
          <cell r="J955">
            <v>2.1429187122561215</v>
          </cell>
        </row>
        <row r="956">
          <cell r="A956" t="str">
            <v>RHES-SHDEM</v>
          </cell>
          <cell r="B956" t="str">
            <v>VAR_fin</v>
          </cell>
          <cell r="C956" t="str">
            <v>RHES-SHELCB</v>
          </cell>
          <cell r="D956">
            <v>4.2684632516813128</v>
          </cell>
          <cell r="E956">
            <v>4.4873668812755572</v>
          </cell>
          <cell r="F956">
            <v>0.7867466877715189</v>
          </cell>
          <cell r="G956">
            <v>0.18613367828858052</v>
          </cell>
          <cell r="H956">
            <v>1.3761404573380613E-2</v>
          </cell>
          <cell r="I956">
            <v>3.5991343728371283E-3</v>
          </cell>
          <cell r="J956">
            <v>2.1152903682714161E-3</v>
          </cell>
        </row>
        <row r="957">
          <cell r="A957" t="str">
            <v>RHES-SHDEM</v>
          </cell>
          <cell r="B957" t="str">
            <v>VAR_fin</v>
          </cell>
          <cell r="C957" t="str">
            <v>RHES-SHELCH</v>
          </cell>
          <cell r="D957">
            <v>9.1444372718206797</v>
          </cell>
          <cell r="E957">
            <v>10.274903229318932</v>
          </cell>
          <cell r="F957">
            <v>19.821543983729867</v>
          </cell>
          <cell r="G957">
            <v>23.722638313730609</v>
          </cell>
          <cell r="H957">
            <v>25.449139863365964</v>
          </cell>
          <cell r="I957">
            <v>27.260023070967794</v>
          </cell>
          <cell r="J957">
            <v>26.20699826291392</v>
          </cell>
        </row>
        <row r="958">
          <cell r="A958" t="str">
            <v>RHES-SHDEM</v>
          </cell>
          <cell r="B958" t="str">
            <v>VAR_fin</v>
          </cell>
          <cell r="C958" t="str">
            <v>RHES-SHNST</v>
          </cell>
          <cell r="D958">
            <v>6.760177852537329E-3</v>
          </cell>
          <cell r="E958">
            <v>5.6371811841073852E-4</v>
          </cell>
          <cell r="F958">
            <v>3.3099608998574581E-5</v>
          </cell>
          <cell r="G958">
            <v>3.8605494388183618E-5</v>
          </cell>
          <cell r="H958">
            <v>7.1225950841371005E-6</v>
          </cell>
          <cell r="I958">
            <v>6.497520776426332E-5</v>
          </cell>
          <cell r="J958">
            <v>7.7951322589263492E-6</v>
          </cell>
        </row>
        <row r="959">
          <cell r="A959" t="str">
            <v>D-RHEM_LTH_CHPNGA</v>
          </cell>
          <cell r="B959" t="str">
            <v>VAR_fout</v>
          </cell>
          <cell r="C959" t="str">
            <v>RHSA_LTH</v>
          </cell>
          <cell r="D959">
            <v>7.003137150738587E-3</v>
          </cell>
          <cell r="E959">
            <v>2.0057228323624134E-4</v>
          </cell>
          <cell r="F959">
            <v>2.4124811675099143E-2</v>
          </cell>
          <cell r="G959">
            <v>3.1470221894465406E-4</v>
          </cell>
          <cell r="H959">
            <v>1.6704763185280516E-4</v>
          </cell>
          <cell r="I959">
            <v>3.6018278746530983E-4</v>
          </cell>
          <cell r="J959">
            <v>2.937711120210029E-4</v>
          </cell>
        </row>
        <row r="960">
          <cell r="A960" t="str">
            <v>D-RHEM_LTH_CHPNGA</v>
          </cell>
          <cell r="B960" t="str">
            <v>VAR_fout</v>
          </cell>
          <cell r="C960" t="str">
            <v>RHEM_LTH_CHPNGA_ON</v>
          </cell>
          <cell r="D960">
            <v>6.589795149137527E-2</v>
          </cell>
          <cell r="E960">
            <v>2.3620234080541945E-2</v>
          </cell>
          <cell r="F960">
            <v>1.999894059116716E-2</v>
          </cell>
          <cell r="G960">
            <v>1.1547379233059459E-4</v>
          </cell>
          <cell r="H960">
            <v>2.1236200541927582E-4</v>
          </cell>
          <cell r="I960">
            <v>8.4181842392626086E-5</v>
          </cell>
          <cell r="J960">
            <v>4.3382019983541174E-5</v>
          </cell>
        </row>
        <row r="961">
          <cell r="A961" t="str">
            <v>D-RHEM_LTH_CHPNGA</v>
          </cell>
          <cell r="B961" t="str">
            <v>VAR_fout</v>
          </cell>
          <cell r="C961" t="str">
            <v>LTH</v>
          </cell>
          <cell r="E961">
            <v>4.6333552515364327E-6</v>
          </cell>
          <cell r="F961">
            <v>1.544456920981622E-5</v>
          </cell>
          <cell r="G961">
            <v>2.0960808638003559E-5</v>
          </cell>
          <cell r="H961">
            <v>3.4685907684648239E-5</v>
          </cell>
          <cell r="I961">
            <v>1.0667963292831433E-4</v>
          </cell>
          <cell r="J961">
            <v>1.2376978520709918E-4</v>
          </cell>
        </row>
        <row r="962">
          <cell r="A962" t="str">
            <v>D-RHEM_LTH_CHPNGA</v>
          </cell>
          <cell r="B962" t="str">
            <v>VAR_fin</v>
          </cell>
          <cell r="C962" t="str">
            <v>RHEM_LTH_CHPNGA</v>
          </cell>
          <cell r="D962">
            <v>7.2901088642113906E-2</v>
          </cell>
          <cell r="E962">
            <v>2.3825917519812743E-2</v>
          </cell>
          <cell r="F962">
            <v>4.4139196835476138E-2</v>
          </cell>
          <cell r="G962">
            <v>4.5113681991325208E-4</v>
          </cell>
          <cell r="H962">
            <v>4.1409554495672939E-4</v>
          </cell>
          <cell r="I962">
            <v>5.5104426278624989E-4</v>
          </cell>
          <cell r="J962">
            <v>4.609229172116435E-4</v>
          </cell>
        </row>
        <row r="963">
          <cell r="A963" t="str">
            <v>RHEM-SHLTHCHPNGA</v>
          </cell>
          <cell r="B963" t="str">
            <v>VAR_fout</v>
          </cell>
          <cell r="C963" t="str">
            <v>RHEM-SHLTHC-NGA</v>
          </cell>
          <cell r="D963">
            <v>5.0272206623977939E-2</v>
          </cell>
          <cell r="E963">
            <v>2.2721721122700426E-2</v>
          </cell>
        </row>
        <row r="964">
          <cell r="A964" t="str">
            <v>RHEM-SHLTHCHPNGA</v>
          </cell>
          <cell r="B964" t="str">
            <v>VAR_fin</v>
          </cell>
          <cell r="C964" t="str">
            <v>RHEM_LTH_CHPNGA_ON</v>
          </cell>
          <cell r="D964">
            <v>5.0780006690886746E-2</v>
          </cell>
          <cell r="E964">
            <v>2.2951233457273137E-2</v>
          </cell>
        </row>
        <row r="965">
          <cell r="A965" t="str">
            <v>RHEM-SHLTHCHPNGA</v>
          </cell>
          <cell r="B965" t="str">
            <v>VAR_fin</v>
          </cell>
          <cell r="C965" t="str">
            <v>RHEMLTHCHPC</v>
          </cell>
          <cell r="D965">
            <v>5.0272206623977939E-2</v>
          </cell>
          <cell r="E965">
            <v>2.2721721122700426E-2</v>
          </cell>
        </row>
        <row r="966">
          <cell r="A966" t="str">
            <v>RHEM-SHLTHCHPNGA</v>
          </cell>
          <cell r="B966" t="str">
            <v>VAR_ncap</v>
          </cell>
          <cell r="C966" t="str">
            <v>-</v>
          </cell>
          <cell r="D966">
            <v>1.25794447583526E-5</v>
          </cell>
          <cell r="E966">
            <v>1.5637043644400801E-3</v>
          </cell>
          <cell r="F966">
            <v>4.1364232438864E-3</v>
          </cell>
          <cell r="G966">
            <v>1.6821172682781999E-3</v>
          </cell>
          <cell r="H966">
            <v>1.8974483883877999E-3</v>
          </cell>
          <cell r="I966">
            <v>4.7270318716892401E-4</v>
          </cell>
          <cell r="J966">
            <v>3.1664346291530499E-7</v>
          </cell>
        </row>
        <row r="967">
          <cell r="A967" t="str">
            <v>RHEM-SHLTHCHPNGA</v>
          </cell>
          <cell r="B967" t="str">
            <v>VAR_cap</v>
          </cell>
          <cell r="C967" t="str">
            <v>-</v>
          </cell>
          <cell r="D967">
            <v>6.8107804433070827E-3</v>
          </cell>
          <cell r="E967">
            <v>2.6698066663869589E-3</v>
          </cell>
          <cell r="F967">
            <v>5.7597156942391795E-3</v>
          </cell>
          <cell r="G967">
            <v>3.6589097560204686E-3</v>
          </cell>
          <cell r="H967">
            <v>3.3826033571003602E-3</v>
          </cell>
          <cell r="I967">
            <v>1.0694934764109102E-3</v>
          </cell>
        </row>
        <row r="968">
          <cell r="A968" t="str">
            <v>D-RHES_SOLELC</v>
          </cell>
          <cell r="B968" t="str">
            <v>VAR_fout</v>
          </cell>
          <cell r="C968" t="str">
            <v>RHES_ELC</v>
          </cell>
          <cell r="D968">
            <v>2.0985072501498325</v>
          </cell>
          <cell r="E968">
            <v>3.3749633275664888</v>
          </cell>
          <cell r="F968">
            <v>4.0188582529897205</v>
          </cell>
          <cell r="G968">
            <v>4.3297329857710523</v>
          </cell>
          <cell r="H968">
            <v>4.5947142280893676</v>
          </cell>
          <cell r="I968">
            <v>4.8140539756231542</v>
          </cell>
          <cell r="J968">
            <v>5.3393574940074977</v>
          </cell>
        </row>
        <row r="969">
          <cell r="A969" t="str">
            <v>D-RHES_SOLELC</v>
          </cell>
          <cell r="B969" t="str">
            <v>VAR_fout</v>
          </cell>
          <cell r="C969" t="str">
            <v>ELC5</v>
          </cell>
          <cell r="D969">
            <v>3.6431838584829283E-2</v>
          </cell>
          <cell r="E969">
            <v>1.5758584551360033E-2</v>
          </cell>
          <cell r="F969">
            <v>1.7196825781397522E-2</v>
          </cell>
          <cell r="G969">
            <v>9.6503139748492055E-3</v>
          </cell>
          <cell r="H969">
            <v>1.8854500840277191E-2</v>
          </cell>
          <cell r="I969">
            <v>5.7136661339780216E-2</v>
          </cell>
          <cell r="J969">
            <v>6.4628389224425362E-2</v>
          </cell>
        </row>
        <row r="970">
          <cell r="A970" t="str">
            <v>D-RHES_SOLELC</v>
          </cell>
          <cell r="B970" t="str">
            <v>VAR_fin</v>
          </cell>
          <cell r="C970" t="str">
            <v>RHES_SOL_ELC</v>
          </cell>
          <cell r="D970">
            <v>2.1349390887346629</v>
          </cell>
          <cell r="E970">
            <v>3.3906692602685045</v>
          </cell>
          <cell r="F970">
            <v>4.0360550787711125</v>
          </cell>
          <cell r="G970">
            <v>4.3393832997459008</v>
          </cell>
          <cell r="H970">
            <v>4.6135687289296445</v>
          </cell>
          <cell r="I970">
            <v>4.8711906369629405</v>
          </cell>
          <cell r="J970">
            <v>5.4039858832319272</v>
          </cell>
        </row>
        <row r="971">
          <cell r="A971" t="str">
            <v>RHNM-SHCONBR1</v>
          </cell>
          <cell r="B971" t="str">
            <v>VAR_ncap</v>
          </cell>
          <cell r="C971" t="str">
            <v>-</v>
          </cell>
          <cell r="F971">
            <v>375</v>
          </cell>
          <cell r="G971">
            <v>4.7310676183725198</v>
          </cell>
          <cell r="H971">
            <v>4.3003918622550996</v>
          </cell>
        </row>
        <row r="972">
          <cell r="A972" t="str">
            <v>RHNM-SHCONBR1</v>
          </cell>
          <cell r="B972" t="str">
            <v>VAR_cap</v>
          </cell>
          <cell r="C972" t="str">
            <v>-</v>
          </cell>
          <cell r="F972">
            <v>375</v>
          </cell>
          <cell r="G972">
            <v>11.848368678838995</v>
          </cell>
          <cell r="H972">
            <v>10.947118884982956</v>
          </cell>
          <cell r="I972">
            <v>6.3311927241859962</v>
          </cell>
          <cell r="J972">
            <v>2.8355470014540174</v>
          </cell>
        </row>
        <row r="973">
          <cell r="A973" t="str">
            <v>D-DH2</v>
          </cell>
          <cell r="B973" t="str">
            <v>VAR_fout</v>
          </cell>
          <cell r="C973" t="str">
            <v>H2</v>
          </cell>
          <cell r="G973">
            <v>1.2990698181662011E-4</v>
          </cell>
          <cell r="H973">
            <v>8.9950832132922151E-4</v>
          </cell>
          <cell r="I973">
            <v>11.291573756062718</v>
          </cell>
          <cell r="J973">
            <v>11.947262196770296</v>
          </cell>
        </row>
        <row r="974">
          <cell r="A974" t="str">
            <v>D-DH2</v>
          </cell>
          <cell r="B974" t="str">
            <v>VAR_fin</v>
          </cell>
          <cell r="C974" t="str">
            <v>H2_E</v>
          </cell>
          <cell r="G974">
            <v>1.3121917355214154E-4</v>
          </cell>
          <cell r="H974">
            <v>9.0859426396891041E-4</v>
          </cell>
          <cell r="I974">
            <v>11.405630056629006</v>
          </cell>
          <cell r="J974">
            <v>12.067941612899292</v>
          </cell>
        </row>
        <row r="975">
          <cell r="A975" t="str">
            <v>D-DH2</v>
          </cell>
          <cell r="B975" t="str">
            <v>VAR_ncap</v>
          </cell>
          <cell r="C975" t="str">
            <v>-</v>
          </cell>
          <cell r="G975">
            <v>7.66403628444295E-4</v>
          </cell>
          <cell r="H975">
            <v>8.5367746458727605E-4</v>
          </cell>
          <cell r="I975">
            <v>1.5153450950415801</v>
          </cell>
          <cell r="J975">
            <v>8.7962150521047194E-2</v>
          </cell>
        </row>
        <row r="976">
          <cell r="A976" t="str">
            <v>D-DH2</v>
          </cell>
          <cell r="B976" t="str">
            <v>VAR_cap</v>
          </cell>
          <cell r="C976" t="str">
            <v>-</v>
          </cell>
          <cell r="G976">
            <v>7.66403628444295E-4</v>
          </cell>
          <cell r="H976">
            <v>1.6200810930315701E-3</v>
          </cell>
          <cell r="I976">
            <v>1.5169651761346099</v>
          </cell>
          <cell r="J976">
            <v>1.6049273266556501</v>
          </cell>
        </row>
        <row r="977">
          <cell r="A977" t="str">
            <v>ITOT-SWHHFOBR</v>
          </cell>
          <cell r="B977" t="str">
            <v>VAR_fout</v>
          </cell>
          <cell r="C977" t="str">
            <v>ITOT-SWH</v>
          </cell>
          <cell r="D977">
            <v>1.8459251245252504</v>
          </cell>
          <cell r="E977">
            <v>1.8457931733678312</v>
          </cell>
          <cell r="F977">
            <v>3.244276238856901E-2</v>
          </cell>
          <cell r="G977">
            <v>3.1390450357645489E-3</v>
          </cell>
          <cell r="H977">
            <v>4.3720862185581355E-2</v>
          </cell>
          <cell r="I977">
            <v>4.3085175579479209E-3</v>
          </cell>
        </row>
        <row r="978">
          <cell r="A978" t="str">
            <v>ITOT-SWHHFOBR</v>
          </cell>
          <cell r="B978" t="str">
            <v>VAR_fout</v>
          </cell>
          <cell r="C978" t="str">
            <v>CO2_I</v>
          </cell>
          <cell r="D978">
            <v>210.22182967416401</v>
          </cell>
          <cell r="E978">
            <v>209.30133914928601</v>
          </cell>
          <cell r="F978">
            <v>3.6551882270431699</v>
          </cell>
          <cell r="G978">
            <v>0.34991888201790899</v>
          </cell>
          <cell r="H978">
            <v>4.8226432279197997</v>
          </cell>
          <cell r="I978">
            <v>0.47032550340172202</v>
          </cell>
        </row>
        <row r="979">
          <cell r="A979" t="str">
            <v>ITOT-SWHHFOBR</v>
          </cell>
          <cell r="B979" t="str">
            <v>VAR_fin</v>
          </cell>
          <cell r="C979" t="str">
            <v>IHFO</v>
          </cell>
          <cell r="D979">
            <v>2.7301536321320046</v>
          </cell>
          <cell r="E979">
            <v>2.7181992097309959</v>
          </cell>
          <cell r="F979">
            <v>4.7469976974586547E-2</v>
          </cell>
          <cell r="G979">
            <v>4.5444010651676508E-3</v>
          </cell>
          <cell r="H979">
            <v>6.2631730232724711E-2</v>
          </cell>
          <cell r="I979">
            <v>6.1081234208015898E-3</v>
          </cell>
        </row>
        <row r="980">
          <cell r="A980" t="str">
            <v>ITOT-SWHHFOBR</v>
          </cell>
          <cell r="B980" t="str">
            <v>VAR_ncap</v>
          </cell>
          <cell r="C980" t="str">
            <v>-</v>
          </cell>
          <cell r="D980">
            <v>1.33925594243944E-2</v>
          </cell>
          <cell r="E980">
            <v>4.7356802545426001E-4</v>
          </cell>
          <cell r="F980">
            <v>2.5592586420375001E-4</v>
          </cell>
          <cell r="G980">
            <v>2.8089696296672799E-4</v>
          </cell>
          <cell r="H980">
            <v>3.9895138418329203E-3</v>
          </cell>
          <cell r="I980">
            <v>4.6875235681626199E-4</v>
          </cell>
          <cell r="J980">
            <v>4.4308452484250199E-5</v>
          </cell>
        </row>
        <row r="981">
          <cell r="A981" t="str">
            <v>ITOT-SWHHFOBR</v>
          </cell>
          <cell r="B981" t="str">
            <v>VAR_cap</v>
          </cell>
          <cell r="C981" t="str">
            <v>-</v>
          </cell>
          <cell r="D981">
            <v>0.11410955942439441</v>
          </cell>
          <cell r="E981">
            <v>0.11438740226748473</v>
          </cell>
          <cell r="F981">
            <v>3.0795694956704117E-3</v>
          </cell>
          <cell r="G981">
            <v>3.0204146214710126E-4</v>
          </cell>
          <cell r="H981">
            <v>4.0657601923268956E-3</v>
          </cell>
          <cell r="I981">
            <v>4.1462364748260944E-4</v>
          </cell>
          <cell r="J981">
            <v>-5.8651647282400264E-5</v>
          </cell>
        </row>
        <row r="982">
          <cell r="A982" t="str">
            <v>RHNM-SHCONBR2</v>
          </cell>
          <cell r="B982" t="str">
            <v>VAR_ncap</v>
          </cell>
          <cell r="C982" t="str">
            <v>-</v>
          </cell>
          <cell r="F982">
            <v>375</v>
          </cell>
          <cell r="G982">
            <v>4.73106761837278</v>
          </cell>
          <cell r="H982">
            <v>4.3003918622553901</v>
          </cell>
        </row>
        <row r="983">
          <cell r="A983" t="str">
            <v>RHNM-SHCONBR2</v>
          </cell>
          <cell r="B983" t="str">
            <v>VAR_cap</v>
          </cell>
          <cell r="C983" t="str">
            <v>-</v>
          </cell>
          <cell r="F983">
            <v>375</v>
          </cell>
          <cell r="G983">
            <v>11.848368678838028</v>
          </cell>
          <cell r="H983">
            <v>10.947118884980966</v>
          </cell>
          <cell r="I983">
            <v>6.3311927241839498</v>
          </cell>
          <cell r="J983">
            <v>2.8355470014540174</v>
          </cell>
        </row>
        <row r="984">
          <cell r="A984" t="str">
            <v>RHSA-WHSTG-ELCHP</v>
          </cell>
          <cell r="B984" t="str">
            <v>VAR_fout</v>
          </cell>
          <cell r="C984" t="str">
            <v>AUX_RHSA-WHSTG-ELCHP_OUT</v>
          </cell>
          <cell r="D984">
            <v>0.33303369912126585</v>
          </cell>
          <cell r="E984">
            <v>0.50260635963848788</v>
          </cell>
          <cell r="F984">
            <v>0.78293529649401605</v>
          </cell>
          <cell r="G984">
            <v>1.49755849733746</v>
          </cell>
          <cell r="H984">
            <v>1.5422347691197718</v>
          </cell>
          <cell r="I984">
            <v>1.6869041805665221</v>
          </cell>
          <cell r="J984">
            <v>2.119440048689246</v>
          </cell>
        </row>
        <row r="985">
          <cell r="A985" t="str">
            <v>RHSA-WHSTG-ELCHP</v>
          </cell>
          <cell r="B985" t="str">
            <v>VAR_fout</v>
          </cell>
          <cell r="C985" t="str">
            <v>RHSA-WHAELCH</v>
          </cell>
          <cell r="D985">
            <v>0.33270099812314269</v>
          </cell>
          <cell r="E985">
            <v>0.50210425538310466</v>
          </cell>
          <cell r="F985">
            <v>0.7821531433506651</v>
          </cell>
          <cell r="G985">
            <v>1.4960624349025573</v>
          </cell>
          <cell r="H985">
            <v>1.5406940750447276</v>
          </cell>
          <cell r="I985">
            <v>1.6852189616049149</v>
          </cell>
          <cell r="J985">
            <v>2.1173227259632839</v>
          </cell>
        </row>
        <row r="986">
          <cell r="A986" t="str">
            <v>RHSA-WHSTG-ELCHP</v>
          </cell>
          <cell r="B986" t="str">
            <v>VAR_fin</v>
          </cell>
          <cell r="C986" t="str">
            <v>RHSA-WHAELCH</v>
          </cell>
          <cell r="D986">
            <v>0.3330964079294127</v>
          </cell>
          <cell r="E986">
            <v>0.50218617403896049</v>
          </cell>
          <cell r="F986">
            <v>0.78216168980460621</v>
          </cell>
          <cell r="G986">
            <v>1.4961062013772939</v>
          </cell>
          <cell r="H986">
            <v>1.5407652424532419</v>
          </cell>
          <cell r="I986">
            <v>1.6853346342129996</v>
          </cell>
          <cell r="J986">
            <v>2.1173582122175314</v>
          </cell>
        </row>
        <row r="987">
          <cell r="A987" t="str">
            <v>RHSA-WHSTG-ELCHP</v>
          </cell>
          <cell r="B987" t="str">
            <v>VAR_ncap</v>
          </cell>
          <cell r="C987" t="str">
            <v>-</v>
          </cell>
          <cell r="D987">
            <v>6.6280080800076996E-2</v>
          </cell>
          <cell r="E987">
            <v>3.4955890285700902E-4</v>
          </cell>
          <cell r="F987">
            <v>1.89549915331645E-2</v>
          </cell>
          <cell r="G987">
            <v>4.1338184598133897E-2</v>
          </cell>
          <cell r="H987">
            <v>8.6094941245761794E-2</v>
          </cell>
          <cell r="I987">
            <v>8.5169646142057603E-2</v>
          </cell>
          <cell r="J987">
            <v>0.148149690877073</v>
          </cell>
        </row>
        <row r="988">
          <cell r="A988" t="str">
            <v>RHSA-WHSTG-ELCHP</v>
          </cell>
          <cell r="B988" t="str">
            <v>VAR_cap</v>
          </cell>
          <cell r="C988" t="str">
            <v>-</v>
          </cell>
          <cell r="D988">
            <v>6.6281320329480087E-2</v>
          </cell>
          <cell r="E988">
            <v>5.7988825119562382E-2</v>
          </cell>
          <cell r="F988">
            <v>7.6663259510851567E-2</v>
          </cell>
          <cell r="G988">
            <v>0.11755565392356014</v>
          </cell>
          <cell r="H988">
            <v>0.15787858129128685</v>
          </cell>
          <cell r="I988">
            <v>0.20150411050306885</v>
          </cell>
          <cell r="J988">
            <v>0.24544006464246707</v>
          </cell>
        </row>
        <row r="989">
          <cell r="A989" t="str">
            <v>RHNM-SHCONBR3</v>
          </cell>
          <cell r="B989" t="str">
            <v>VAR_ncap</v>
          </cell>
          <cell r="C989" t="str">
            <v>-</v>
          </cell>
          <cell r="F989">
            <v>375</v>
          </cell>
          <cell r="G989">
            <v>4.7310676183725198</v>
          </cell>
          <cell r="H989">
            <v>4.3003918622550996</v>
          </cell>
        </row>
        <row r="990">
          <cell r="A990" t="str">
            <v>RHNM-SHCONBR3</v>
          </cell>
          <cell r="B990" t="str">
            <v>VAR_cap</v>
          </cell>
          <cell r="C990" t="str">
            <v>-</v>
          </cell>
          <cell r="F990">
            <v>375</v>
          </cell>
          <cell r="G990">
            <v>11.848368678838995</v>
          </cell>
          <cell r="H990">
            <v>10.947118884982956</v>
          </cell>
          <cell r="I990">
            <v>6.3311927241859962</v>
          </cell>
          <cell r="J990">
            <v>2.8355470014540174</v>
          </cell>
        </row>
        <row r="991">
          <cell r="A991" t="str">
            <v>RES-ELCSPECADV</v>
          </cell>
          <cell r="B991" t="str">
            <v>VAR_fout</v>
          </cell>
          <cell r="C991" t="str">
            <v>RHSA-ELS</v>
          </cell>
          <cell r="F991">
            <v>6.0844044165168852E-5</v>
          </cell>
          <cell r="G991">
            <v>9.2904641067148486</v>
          </cell>
          <cell r="H991">
            <v>13.765878672946375</v>
          </cell>
          <cell r="I991">
            <v>18.436523427032544</v>
          </cell>
          <cell r="J991">
            <v>27.774278038248092</v>
          </cell>
        </row>
        <row r="992">
          <cell r="A992" t="str">
            <v>RES-ELCSPECADV</v>
          </cell>
          <cell r="B992" t="str">
            <v>VAR_fin</v>
          </cell>
          <cell r="C992" t="str">
            <v>RHSA_ELC</v>
          </cell>
          <cell r="F992">
            <v>4.0562696110112589E-5</v>
          </cell>
          <cell r="G992">
            <v>6.1936427378099008</v>
          </cell>
          <cell r="H992">
            <v>9.1772524486309113</v>
          </cell>
          <cell r="I992">
            <v>12.291015618021673</v>
          </cell>
          <cell r="J992">
            <v>18.516185358832065</v>
          </cell>
        </row>
        <row r="993">
          <cell r="A993" t="str">
            <v>RES-ELCSPECADV</v>
          </cell>
          <cell r="B993" t="str">
            <v>VAR_ncap</v>
          </cell>
          <cell r="C993" t="str">
            <v>-</v>
          </cell>
          <cell r="F993">
            <v>1.0054066097900001E-3</v>
          </cell>
          <cell r="G993">
            <v>0.98099412102706396</v>
          </cell>
          <cell r="H993">
            <v>0.47305784939393702</v>
          </cell>
          <cell r="I993">
            <v>0.49368579685503</v>
          </cell>
          <cell r="J993">
            <v>1.3281496122515599</v>
          </cell>
        </row>
        <row r="994">
          <cell r="A994" t="str">
            <v>RES-ELCSPECADV</v>
          </cell>
          <cell r="B994" t="str">
            <v>VAR_cap</v>
          </cell>
          <cell r="C994" t="str">
            <v>-</v>
          </cell>
          <cell r="F994">
            <v>1.0054066097900001E-3</v>
          </cell>
          <cell r="G994">
            <v>0.9819973591212191</v>
          </cell>
          <cell r="H994">
            <v>1.4550498828459488</v>
          </cell>
          <cell r="I994">
            <v>1.9487275543538471</v>
          </cell>
          <cell r="J994">
            <v>2.9357214382005612</v>
          </cell>
        </row>
        <row r="995">
          <cell r="A995" t="str">
            <v>ITOT-SWHSTG-ELCHP</v>
          </cell>
          <cell r="B995" t="str">
            <v>VAR_fout</v>
          </cell>
          <cell r="C995" t="str">
            <v>ITOT-SWHAELCH</v>
          </cell>
          <cell r="D995">
            <v>1.3480724432021337E-3</v>
          </cell>
          <cell r="E995">
            <v>4.1801075933339284E-4</v>
          </cell>
          <cell r="F995">
            <v>3.9507872924431378E-2</v>
          </cell>
          <cell r="G995">
            <v>1.4922334677952632E-2</v>
          </cell>
          <cell r="H995">
            <v>3.4100900907277319E-2</v>
          </cell>
          <cell r="I995">
            <v>0.15510308422390923</v>
          </cell>
          <cell r="J995">
            <v>0.37282072194091798</v>
          </cell>
        </row>
        <row r="996">
          <cell r="A996" t="str">
            <v>ITOT-SWHSTG-ELCHP</v>
          </cell>
          <cell r="B996" t="str">
            <v>VAR_fin</v>
          </cell>
          <cell r="C996" t="str">
            <v>ITOT-SWHAELCH</v>
          </cell>
          <cell r="D996">
            <v>1.0615019385398104E-3</v>
          </cell>
          <cell r="E996">
            <v>5.3659915048788183E-4</v>
          </cell>
          <cell r="F996">
            <v>5.0661503478192274E-2</v>
          </cell>
          <cell r="G996">
            <v>1.8684694630331011E-2</v>
          </cell>
          <cell r="H996">
            <v>4.1371564021815993E-2</v>
          </cell>
          <cell r="I996">
            <v>0.18231601885943458</v>
          </cell>
          <cell r="J996">
            <v>0.41426519247230581</v>
          </cell>
        </row>
        <row r="997">
          <cell r="A997" t="str">
            <v>ITOT-SWHSTG-ELCHP</v>
          </cell>
          <cell r="B997" t="str">
            <v>VAR_ncap</v>
          </cell>
          <cell r="C997" t="str">
            <v>-</v>
          </cell>
          <cell r="D997">
            <v>6.7676224298321402E-2</v>
          </cell>
          <cell r="E997">
            <v>1.4603058396640701E-4</v>
          </cell>
          <cell r="F997">
            <v>1.4960915601942701E-2</v>
          </cell>
          <cell r="G997">
            <v>4.4781084910274598E-2</v>
          </cell>
          <cell r="H997">
            <v>2.8371665996415801E-2</v>
          </cell>
          <cell r="I997">
            <v>3.43202868879924E-2</v>
          </cell>
          <cell r="J997">
            <v>0.107886590063098</v>
          </cell>
        </row>
        <row r="998">
          <cell r="A998" t="str">
            <v>ITOT-SWHSTG-ELCHP</v>
          </cell>
          <cell r="B998" t="str">
            <v>VAR_cap</v>
          </cell>
          <cell r="C998" t="str">
            <v>-</v>
          </cell>
          <cell r="D998">
            <v>6.7676224298321402E-2</v>
          </cell>
          <cell r="E998">
            <v>1.8800041711474993E-2</v>
          </cell>
          <cell r="F998">
            <v>3.3903512351335305E-2</v>
          </cell>
          <cell r="G998">
            <v>7.8899792253771389E-2</v>
          </cell>
          <cell r="H998">
            <v>9.17394818232104E-2</v>
          </cell>
          <cell r="I998">
            <v>9.4121270828761108E-2</v>
          </cell>
          <cell r="J998">
            <v>0.14352953397681306</v>
          </cell>
        </row>
        <row r="999">
          <cell r="A999" t="str">
            <v>D-RHNS_LTH_CHPWOD</v>
          </cell>
          <cell r="B999" t="str">
            <v>VAR_fout</v>
          </cell>
          <cell r="C999" t="str">
            <v>RHNS_LTH_CHPWOD_ON</v>
          </cell>
          <cell r="D999">
            <v>1.9763307501503534E-4</v>
          </cell>
          <cell r="E999">
            <v>1.7424416835493364E-4</v>
          </cell>
          <cell r="F999">
            <v>7.6237024782632945E-5</v>
          </cell>
          <cell r="G999">
            <v>1.174115127308193E-4</v>
          </cell>
          <cell r="H999">
            <v>6.5423001031919898E-5</v>
          </cell>
          <cell r="I999">
            <v>1.0780140517809619E-4</v>
          </cell>
          <cell r="J999">
            <v>1.0774327398804972E-5</v>
          </cell>
        </row>
        <row r="1000">
          <cell r="A1000" t="str">
            <v>D-RHNS_LTH_CHPWOD</v>
          </cell>
          <cell r="B1000" t="str">
            <v>VAR_fout</v>
          </cell>
          <cell r="C1000" t="str">
            <v>RHSA_LTH</v>
          </cell>
          <cell r="D1000">
            <v>7.3505145236842648E-4</v>
          </cell>
          <cell r="E1000">
            <v>3.7953724320407807E-4</v>
          </cell>
          <cell r="F1000">
            <v>1.5565495800745375E-4</v>
          </cell>
          <cell r="G1000">
            <v>3.1276524733665106E-4</v>
          </cell>
          <cell r="H1000">
            <v>3.1388875736735531E-4</v>
          </cell>
          <cell r="I1000">
            <v>2.8877475139819551E-4</v>
          </cell>
          <cell r="J1000">
            <v>2.7344715882862474E-4</v>
          </cell>
        </row>
        <row r="1001">
          <cell r="A1001" t="str">
            <v>D-RHNS_LTH_CHPWOD</v>
          </cell>
          <cell r="B1001" t="str">
            <v>VAR_fout</v>
          </cell>
          <cell r="C1001" t="str">
            <v>LTH</v>
          </cell>
          <cell r="E1001">
            <v>9.7386301553453112E-6</v>
          </cell>
          <cell r="F1001">
            <v>9.6416998250912484E-6</v>
          </cell>
          <cell r="G1001">
            <v>2.0943025503810048E-5</v>
          </cell>
          <cell r="H1001">
            <v>3.3484444667719983E-5</v>
          </cell>
          <cell r="I1001">
            <v>1.0237422505825353E-4</v>
          </cell>
          <cell r="J1001">
            <v>1.1692800793409949E-4</v>
          </cell>
        </row>
        <row r="1002">
          <cell r="A1002" t="str">
            <v>D-RHNS_LTH_CHPWOD</v>
          </cell>
          <cell r="B1002" t="str">
            <v>VAR_fin</v>
          </cell>
          <cell r="C1002" t="str">
            <v>RHNS_LTH_CHPWOD</v>
          </cell>
          <cell r="D1002">
            <v>9.326845273834618E-4</v>
          </cell>
          <cell r="E1002">
            <v>5.6352004171435677E-4</v>
          </cell>
          <cell r="F1002">
            <v>2.4153368261517797E-4</v>
          </cell>
          <cell r="G1002">
            <v>4.5111978557128059E-4</v>
          </cell>
          <cell r="H1002">
            <v>4.1279620306699518E-4</v>
          </cell>
          <cell r="I1002">
            <v>4.9895038163454521E-4</v>
          </cell>
          <cell r="J1002">
            <v>4.0114949416152941E-4</v>
          </cell>
        </row>
        <row r="1003">
          <cell r="A1003" t="str">
            <v>RHNM-SHCONBR4</v>
          </cell>
          <cell r="B1003" t="str">
            <v>VAR_ncap</v>
          </cell>
          <cell r="C1003" t="str">
            <v>-</v>
          </cell>
          <cell r="F1003">
            <v>375</v>
          </cell>
          <cell r="G1003">
            <v>4.73106761837278</v>
          </cell>
          <cell r="H1003">
            <v>4.3003918622553901</v>
          </cell>
        </row>
        <row r="1004">
          <cell r="A1004" t="str">
            <v>RHNM-SHCONBR4</v>
          </cell>
          <cell r="B1004" t="str">
            <v>VAR_cap</v>
          </cell>
          <cell r="C1004" t="str">
            <v>-</v>
          </cell>
          <cell r="F1004">
            <v>375</v>
          </cell>
          <cell r="G1004">
            <v>11.848368678838028</v>
          </cell>
          <cell r="H1004">
            <v>10.947118884980966</v>
          </cell>
          <cell r="I1004">
            <v>6.3311927241839498</v>
          </cell>
          <cell r="J1004">
            <v>2.8355470014540174</v>
          </cell>
        </row>
        <row r="1005">
          <cell r="A1005" t="str">
            <v>D-SBIO</v>
          </cell>
          <cell r="B1005" t="str">
            <v>VAR_fout</v>
          </cell>
          <cell r="C1005" t="str">
            <v>SBIO</v>
          </cell>
          <cell r="D1005">
            <v>4.0479078015955148</v>
          </cell>
          <cell r="E1005">
            <v>4.5874623138564417</v>
          </cell>
          <cell r="F1005">
            <v>3.0613866770378437</v>
          </cell>
          <cell r="G1005">
            <v>3.0405769708236456</v>
          </cell>
          <cell r="H1005">
            <v>3.4372411322654908</v>
          </cell>
          <cell r="I1005">
            <v>2.9588073401638466</v>
          </cell>
          <cell r="J1005">
            <v>2.8823392248416515</v>
          </cell>
        </row>
        <row r="1006">
          <cell r="A1006" t="str">
            <v>D-SBIO</v>
          </cell>
          <cell r="B1006" t="str">
            <v>VAR_fin</v>
          </cell>
          <cell r="C1006" t="str">
            <v>BIO</v>
          </cell>
          <cell r="D1006">
            <v>4.0479078015955148</v>
          </cell>
          <cell r="E1006">
            <v>4.5874623138564417</v>
          </cell>
          <cell r="F1006">
            <v>3.0613866770378437</v>
          </cell>
          <cell r="G1006">
            <v>3.0405769708236456</v>
          </cell>
          <cell r="H1006">
            <v>3.4372411322654908</v>
          </cell>
          <cell r="I1006">
            <v>2.9588073401638466</v>
          </cell>
          <cell r="J1006">
            <v>2.8823392248416515</v>
          </cell>
        </row>
        <row r="1007">
          <cell r="A1007" t="str">
            <v>RHEM-SHDEM</v>
          </cell>
          <cell r="B1007" t="str">
            <v>VAR_fout</v>
          </cell>
          <cell r="C1007" t="str">
            <v>RHEM-SHD</v>
          </cell>
          <cell r="D1007">
            <v>66.986774791699034</v>
          </cell>
          <cell r="E1007">
            <v>66.782026660973159</v>
          </cell>
          <cell r="F1007">
            <v>66.364927515686631</v>
          </cell>
          <cell r="G1007">
            <v>63.763343175585042</v>
          </cell>
          <cell r="H1007">
            <v>61.594591770108622</v>
          </cell>
          <cell r="I1007">
            <v>59.725063815024818</v>
          </cell>
          <cell r="J1007">
            <v>57.134169127252598</v>
          </cell>
        </row>
        <row r="1008">
          <cell r="A1008" t="str">
            <v>RHEM-SHDEM</v>
          </cell>
          <cell r="B1008" t="str">
            <v>VAR_fin</v>
          </cell>
          <cell r="C1008" t="str">
            <v>RHEM-SHNST</v>
          </cell>
          <cell r="D1008">
            <v>3.7911476409920762E-3</v>
          </cell>
          <cell r="E1008">
            <v>6.1508825687072095E-4</v>
          </cell>
          <cell r="F1008">
            <v>3.5487070546276504E-5</v>
          </cell>
          <cell r="G1008">
            <v>7.3228152159957605E-5</v>
          </cell>
          <cell r="H1008">
            <v>3.6261940755651369E-5</v>
          </cell>
          <cell r="I1008">
            <v>6.0624630351421404E-6</v>
          </cell>
          <cell r="J1008">
            <v>3.2750373100423423E-5</v>
          </cell>
        </row>
        <row r="1009">
          <cell r="A1009" t="str">
            <v>RHEM-SHDEM</v>
          </cell>
          <cell r="B1009" t="str">
            <v>VAR_fin</v>
          </cell>
          <cell r="C1009" t="str">
            <v>RHEM-SHPLT</v>
          </cell>
          <cell r="D1009">
            <v>1.3961673981064833</v>
          </cell>
          <cell r="E1009">
            <v>1.6068944000067134</v>
          </cell>
          <cell r="F1009">
            <v>0.28625520562371848</v>
          </cell>
          <cell r="G1009">
            <v>0.3374716474467836</v>
          </cell>
          <cell r="H1009">
            <v>0.34343692898090455</v>
          </cell>
          <cell r="I1009">
            <v>0.36304991511906309</v>
          </cell>
          <cell r="J1009">
            <v>0.2851962333114636</v>
          </cell>
        </row>
        <row r="1010">
          <cell r="A1010" t="str">
            <v>RHEM-SHDEM</v>
          </cell>
          <cell r="B1010" t="str">
            <v>VAR_fin</v>
          </cell>
          <cell r="C1010" t="str">
            <v>RHEM-SHNGAH</v>
          </cell>
          <cell r="D1010">
            <v>2.7484194905728243E-3</v>
          </cell>
          <cell r="E1010">
            <v>6.2814953073033202E-4</v>
          </cell>
          <cell r="F1010">
            <v>2.4337476581336315</v>
          </cell>
          <cell r="G1010">
            <v>6.9467540681055757</v>
          </cell>
          <cell r="H1010">
            <v>8.5403719706950518</v>
          </cell>
          <cell r="I1010">
            <v>10.405184841833806</v>
          </cell>
          <cell r="J1010">
            <v>9.2192268298415296</v>
          </cell>
        </row>
        <row r="1011">
          <cell r="A1011" t="str">
            <v>RHEM-SHDEM</v>
          </cell>
          <cell r="B1011" t="str">
            <v>VAR_fin</v>
          </cell>
          <cell r="C1011" t="str">
            <v>RHEM-SHLTHC-WOD</v>
          </cell>
          <cell r="D1011">
            <v>3.5938953749280592E-3</v>
          </cell>
          <cell r="E1011">
            <v>6.0059955375637143E-4</v>
          </cell>
          <cell r="F1011">
            <v>3.40347929106669E-5</v>
          </cell>
          <cell r="G1011">
            <v>2.1668756835091553E-5</v>
          </cell>
          <cell r="H1011">
            <v>2.1311993869142882E-5</v>
          </cell>
          <cell r="I1011">
            <v>6.9146371489294653E-5</v>
          </cell>
          <cell r="J1011">
            <v>4.1643146783717878E-5</v>
          </cell>
        </row>
        <row r="1012">
          <cell r="A1012" t="str">
            <v>RHEM-SHDEM</v>
          </cell>
          <cell r="B1012" t="str">
            <v>VAR_fin</v>
          </cell>
          <cell r="C1012" t="str">
            <v>RHEM-SHSOL</v>
          </cell>
          <cell r="D1012">
            <v>0.40712931268336339</v>
          </cell>
          <cell r="E1012">
            <v>0.47030881786294448</v>
          </cell>
          <cell r="F1012">
            <v>9.9630238107176351E-3</v>
          </cell>
          <cell r="G1012">
            <v>1.1801455400144033E-2</v>
          </cell>
          <cell r="H1012">
            <v>1.1770021776547375E-2</v>
          </cell>
          <cell r="I1012">
            <v>1.1114516204050002E-2</v>
          </cell>
          <cell r="J1012">
            <v>9.1809713572729313E-3</v>
          </cell>
        </row>
        <row r="1013">
          <cell r="A1013" t="str">
            <v>RHEM-SHDEM</v>
          </cell>
          <cell r="B1013" t="str">
            <v>VAR_fin</v>
          </cell>
          <cell r="C1013" t="str">
            <v>RHEM-SHLTHD</v>
          </cell>
          <cell r="D1013">
            <v>3.2038224981837935</v>
          </cell>
          <cell r="E1013">
            <v>3.7876539051621996</v>
          </cell>
          <cell r="F1013">
            <v>4.4290907379136266</v>
          </cell>
          <cell r="G1013">
            <v>5.2634924577645403</v>
          </cell>
          <cell r="H1013">
            <v>5.4117187438966932</v>
          </cell>
          <cell r="I1013">
            <v>5.6680643638995463</v>
          </cell>
          <cell r="J1013">
            <v>5.130934553129002</v>
          </cell>
        </row>
        <row r="1014">
          <cell r="A1014" t="str">
            <v>RHEM-SHDEM</v>
          </cell>
          <cell r="B1014" t="str">
            <v>VAR_fin</v>
          </cell>
          <cell r="C1014" t="str">
            <v>RHEM-SHNGA</v>
          </cell>
          <cell r="D1014">
            <v>18.987678954975813</v>
          </cell>
          <cell r="E1014">
            <v>18.880403924133777</v>
          </cell>
          <cell r="F1014">
            <v>21.081761591513054</v>
          </cell>
          <cell r="G1014">
            <v>15.214433759031099</v>
          </cell>
          <cell r="H1014">
            <v>9.47243526094476</v>
          </cell>
          <cell r="I1014">
            <v>3.8597640271150113</v>
          </cell>
          <cell r="J1014">
            <v>1.4360922296924032</v>
          </cell>
        </row>
        <row r="1015">
          <cell r="A1015" t="str">
            <v>RHEM-SHDEM</v>
          </cell>
          <cell r="B1015" t="str">
            <v>VAR_fin</v>
          </cell>
          <cell r="C1015" t="str">
            <v>RHEM-SHELCB</v>
          </cell>
          <cell r="D1015">
            <v>4.6189749857922111</v>
          </cell>
          <cell r="E1015">
            <v>3.1629187269981327</v>
          </cell>
          <cell r="F1015">
            <v>3.8046387066145028E-2</v>
          </cell>
          <cell r="G1015">
            <v>1.2736487116064527E-2</v>
          </cell>
          <cell r="H1015">
            <v>4.1431399690214973E-3</v>
          </cell>
          <cell r="I1015">
            <v>3.3591099148193174E-3</v>
          </cell>
          <cell r="J1015">
            <v>3.65201950918569E-3</v>
          </cell>
        </row>
        <row r="1016">
          <cell r="A1016" t="str">
            <v>RHEM-SHDEM</v>
          </cell>
          <cell r="B1016" t="str">
            <v>VAR_fin</v>
          </cell>
          <cell r="C1016" t="str">
            <v>RHEM-SHELCH</v>
          </cell>
          <cell r="D1016">
            <v>9.8916762759407337</v>
          </cell>
          <cell r="E1016">
            <v>11.654095633319649</v>
          </cell>
          <cell r="F1016">
            <v>10.027102556905124</v>
          </cell>
          <cell r="G1016">
            <v>14.927055654136804</v>
          </cell>
          <cell r="H1016">
            <v>18.148926571296403</v>
          </cell>
          <cell r="I1016">
            <v>22.204656816784532</v>
          </cell>
          <cell r="J1016">
            <v>22.172925112039547</v>
          </cell>
        </row>
        <row r="1017">
          <cell r="A1017" t="str">
            <v>RHEM-SHDEM</v>
          </cell>
          <cell r="B1017" t="str">
            <v>VAR_fin</v>
          </cell>
          <cell r="C1017" t="str">
            <v>RHEM-SHLFO</v>
          </cell>
          <cell r="D1017">
            <v>23.43052655724561</v>
          </cell>
          <cell r="E1017">
            <v>18.686359456233681</v>
          </cell>
          <cell r="F1017">
            <v>20.242306247567896</v>
          </cell>
          <cell r="G1017">
            <v>10.639591687326803</v>
          </cell>
          <cell r="H1017">
            <v>7.0313938323409602</v>
          </cell>
          <cell r="I1017">
            <v>2.6196564287481126</v>
          </cell>
          <cell r="J1017">
            <v>0.28398035990219839</v>
          </cell>
        </row>
        <row r="1018">
          <cell r="A1018" t="str">
            <v>RHEM-SHDEM</v>
          </cell>
          <cell r="B1018" t="str">
            <v>VAR_fin</v>
          </cell>
          <cell r="C1018" t="str">
            <v>RHEM-SHCON</v>
          </cell>
          <cell r="D1018">
            <v>0.25611767255259504</v>
          </cell>
          <cell r="E1018">
            <v>3.57306475343779</v>
          </cell>
          <cell r="F1018">
            <v>2.872543698208248</v>
          </cell>
          <cell r="G1018">
            <v>5.9224550742750308</v>
          </cell>
          <cell r="H1018">
            <v>8.7326804132738669</v>
          </cell>
          <cell r="I1018">
            <v>11.295428134487878</v>
          </cell>
          <cell r="J1018">
            <v>16.658754299351362</v>
          </cell>
        </row>
        <row r="1019">
          <cell r="A1019" t="str">
            <v>RHEM-SHDEM</v>
          </cell>
          <cell r="B1019" t="str">
            <v>VAR_fin</v>
          </cell>
          <cell r="C1019" t="str">
            <v>RHEM-SHWOD</v>
          </cell>
          <cell r="D1019">
            <v>4.7350891815680072</v>
          </cell>
          <cell r="E1019">
            <v>4.9441153634651771</v>
          </cell>
          <cell r="F1019">
            <v>4.9534647160438503</v>
          </cell>
          <cell r="G1019">
            <v>4.4942494737858585</v>
          </cell>
          <cell r="H1019">
            <v>3.9055119618557286</v>
          </cell>
          <cell r="I1019">
            <v>3.3013756166793842</v>
          </cell>
          <cell r="J1019">
            <v>1.9394667773657535</v>
          </cell>
        </row>
        <row r="1020">
          <cell r="A1020" t="str">
            <v>RHEM-SHDEM</v>
          </cell>
          <cell r="B1020" t="str">
            <v>VAR_fin</v>
          </cell>
          <cell r="C1020" t="str">
            <v>RHEM-SHLTHC-NGA</v>
          </cell>
          <cell r="D1020">
            <v>5.7179279109813984E-2</v>
          </cell>
          <cell r="E1020">
            <v>2.3413971573732855E-2</v>
          </cell>
          <cell r="F1020">
            <v>2.1450705642122841E-5</v>
          </cell>
          <cell r="G1020">
            <v>1.7978139239544041E-5</v>
          </cell>
          <cell r="H1020">
            <v>2.0682695942397447E-5</v>
          </cell>
          <cell r="I1020">
            <v>1.7449105560428266E-5</v>
          </cell>
          <cell r="J1020">
            <v>3.7226381197238304E-5</v>
          </cell>
        </row>
        <row r="1021">
          <cell r="A1021" t="str">
            <v>ITOT-SWHH2BR</v>
          </cell>
          <cell r="B1021" t="str">
            <v>VAR_fout</v>
          </cell>
          <cell r="C1021" t="str">
            <v>ITOT-SWH</v>
          </cell>
          <cell r="H1021">
            <v>7.8055342400521148</v>
          </cell>
          <cell r="I1021">
            <v>8.3374332998865537</v>
          </cell>
          <cell r="J1021">
            <v>8.3373996415219676</v>
          </cell>
        </row>
        <row r="1022">
          <cell r="A1022" t="str">
            <v>ITOT-SWHH2BR</v>
          </cell>
          <cell r="B1022" t="str">
            <v>VAR_fin</v>
          </cell>
          <cell r="C1022" t="str">
            <v>IH2</v>
          </cell>
          <cell r="H1022">
            <v>9.6751040249772622</v>
          </cell>
          <cell r="I1022">
            <v>10.311886889083157</v>
          </cell>
          <cell r="J1022">
            <v>10.267106786914308</v>
          </cell>
        </row>
        <row r="1023">
          <cell r="A1023" t="str">
            <v>ITOT-SWHH2BR</v>
          </cell>
          <cell r="B1023" t="str">
            <v>VAR_ncap</v>
          </cell>
          <cell r="C1023" t="str">
            <v>-</v>
          </cell>
          <cell r="H1023">
            <v>0.61954462572808999</v>
          </cell>
          <cell r="I1023">
            <v>8.3842237376254097E-2</v>
          </cell>
          <cell r="J1023">
            <v>0.34027325112657703</v>
          </cell>
        </row>
        <row r="1024">
          <cell r="A1024" t="str">
            <v>ITOT-SWHH2BR</v>
          </cell>
          <cell r="B1024" t="str">
            <v>VAR_cap</v>
          </cell>
          <cell r="C1024" t="str">
            <v>-</v>
          </cell>
          <cell r="H1024">
            <v>0.61954462572808999</v>
          </cell>
          <cell r="I1024">
            <v>0.70325231200856431</v>
          </cell>
          <cell r="J1024">
            <v>0.66292986886504957</v>
          </cell>
        </row>
        <row r="1025">
          <cell r="A1025" t="str">
            <v>RHNS-SHSTG-ELC</v>
          </cell>
          <cell r="B1025" t="str">
            <v>VAR_fout</v>
          </cell>
          <cell r="C1025" t="str">
            <v>RHNS-SHAELCB</v>
          </cell>
          <cell r="E1025">
            <v>3.0088291112400451E-3</v>
          </cell>
          <cell r="F1025">
            <v>2.6966461158508013E-4</v>
          </cell>
          <cell r="G1025">
            <v>8.8425587279039489E-4</v>
          </cell>
          <cell r="H1025">
            <v>8.0105586630700568E-4</v>
          </cell>
          <cell r="I1025">
            <v>1.4747347950700754E-3</v>
          </cell>
          <cell r="J1025">
            <v>1.3322769161489274E-3</v>
          </cell>
        </row>
        <row r="1026">
          <cell r="A1026" t="str">
            <v>RHNS-SHSTG-ELC</v>
          </cell>
          <cell r="B1026" t="str">
            <v>VAR_fout</v>
          </cell>
          <cell r="C1026" t="str">
            <v>AUX_RHNS-SHSTG-ELC_OUT</v>
          </cell>
          <cell r="E1026">
            <v>3.0118379403512819E-3</v>
          </cell>
          <cell r="F1026">
            <v>2.6993427619666503E-4</v>
          </cell>
          <cell r="G1026">
            <v>8.8514012866318544E-4</v>
          </cell>
          <cell r="H1026">
            <v>8.0185692217331198E-4</v>
          </cell>
          <cell r="I1026">
            <v>1.4762095298651448E-3</v>
          </cell>
          <cell r="J1026">
            <v>1.3336091930650749E-3</v>
          </cell>
        </row>
        <row r="1027">
          <cell r="A1027" t="str">
            <v>RHNS-SHSTG-ELC</v>
          </cell>
          <cell r="B1027" t="str">
            <v>VAR_fin</v>
          </cell>
          <cell r="C1027" t="str">
            <v>RHNS-SHAELCB</v>
          </cell>
          <cell r="E1027">
            <v>2.9081355358544711E-3</v>
          </cell>
          <cell r="F1027">
            <v>1.7411698547825308E-4</v>
          </cell>
          <cell r="G1027">
            <v>8.0291683000989814E-4</v>
          </cell>
          <cell r="H1027">
            <v>7.5488513706873631E-4</v>
          </cell>
          <cell r="I1027">
            <v>1.3985938706680366E-3</v>
          </cell>
          <cell r="J1027">
            <v>1.3216237899445359E-3</v>
          </cell>
        </row>
        <row r="1028">
          <cell r="A1028" t="str">
            <v>RHNS-SHSTG-ELC</v>
          </cell>
          <cell r="B1028" t="str">
            <v>VAR_ncap</v>
          </cell>
          <cell r="C1028" t="str">
            <v>-</v>
          </cell>
          <cell r="D1028">
            <v>6.5481792627650095E-4</v>
          </cell>
          <cell r="E1028">
            <v>9.4958320967110203E-4</v>
          </cell>
          <cell r="F1028">
            <v>5.2809516623800103E-4</v>
          </cell>
          <cell r="G1028">
            <v>6.1959459174830195E-4</v>
          </cell>
          <cell r="H1028">
            <v>1.4956677519947499E-3</v>
          </cell>
          <cell r="I1028">
            <v>4.7457047543086802E-4</v>
          </cell>
          <cell r="J1028">
            <v>3.4130636644201799E-4</v>
          </cell>
        </row>
        <row r="1029">
          <cell r="A1029" t="str">
            <v>RHNS-SHSTG-ELC</v>
          </cell>
          <cell r="B1029" t="str">
            <v>VAR_cap</v>
          </cell>
          <cell r="C1029" t="str">
            <v>-</v>
          </cell>
          <cell r="D1029">
            <v>6.5481792627650095E-4</v>
          </cell>
          <cell r="E1029">
            <v>1.481119395312628E-3</v>
          </cell>
          <cell r="F1029">
            <v>1.5716486585641331E-3</v>
          </cell>
          <cell r="G1029">
            <v>1.5678750870928701E-3</v>
          </cell>
          <cell r="H1029">
            <v>2.3173998565816081E-3</v>
          </cell>
          <cell r="I1029">
            <v>1.5287093264869471E-3</v>
          </cell>
          <cell r="J1029">
            <v>6.4770689505965395E-4</v>
          </cell>
        </row>
        <row r="1030">
          <cell r="A1030" t="str">
            <v>RHES-SHCOABR</v>
          </cell>
          <cell r="B1030" t="str">
            <v>VAR_fout</v>
          </cell>
          <cell r="C1030" t="str">
            <v>CO2_R</v>
          </cell>
          <cell r="D1030">
            <v>9.2728601039877496</v>
          </cell>
          <cell r="E1030">
            <v>9.2711067197275501</v>
          </cell>
          <cell r="F1030">
            <v>2.5001913696749498</v>
          </cell>
          <cell r="G1030">
            <v>2.2053707618221001E-2</v>
          </cell>
        </row>
        <row r="1031">
          <cell r="A1031" t="str">
            <v>RHES-SHCOABR</v>
          </cell>
          <cell r="B1031" t="str">
            <v>VAR_fout</v>
          </cell>
          <cell r="C1031" t="str">
            <v>RHES-SHCOA</v>
          </cell>
          <cell r="D1031">
            <v>7.2022214399904735E-2</v>
          </cell>
          <cell r="E1031">
            <v>7.2008595881379006E-2</v>
          </cell>
          <cell r="F1031">
            <v>2.1557763122038238E-2</v>
          </cell>
          <cell r="G1031">
            <v>1.9032325884117376E-4</v>
          </cell>
        </row>
        <row r="1032">
          <cell r="A1032" t="str">
            <v>RHES-SHCOABR</v>
          </cell>
          <cell r="B1032" t="str">
            <v>VAR_fin</v>
          </cell>
          <cell r="C1032" t="str">
            <v>RCOA</v>
          </cell>
          <cell r="D1032">
            <v>0.10003085333320115</v>
          </cell>
          <cell r="E1032">
            <v>0.10001193872413756</v>
          </cell>
          <cell r="F1032">
            <v>2.6970780686892657E-2</v>
          </cell>
          <cell r="G1032">
            <v>2.3790407355146724E-4</v>
          </cell>
        </row>
        <row r="1033">
          <cell r="A1033" t="str">
            <v>RHES-SHCOABR</v>
          </cell>
          <cell r="B1033" t="str">
            <v>VAR_cap</v>
          </cell>
          <cell r="C1033" t="str">
            <v>-</v>
          </cell>
          <cell r="D1033">
            <v>7.0000000000000001E-3</v>
          </cell>
          <cell r="E1033">
            <v>6.9932379087926325E-3</v>
          </cell>
          <cell r="F1033">
            <v>3.0152748074418999E-3</v>
          </cell>
          <cell r="G1033">
            <v>2.5890387824050419E-5</v>
          </cell>
          <cell r="H1033">
            <v>-3.5394028287901759E-6</v>
          </cell>
        </row>
        <row r="1034">
          <cell r="A1034" t="str">
            <v>D-INGA</v>
          </cell>
          <cell r="B1034" t="str">
            <v>VAR_fout</v>
          </cell>
          <cell r="C1034" t="str">
            <v>CO2</v>
          </cell>
          <cell r="D1034">
            <v>2112.5202690565902</v>
          </cell>
          <cell r="E1034">
            <v>1841.5167163055601</v>
          </cell>
          <cell r="F1034">
            <v>1915.4340317082499</v>
          </cell>
          <cell r="G1034">
            <v>1172.48043042719</v>
          </cell>
          <cell r="H1034">
            <v>582.62910701102396</v>
          </cell>
          <cell r="I1034">
            <v>191.33496807532299</v>
          </cell>
          <cell r="J1034">
            <v>80.746559715032106</v>
          </cell>
        </row>
        <row r="1035">
          <cell r="A1035" t="str">
            <v>D-INGA</v>
          </cell>
          <cell r="B1035" t="str">
            <v>VAR_fout</v>
          </cell>
          <cell r="C1035" t="str">
            <v>IH2</v>
          </cell>
          <cell r="H1035">
            <v>0.35761989542112516</v>
          </cell>
          <cell r="I1035">
            <v>0.17700229004532306</v>
          </cell>
          <cell r="J1035">
            <v>0.11752901646791306</v>
          </cell>
        </row>
        <row r="1036">
          <cell r="A1036" t="str">
            <v>D-INGA</v>
          </cell>
          <cell r="B1036" t="str">
            <v>VAR_fout</v>
          </cell>
          <cell r="C1036" t="str">
            <v>INGA</v>
          </cell>
          <cell r="D1036">
            <v>37.653615154402253</v>
          </cell>
          <cell r="E1036">
            <v>32.548930473134021</v>
          </cell>
          <cell r="F1036">
            <v>36.221152998557265</v>
          </cell>
          <cell r="G1036">
            <v>23.088687101288528</v>
          </cell>
          <cell r="H1036">
            <v>12.662468128728481</v>
          </cell>
          <cell r="I1036">
            <v>5.7468939493290883</v>
          </cell>
          <cell r="J1036">
            <v>3.8100483070636191</v>
          </cell>
        </row>
        <row r="1037">
          <cell r="A1037" t="str">
            <v>D-INGA</v>
          </cell>
          <cell r="B1037" t="str">
            <v>VAR_fin</v>
          </cell>
          <cell r="C1037" t="str">
            <v>NGA</v>
          </cell>
          <cell r="D1037">
            <v>37.456033139301184</v>
          </cell>
          <cell r="E1037">
            <v>32.651005608254586</v>
          </cell>
          <cell r="F1037">
            <v>33.961596306883877</v>
          </cell>
          <cell r="G1037">
            <v>20.788660113957238</v>
          </cell>
          <cell r="H1037">
            <v>10.330303315798306</v>
          </cell>
          <cell r="I1037">
            <v>3.3924639729667234</v>
          </cell>
          <cell r="J1037">
            <v>1.4316765906920563</v>
          </cell>
        </row>
        <row r="1038">
          <cell r="A1038" t="str">
            <v>D-INGA</v>
          </cell>
          <cell r="B1038" t="str">
            <v>VAR_fin</v>
          </cell>
          <cell r="C1038" t="str">
            <v>BNGA</v>
          </cell>
          <cell r="D1038">
            <v>0.31787099163468469</v>
          </cell>
          <cell r="E1038">
            <v>3.424517107988538E-3</v>
          </cell>
          <cell r="F1038">
            <v>2.3752694965447527</v>
          </cell>
          <cell r="G1038">
            <v>2.3755356612297041</v>
          </cell>
          <cell r="H1038">
            <v>2.3755499676361169</v>
          </cell>
          <cell r="I1038">
            <v>2.3755623433613335</v>
          </cell>
          <cell r="J1038">
            <v>2.3934303696814632</v>
          </cell>
        </row>
        <row r="1039">
          <cell r="A1039" t="str">
            <v>D-INGA</v>
          </cell>
          <cell r="B1039" t="str">
            <v>VAR_fin</v>
          </cell>
          <cell r="C1039" t="str">
            <v>H2</v>
          </cell>
          <cell r="H1039">
            <v>0.3576139012031524</v>
          </cell>
          <cell r="I1039">
            <v>0.17699099884315608</v>
          </cell>
          <cell r="J1039">
            <v>0.11745588517488839</v>
          </cell>
        </row>
        <row r="1040">
          <cell r="A1040" t="str">
            <v>D-INGA</v>
          </cell>
          <cell r="B1040" t="str">
            <v>VAR_ncap</v>
          </cell>
          <cell r="C1040" t="str">
            <v>-</v>
          </cell>
          <cell r="D1040">
            <v>5.5158831164173697E-5</v>
          </cell>
          <cell r="E1040">
            <v>1.23665487383722E-5</v>
          </cell>
          <cell r="F1040">
            <v>1.49201713848045E-5</v>
          </cell>
          <cell r="G1040">
            <v>1.96324156417171E-5</v>
          </cell>
          <cell r="H1040">
            <v>1.02506867910183E-3</v>
          </cell>
          <cell r="I1040">
            <v>5.06001920489503E-5</v>
          </cell>
          <cell r="J1040">
            <v>2.4454668424117397E-4</v>
          </cell>
        </row>
        <row r="1041">
          <cell r="A1041" t="str">
            <v>D-INGA</v>
          </cell>
          <cell r="B1041" t="str">
            <v>VAR_cap</v>
          </cell>
          <cell r="C1041" t="str">
            <v>-</v>
          </cell>
          <cell r="D1041">
            <v>1.9845385290972641</v>
          </cell>
          <cell r="E1041">
            <v>1.9845508956460025</v>
          </cell>
          <cell r="F1041">
            <v>1.9845658158173873</v>
          </cell>
          <cell r="G1041">
            <v>1.984585448233029</v>
          </cell>
          <cell r="H1041">
            <v>1.985610516912131</v>
          </cell>
          <cell r="I1041">
            <v>1.9856611171041798</v>
          </cell>
          <cell r="J1041">
            <v>1.0968817309682408</v>
          </cell>
        </row>
        <row r="1042">
          <cell r="A1042" t="str">
            <v>RHEM-SHNGAHP</v>
          </cell>
          <cell r="B1042" t="str">
            <v>VAR_fout</v>
          </cell>
          <cell r="C1042" t="str">
            <v>CO2_R</v>
          </cell>
          <cell r="F1042">
            <v>72.532974401258997</v>
          </cell>
          <cell r="G1042">
            <v>199.74461179469799</v>
          </cell>
          <cell r="H1042">
            <v>243.077089247104</v>
          </cell>
          <cell r="I1042">
            <v>292.38629029008302</v>
          </cell>
          <cell r="J1042">
            <v>245.76344595453699</v>
          </cell>
        </row>
        <row r="1043">
          <cell r="A1043" t="str">
            <v>RHEM-SHNGAHP</v>
          </cell>
          <cell r="B1043" t="str">
            <v>VAR_fout</v>
          </cell>
          <cell r="C1043" t="str">
            <v>RHEM-SHANGAH</v>
          </cell>
          <cell r="F1043">
            <v>2.4340137662972512</v>
          </cell>
          <cell r="G1043">
            <v>6.9470085072484444</v>
          </cell>
          <cell r="H1043">
            <v>8.5404996510300286</v>
          </cell>
          <cell r="I1043">
            <v>10.405280190906163</v>
          </cell>
          <cell r="J1043">
            <v>9.2194013628269289</v>
          </cell>
        </row>
        <row r="1044">
          <cell r="A1044" t="str">
            <v>RHEM-SHNGAHP</v>
          </cell>
          <cell r="B1044" t="str">
            <v>VAR_fin</v>
          </cell>
          <cell r="C1044" t="str">
            <v>RHEMELCHPC</v>
          </cell>
          <cell r="F1044">
            <v>2.4340137662972512</v>
          </cell>
          <cell r="G1044">
            <v>6.9470085072484444</v>
          </cell>
          <cell r="H1044">
            <v>8.5404996510300286</v>
          </cell>
          <cell r="I1044">
            <v>10.405280190906163</v>
          </cell>
          <cell r="J1044">
            <v>9.2194013628269289</v>
          </cell>
        </row>
        <row r="1045">
          <cell r="A1045" t="str">
            <v>RHEM-SHNGAHP</v>
          </cell>
          <cell r="B1045" t="str">
            <v>VAR_fin</v>
          </cell>
          <cell r="C1045" t="str">
            <v>RNGA</v>
          </cell>
          <cell r="F1045">
            <v>1.286045645412393</v>
          </cell>
          <cell r="G1045">
            <v>3.5415711311116596</v>
          </cell>
          <cell r="H1045">
            <v>4.309877468920285</v>
          </cell>
          <cell r="I1045">
            <v>5.1841540831574919</v>
          </cell>
          <cell r="J1045">
            <v>4.357507906995334</v>
          </cell>
        </row>
        <row r="1046">
          <cell r="A1046" t="str">
            <v>RHEM-SHNGAHP</v>
          </cell>
          <cell r="B1046" t="str">
            <v>VAR_ncap</v>
          </cell>
          <cell r="C1046" t="str">
            <v>-</v>
          </cell>
          <cell r="D1046">
            <v>2.01254224972051E-6</v>
          </cell>
          <cell r="E1046">
            <v>5.07859927937708E-6</v>
          </cell>
          <cell r="F1046">
            <v>0.17242977501937701</v>
          </cell>
          <cell r="G1046">
            <v>0.31839618680738102</v>
          </cell>
          <cell r="H1046">
            <v>0.112887272782165</v>
          </cell>
          <cell r="I1046">
            <v>0.37607803084108998</v>
          </cell>
          <cell r="J1046">
            <v>0.331782854618137</v>
          </cell>
        </row>
        <row r="1047">
          <cell r="A1047" t="str">
            <v>RHEM-SHNGAHP</v>
          </cell>
          <cell r="B1047" t="str">
            <v>VAR_cap</v>
          </cell>
          <cell r="C1047" t="str">
            <v>-</v>
          </cell>
          <cell r="D1047">
            <v>2.01254224972051E-6</v>
          </cell>
          <cell r="E1047">
            <v>-3.9043745212959902E-8</v>
          </cell>
          <cell r="F1047">
            <v>0.17243103341843638</v>
          </cell>
          <cell r="G1047">
            <v>0.49082735479581907</v>
          </cell>
          <cell r="H1047">
            <v>0.60370364054281933</v>
          </cell>
          <cell r="I1047">
            <v>0.73695878010314408</v>
          </cell>
          <cell r="J1047">
            <v>0.65246254415508276</v>
          </cell>
        </row>
        <row r="1048">
          <cell r="A1048" t="str">
            <v>D-SPLT</v>
          </cell>
          <cell r="B1048" t="str">
            <v>VAR_fout</v>
          </cell>
          <cell r="C1048" t="str">
            <v>SPLT</v>
          </cell>
          <cell r="D1048">
            <v>2.085722942349133</v>
          </cell>
          <cell r="E1048">
            <v>2.4001397450892603</v>
          </cell>
          <cell r="F1048">
            <v>0.55263559063612044</v>
          </cell>
          <cell r="G1048">
            <v>0.71187208479320641</v>
          </cell>
          <cell r="H1048">
            <v>0.82403515484801937</v>
          </cell>
          <cell r="I1048">
            <v>1.0493339945128586</v>
          </cell>
          <cell r="J1048">
            <v>1.0770210024951972</v>
          </cell>
        </row>
        <row r="1049">
          <cell r="A1049" t="str">
            <v>D-SPLT</v>
          </cell>
          <cell r="B1049" t="str">
            <v>VAR_fin</v>
          </cell>
          <cell r="C1049" t="str">
            <v>PLT</v>
          </cell>
          <cell r="D1049">
            <v>2.085722942349133</v>
          </cell>
          <cell r="E1049">
            <v>2.4001397450892603</v>
          </cell>
          <cell r="F1049">
            <v>0.55263559063612044</v>
          </cell>
          <cell r="G1049">
            <v>0.71187208479320641</v>
          </cell>
          <cell r="H1049">
            <v>0.82403515484801937</v>
          </cell>
          <cell r="I1049">
            <v>1.0493339945128586</v>
          </cell>
          <cell r="J1049">
            <v>1.0770210024951972</v>
          </cell>
        </row>
        <row r="1050">
          <cell r="A1050" t="str">
            <v>RHES-SHCONBR</v>
          </cell>
          <cell r="B1050" t="str">
            <v>VAR_fout</v>
          </cell>
          <cell r="C1050" t="str">
            <v>RHES-SHCON</v>
          </cell>
          <cell r="F1050">
            <v>1.9142660016115559E-3</v>
          </cell>
          <cell r="G1050">
            <v>1.8030903262094512E-3</v>
          </cell>
          <cell r="H1050">
            <v>3.3571484668557081E-3</v>
          </cell>
          <cell r="I1050">
            <v>3.4619227721126977E-3</v>
          </cell>
          <cell r="J1050">
            <v>3.6244184373167361E-3</v>
          </cell>
        </row>
        <row r="1051">
          <cell r="A1051" t="str">
            <v>RHES-SHCONBR</v>
          </cell>
          <cell r="B1051" t="str">
            <v>VAR_fin</v>
          </cell>
          <cell r="C1051" t="str">
            <v>CON</v>
          </cell>
          <cell r="F1051">
            <v>1.9142660016115559E-3</v>
          </cell>
          <cell r="G1051">
            <v>1.8030903262094512E-3</v>
          </cell>
          <cell r="H1051">
            <v>3.3571484668557081E-3</v>
          </cell>
          <cell r="I1051">
            <v>3.4619227721126977E-3</v>
          </cell>
          <cell r="J1051">
            <v>3.6244184373167361E-3</v>
          </cell>
        </row>
        <row r="1052">
          <cell r="A1052" t="str">
            <v>RHES-SHCONBR</v>
          </cell>
          <cell r="B1052" t="str">
            <v>VAR_ncap</v>
          </cell>
          <cell r="C1052" t="str">
            <v>-</v>
          </cell>
          <cell r="E1052">
            <v>8.2668054397054898E-7</v>
          </cell>
          <cell r="F1052">
            <v>1.4512877090720099E-4</v>
          </cell>
          <cell r="G1052">
            <v>1.6951349174488701E-6</v>
          </cell>
          <cell r="H1052">
            <v>1.3169879625478999E-4</v>
          </cell>
          <cell r="I1052">
            <v>6.7029210046686599E-6</v>
          </cell>
          <cell r="J1052">
            <v>4.2541525234997796E-6</v>
          </cell>
        </row>
        <row r="1053">
          <cell r="A1053" t="str">
            <v>RHES-SHCONBR</v>
          </cell>
          <cell r="B1053" t="str">
            <v>VAR_cap</v>
          </cell>
          <cell r="C1053" t="str">
            <v>-</v>
          </cell>
          <cell r="E1053">
            <v>8.2668054397054898E-7</v>
          </cell>
          <cell r="F1053">
            <v>1.4554563742370994E-4</v>
          </cell>
          <cell r="G1053">
            <v>1.4676825971996347E-4</v>
          </cell>
          <cell r="H1053">
            <v>2.7779423542035448E-4</v>
          </cell>
          <cell r="I1053">
            <v>2.8409371980521767E-4</v>
          </cell>
          <cell r="J1053">
            <v>2.8940426757152884E-4</v>
          </cell>
        </row>
        <row r="1054">
          <cell r="A1054" t="str">
            <v>RHSA-WHSOLBR</v>
          </cell>
          <cell r="B1054" t="str">
            <v>VAR_fout</v>
          </cell>
          <cell r="C1054" t="str">
            <v>RHSA-WHASOL</v>
          </cell>
          <cell r="D1054">
            <v>1.721488024659851</v>
          </cell>
          <cell r="E1054">
            <v>1.9870786683026969</v>
          </cell>
          <cell r="F1054">
            <v>0.93247128084154562</v>
          </cell>
          <cell r="G1054">
            <v>1.0600215725630913</v>
          </cell>
          <cell r="H1054">
            <v>1.1234027844173262</v>
          </cell>
          <cell r="I1054">
            <v>1.2090892688906547</v>
          </cell>
          <cell r="J1054">
            <v>1.2000308504004487</v>
          </cell>
        </row>
        <row r="1055">
          <cell r="A1055" t="str">
            <v>RHSA-WHSOLBR</v>
          </cell>
          <cell r="B1055" t="str">
            <v>VAR_fin</v>
          </cell>
          <cell r="C1055" t="str">
            <v>SOL</v>
          </cell>
          <cell r="D1055">
            <v>1.721488024659851</v>
          </cell>
          <cell r="E1055">
            <v>1.9870786683026969</v>
          </cell>
          <cell r="F1055">
            <v>0.93247128084154562</v>
          </cell>
          <cell r="G1055">
            <v>1.0600215725630913</v>
          </cell>
          <cell r="H1055">
            <v>1.1234027844173262</v>
          </cell>
          <cell r="I1055">
            <v>1.2090892688906547</v>
          </cell>
          <cell r="J1055">
            <v>1.2000308504004487</v>
          </cell>
        </row>
        <row r="1056">
          <cell r="A1056" t="str">
            <v>RHSA-WHSOLBR</v>
          </cell>
          <cell r="B1056" t="str">
            <v>VAR_fin</v>
          </cell>
          <cell r="C1056" t="str">
            <v>RHSASOLBRC</v>
          </cell>
          <cell r="D1056">
            <v>1.721488024659851</v>
          </cell>
          <cell r="E1056">
            <v>1.9870786683026969</v>
          </cell>
          <cell r="F1056">
            <v>0.93247128084154562</v>
          </cell>
          <cell r="G1056">
            <v>1.0600215725630913</v>
          </cell>
          <cell r="H1056">
            <v>1.1234027844173262</v>
          </cell>
          <cell r="I1056">
            <v>1.2090892688906547</v>
          </cell>
          <cell r="J1056">
            <v>1.2000308504004487</v>
          </cell>
        </row>
        <row r="1057">
          <cell r="A1057" t="str">
            <v>RHSA-WHSOLBR</v>
          </cell>
          <cell r="B1057" t="str">
            <v>VAR_ncap</v>
          </cell>
          <cell r="C1057" t="str">
            <v>-</v>
          </cell>
          <cell r="E1057">
            <v>8.2473656069182805E-2</v>
          </cell>
          <cell r="F1057">
            <v>3.2856019171264001E-5</v>
          </cell>
          <cell r="G1057">
            <v>9.2610938849064297E-5</v>
          </cell>
          <cell r="H1057">
            <v>0.13873918679303199</v>
          </cell>
          <cell r="I1057">
            <v>0.13254457866567901</v>
          </cell>
          <cell r="J1057">
            <v>0.10599117255054499</v>
          </cell>
        </row>
        <row r="1058">
          <cell r="A1058" t="str">
            <v>RHSA-WHSOLBR</v>
          </cell>
          <cell r="B1058" t="str">
            <v>VAR_cap</v>
          </cell>
          <cell r="C1058" t="str">
            <v>-</v>
          </cell>
          <cell r="D1058">
            <v>0.25000991745774798</v>
          </cell>
          <cell r="E1058">
            <v>0.33248107919376657</v>
          </cell>
          <cell r="F1058">
            <v>0.33248576007547376</v>
          </cell>
          <cell r="G1058">
            <v>0.33256844857892914</v>
          </cell>
          <cell r="H1058">
            <v>0.24590899419859774</v>
          </cell>
          <cell r="I1058">
            <v>0.27133800344557746</v>
          </cell>
          <cell r="J1058">
            <v>0.26086109786950001</v>
          </cell>
        </row>
        <row r="1059">
          <cell r="A1059" t="str">
            <v>SCOM-SHCONBR</v>
          </cell>
          <cell r="B1059" t="str">
            <v>VAR_ncap</v>
          </cell>
          <cell r="C1059" t="str">
            <v>-</v>
          </cell>
          <cell r="D1059">
            <v>4.3529810261044498E-7</v>
          </cell>
          <cell r="E1059">
            <v>3.9859921072466901E-7</v>
          </cell>
          <cell r="F1059">
            <v>3.8521652776719502E-7</v>
          </cell>
          <cell r="G1059">
            <v>3.8354073673431602E-7</v>
          </cell>
          <cell r="H1059">
            <v>5.1861414172402702E-6</v>
          </cell>
          <cell r="I1059">
            <v>3.3989382414763102E-7</v>
          </cell>
          <cell r="J1059">
            <v>2.4253178700415799E-7</v>
          </cell>
        </row>
        <row r="1060">
          <cell r="A1060" t="str">
            <v>SCOM-SHCONBR</v>
          </cell>
          <cell r="B1060" t="str">
            <v>VAR_cap</v>
          </cell>
          <cell r="C1060" t="str">
            <v>-</v>
          </cell>
          <cell r="D1060">
            <v>4.3529810261044498E-7</v>
          </cell>
          <cell r="E1060">
            <v>3.9998341168279606E-7</v>
          </cell>
          <cell r="F1060">
            <v>3.8571193336491995E-7</v>
          </cell>
          <cell r="G1060">
            <v>3.4912073773483001E-7</v>
          </cell>
          <cell r="H1060">
            <v>6.0098880520409584E-6</v>
          </cell>
          <cell r="I1060">
            <v>6.0013432895436701E-6</v>
          </cell>
          <cell r="J1060">
            <v>6.6298959522232867E-6</v>
          </cell>
        </row>
        <row r="1061">
          <cell r="A1061" t="str">
            <v>RHNM-SHNGABR</v>
          </cell>
          <cell r="B1061" t="str">
            <v>VAR_fout</v>
          </cell>
          <cell r="C1061" t="str">
            <v>CO2_R</v>
          </cell>
          <cell r="E1061">
            <v>43.105513583523802</v>
          </cell>
          <cell r="F1061">
            <v>6.4796293394754301</v>
          </cell>
          <cell r="G1061">
            <v>8.7541363670543895</v>
          </cell>
          <cell r="H1061">
            <v>8.6095068416420499</v>
          </cell>
          <cell r="I1061">
            <v>5.2243672522354903</v>
          </cell>
        </row>
        <row r="1062">
          <cell r="A1062" t="str">
            <v>RHNM-SHNGABR</v>
          </cell>
          <cell r="B1062" t="str">
            <v>VAR_fout</v>
          </cell>
          <cell r="C1062" t="str">
            <v>RHNM-SHNGA</v>
          </cell>
          <cell r="E1062">
            <v>0.72606804794942537</v>
          </cell>
          <cell r="F1062">
            <v>0.11026214172713766</v>
          </cell>
          <cell r="G1062">
            <v>0.14896682730327046</v>
          </cell>
          <cell r="H1062">
            <v>0.14650570485421466</v>
          </cell>
          <cell r="I1062">
            <v>8.8901678201123893E-2</v>
          </cell>
        </row>
        <row r="1063">
          <cell r="A1063" t="str">
            <v>RHNM-SHNGABR</v>
          </cell>
          <cell r="B1063" t="str">
            <v>VAR_fin</v>
          </cell>
          <cell r="C1063" t="str">
            <v>RNGA</v>
          </cell>
          <cell r="E1063">
            <v>0.76428215573623715</v>
          </cell>
          <cell r="F1063">
            <v>0.11488704502616016</v>
          </cell>
          <cell r="G1063">
            <v>0.15521518381302107</v>
          </cell>
          <cell r="H1063">
            <v>0.15265083052556816</v>
          </cell>
          <cell r="I1063">
            <v>9.2630625039636275E-2</v>
          </cell>
        </row>
        <row r="1064">
          <cell r="A1064" t="str">
            <v>RHNM-SHNGABR</v>
          </cell>
          <cell r="B1064" t="str">
            <v>VAR_ncap</v>
          </cell>
          <cell r="C1064" t="str">
            <v>-</v>
          </cell>
          <cell r="E1064">
            <v>5.7437723501045798E-2</v>
          </cell>
          <cell r="F1064">
            <v>4.2726132922030401E-5</v>
          </cell>
          <cell r="G1064">
            <v>5.4632024719936901E-5</v>
          </cell>
          <cell r="H1064">
            <v>1.16776996127461E-3</v>
          </cell>
          <cell r="I1064">
            <v>7.2643511067644103E-3</v>
          </cell>
          <cell r="J1064">
            <v>6.6906263580169001E-6</v>
          </cell>
        </row>
        <row r="1065">
          <cell r="A1065" t="str">
            <v>RHNM-SHNGABR</v>
          </cell>
          <cell r="B1065" t="str">
            <v>VAR_cap</v>
          </cell>
          <cell r="C1065" t="str">
            <v>-</v>
          </cell>
          <cell r="E1065">
            <v>5.7437723501045798E-2</v>
          </cell>
          <cell r="F1065">
            <v>5.6619402223148041E-2</v>
          </cell>
          <cell r="G1065">
            <v>5.467175918879582E-2</v>
          </cell>
          <cell r="H1065">
            <v>2.9093236684883918E-2</v>
          </cell>
          <cell r="I1065">
            <v>8.461123640022725E-3</v>
          </cell>
          <cell r="J1065">
            <v>2.3670914720284961E-4</v>
          </cell>
        </row>
        <row r="1066">
          <cell r="A1066" t="str">
            <v>RHES-SHSOLBR</v>
          </cell>
          <cell r="B1066" t="str">
            <v>VAR_fout</v>
          </cell>
          <cell r="C1066" t="str">
            <v>RHES-SHASOL</v>
          </cell>
          <cell r="D1066">
            <v>0.37732610756439694</v>
          </cell>
          <cell r="E1066">
            <v>0.43564756190053988</v>
          </cell>
          <cell r="F1066">
            <v>2.181168448208828E-2</v>
          </cell>
          <cell r="G1066">
            <v>2.3031003078551233E-2</v>
          </cell>
          <cell r="H1066">
            <v>2.2632223644102761E-2</v>
          </cell>
          <cell r="I1066">
            <v>2.1946613908146922E-2</v>
          </cell>
          <cell r="J1066">
            <v>1.9804417961922199E-2</v>
          </cell>
        </row>
        <row r="1067">
          <cell r="A1067" t="str">
            <v>RHES-SHSOLBR</v>
          </cell>
          <cell r="B1067" t="str">
            <v>VAR_fin</v>
          </cell>
          <cell r="C1067" t="str">
            <v>SOL</v>
          </cell>
          <cell r="D1067">
            <v>0.37732610756439694</v>
          </cell>
          <cell r="E1067">
            <v>0.43564756190053988</v>
          </cell>
          <cell r="F1067">
            <v>2.181168448208828E-2</v>
          </cell>
          <cell r="G1067">
            <v>2.3031003078551233E-2</v>
          </cell>
          <cell r="H1067">
            <v>2.2632223644102761E-2</v>
          </cell>
          <cell r="I1067">
            <v>2.1946613908146922E-2</v>
          </cell>
          <cell r="J1067">
            <v>1.9804417961922199E-2</v>
          </cell>
        </row>
        <row r="1068">
          <cell r="A1068" t="str">
            <v>RHES-SHSOLBR</v>
          </cell>
          <cell r="B1068" t="str">
            <v>VAR_ncap</v>
          </cell>
          <cell r="C1068" t="str">
            <v>-</v>
          </cell>
          <cell r="E1068">
            <v>8.8577324671688992E-3</v>
          </cell>
          <cell r="F1068">
            <v>1.1424961594622501E-5</v>
          </cell>
          <cell r="G1068">
            <v>2.1198676234191002E-5</v>
          </cell>
          <cell r="H1068">
            <v>7.6409902250717003E-5</v>
          </cell>
          <cell r="I1068">
            <v>4.29004497169238E-3</v>
          </cell>
          <cell r="J1068">
            <v>5.47163808782737E-4</v>
          </cell>
        </row>
        <row r="1069">
          <cell r="A1069" t="str">
            <v>RHES-SHSOLBR</v>
          </cell>
          <cell r="B1069" t="str">
            <v>VAR_cap</v>
          </cell>
          <cell r="C1069" t="str">
            <v>-</v>
          </cell>
          <cell r="D1069">
            <v>5.4798678617278197E-2</v>
          </cell>
          <cell r="E1069">
            <v>6.3655123426944002E-2</v>
          </cell>
          <cell r="F1069">
            <v>6.3636833922505104E-2</v>
          </cell>
          <cell r="G1069">
            <v>6.3648224821907212E-2</v>
          </cell>
          <cell r="H1069">
            <v>1.874782677093861E-2</v>
          </cell>
          <cell r="I1069">
            <v>4.3757195088774516E-3</v>
          </cell>
          <cell r="J1069">
            <v>3.689141169334771E-3</v>
          </cell>
        </row>
        <row r="1070">
          <cell r="A1070" t="str">
            <v>SCOM-SHSOLBR</v>
          </cell>
          <cell r="B1070" t="str">
            <v>VAR_fout</v>
          </cell>
          <cell r="C1070" t="str">
            <v>SCOM-SHASOL</v>
          </cell>
          <cell r="D1070">
            <v>0.62710016377056388</v>
          </cell>
          <cell r="E1070">
            <v>0.68752506511414369</v>
          </cell>
          <cell r="F1070">
            <v>0.55479707708111603</v>
          </cell>
          <cell r="G1070">
            <v>0.60815181420141473</v>
          </cell>
          <cell r="H1070">
            <v>0.66058573889387395</v>
          </cell>
          <cell r="I1070">
            <v>0.73654652882347915</v>
          </cell>
          <cell r="J1070">
            <v>0.77783246923295146</v>
          </cell>
        </row>
        <row r="1071">
          <cell r="A1071" t="str">
            <v>SCOM-SHSOLBR</v>
          </cell>
          <cell r="B1071" t="str">
            <v>VAR_fin</v>
          </cell>
          <cell r="C1071" t="str">
            <v>SOL</v>
          </cell>
          <cell r="D1071">
            <v>0.62710016377056388</v>
          </cell>
          <cell r="E1071">
            <v>0.68752506511414369</v>
          </cell>
          <cell r="F1071">
            <v>0.55479707708111603</v>
          </cell>
          <cell r="G1071">
            <v>0.60815181420141473</v>
          </cell>
          <cell r="H1071">
            <v>0.66058573889387395</v>
          </cell>
          <cell r="I1071">
            <v>0.73654652882347915</v>
          </cell>
          <cell r="J1071">
            <v>0.77783246923295146</v>
          </cell>
        </row>
        <row r="1072">
          <cell r="A1072" t="str">
            <v>SCOM-SHSOLBR</v>
          </cell>
          <cell r="B1072" t="str">
            <v>VAR_ncap</v>
          </cell>
          <cell r="C1072" t="str">
            <v>-</v>
          </cell>
          <cell r="D1072">
            <v>1.5935382007979001E-4</v>
          </cell>
          <cell r="E1072">
            <v>9.39963759144718E-3</v>
          </cell>
          <cell r="F1072">
            <v>4.34628502715629E-5</v>
          </cell>
          <cell r="G1072">
            <v>8.9556565707593706E-5</v>
          </cell>
          <cell r="H1072">
            <v>6.9307175960674094E-2</v>
          </cell>
          <cell r="I1072">
            <v>4.5340519804297097E-2</v>
          </cell>
          <cell r="J1072">
            <v>6.4322264151693995E-2</v>
          </cell>
        </row>
        <row r="1073">
          <cell r="A1073" t="str">
            <v>SCOM-SHSOLBR</v>
          </cell>
          <cell r="B1073" t="str">
            <v>VAR_cap</v>
          </cell>
          <cell r="C1073" t="str">
            <v>-</v>
          </cell>
          <cell r="D1073">
            <v>9.1216947296159298E-2</v>
          </cell>
          <cell r="E1073">
            <v>0.10061431455423141</v>
          </cell>
          <cell r="F1073">
            <v>0.10063721711131521</v>
          </cell>
          <cell r="G1073">
            <v>0.10071645995903808</v>
          </cell>
          <cell r="H1073">
            <v>9.7876502091108583E-2</v>
          </cell>
          <cell r="I1073">
            <v>0.11470307687506973</v>
          </cell>
          <cell r="J1073">
            <v>0.12653623644960343</v>
          </cell>
        </row>
        <row r="1074">
          <cell r="A1074" t="str">
            <v>RHEM-SHSTG-ELCHP</v>
          </cell>
          <cell r="B1074" t="str">
            <v>VAR_fout</v>
          </cell>
          <cell r="C1074" t="str">
            <v>RHEM-SHAELCH</v>
          </cell>
          <cell r="D1074">
            <v>1.2880022670492326</v>
          </cell>
          <cell r="E1074">
            <v>1.4818519823238268</v>
          </cell>
          <cell r="F1074">
            <v>1.7646283835700229</v>
          </cell>
          <cell r="G1074">
            <v>2.3578381454904473</v>
          </cell>
          <cell r="H1074">
            <v>2.4682073204936863</v>
          </cell>
          <cell r="I1074">
            <v>3.2490914488001561</v>
          </cell>
          <cell r="J1074">
            <v>3.3537380349424848</v>
          </cell>
        </row>
        <row r="1075">
          <cell r="A1075" t="str">
            <v>RHEM-SHSTG-ELCHP</v>
          </cell>
          <cell r="B1075" t="str">
            <v>VAR_fout</v>
          </cell>
          <cell r="C1075" t="str">
            <v>AUX_RHEM-SHSTG-ELCHP_OUT</v>
          </cell>
          <cell r="D1075">
            <v>1.2892902693162815</v>
          </cell>
          <cell r="E1075">
            <v>1.4833338343061508</v>
          </cell>
          <cell r="F1075">
            <v>1.7663930119535942</v>
          </cell>
          <cell r="G1075">
            <v>2.3601959836359385</v>
          </cell>
          <cell r="H1075">
            <v>2.4706755278141794</v>
          </cell>
          <cell r="I1075">
            <v>3.2523405402489565</v>
          </cell>
          <cell r="J1075">
            <v>3.3570917729774279</v>
          </cell>
        </row>
        <row r="1076">
          <cell r="A1076" t="str">
            <v>RHEM-SHSTG-ELCHP</v>
          </cell>
          <cell r="B1076" t="str">
            <v>VAR_fin</v>
          </cell>
          <cell r="C1076" t="str">
            <v>RHEM-SHAELCH</v>
          </cell>
          <cell r="D1076">
            <v>1.2884374087664918</v>
          </cell>
          <cell r="E1076">
            <v>1.4819971356358193</v>
          </cell>
          <cell r="F1076">
            <v>1.7646716954602264</v>
          </cell>
          <cell r="G1076">
            <v>2.357940330076814</v>
          </cell>
          <cell r="H1076">
            <v>2.4683231007264648</v>
          </cell>
          <cell r="I1076">
            <v>3.2492027761880538</v>
          </cell>
          <cell r="J1076">
            <v>3.3538557802454076</v>
          </cell>
        </row>
        <row r="1077">
          <cell r="A1077" t="str">
            <v>RHEM-SHSTG-ELCHP</v>
          </cell>
          <cell r="B1077" t="str">
            <v>VAR_ncap</v>
          </cell>
          <cell r="C1077" t="str">
            <v>-</v>
          </cell>
          <cell r="D1077">
            <v>0.195999925268592</v>
          </cell>
          <cell r="E1077">
            <v>1.3092067514591499E-3</v>
          </cell>
          <cell r="F1077">
            <v>1.17747348306808E-3</v>
          </cell>
          <cell r="G1077">
            <v>5.4982906883684797E-2</v>
          </cell>
          <cell r="H1077">
            <v>0.19871855178313799</v>
          </cell>
          <cell r="I1077">
            <v>0.13395861238211601</v>
          </cell>
          <cell r="J1077">
            <v>0.18837397265037001</v>
          </cell>
        </row>
        <row r="1078">
          <cell r="A1078" t="str">
            <v>RHEM-SHSTG-ELCHP</v>
          </cell>
          <cell r="B1078" t="str">
            <v>VAR_cap</v>
          </cell>
          <cell r="C1078" t="str">
            <v>-</v>
          </cell>
          <cell r="D1078">
            <v>0.195999925268592</v>
          </cell>
          <cell r="E1078">
            <v>0.19365108801179354</v>
          </cell>
          <cell r="F1078">
            <v>0.19363719395785642</v>
          </cell>
          <cell r="G1078">
            <v>0.24815761498767785</v>
          </cell>
          <cell r="H1078">
            <v>0.30167299082896376</v>
          </cell>
          <cell r="I1078">
            <v>0.36918559663457773</v>
          </cell>
          <cell r="J1078">
            <v>0.36853114635527162</v>
          </cell>
        </row>
        <row r="1079">
          <cell r="A1079" t="str">
            <v>ITOT-SWHELCBR</v>
          </cell>
          <cell r="B1079" t="str">
            <v>VAR_fout</v>
          </cell>
          <cell r="C1079" t="str">
            <v>ITOT-SWHAELC</v>
          </cell>
          <cell r="D1079">
            <v>9.8141619496138333</v>
          </cell>
          <cell r="E1079">
            <v>10.335130020858854</v>
          </cell>
          <cell r="F1079">
            <v>10.597154447882525</v>
          </cell>
          <cell r="G1079">
            <v>13.317086969426741</v>
          </cell>
          <cell r="H1079">
            <v>13.317076471097238</v>
          </cell>
          <cell r="I1079">
            <v>13.317061571614225</v>
          </cell>
          <cell r="J1079">
            <v>13.317060267374348</v>
          </cell>
        </row>
        <row r="1080">
          <cell r="A1080" t="str">
            <v>ITOT-SWHELCBR</v>
          </cell>
          <cell r="B1080" t="str">
            <v>VAR_fin</v>
          </cell>
          <cell r="C1080" t="str">
            <v>ITOT_ELC</v>
          </cell>
          <cell r="D1080">
            <v>11.647261143137959</v>
          </cell>
          <cell r="E1080">
            <v>12.259033789444954</v>
          </cell>
          <cell r="F1080">
            <v>12.559846957037371</v>
          </cell>
          <cell r="G1080">
            <v>15.762662326249723</v>
          </cell>
          <cell r="H1080">
            <v>15.741830861950394</v>
          </cell>
          <cell r="I1080">
            <v>15.721049157102904</v>
          </cell>
          <cell r="J1080">
            <v>15.679683336216792</v>
          </cell>
        </row>
        <row r="1081">
          <cell r="A1081" t="str">
            <v>ITOT-SWHELCBR</v>
          </cell>
          <cell r="B1081" t="str">
            <v>VAR_ncap</v>
          </cell>
          <cell r="C1081" t="str">
            <v>-</v>
          </cell>
          <cell r="E1081">
            <v>0.195937581071362</v>
          </cell>
          <cell r="F1081">
            <v>1.4658584998031E-2</v>
          </cell>
          <cell r="G1081">
            <v>0.258033237202895</v>
          </cell>
          <cell r="H1081">
            <v>0.60549366148251105</v>
          </cell>
          <cell r="I1081">
            <v>0.28744338578177597</v>
          </cell>
          <cell r="J1081">
            <v>0.646804517586408</v>
          </cell>
        </row>
        <row r="1082">
          <cell r="A1082" t="str">
            <v>ITOT-SWHELCBR</v>
          </cell>
          <cell r="B1082" t="str">
            <v>VAR_cap</v>
          </cell>
          <cell r="C1082" t="str">
            <v>-</v>
          </cell>
          <cell r="D1082">
            <v>0.55644997413134401</v>
          </cell>
          <cell r="E1082">
            <v>0.75228738902036107</v>
          </cell>
          <cell r="F1082">
            <v>0.76673073157571625</v>
          </cell>
          <cell r="G1082">
            <v>1.0242666083314971</v>
          </cell>
          <cell r="H1082">
            <v>1.1213503201232524</v>
          </cell>
          <cell r="I1082">
            <v>1.0709697990591704</v>
          </cell>
          <cell r="J1082">
            <v>1.1112193367177079</v>
          </cell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H8">
            <v>370.9749982797789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</row>
        <row r="10">
          <cell r="B10" t="str">
            <v>CO2_O</v>
          </cell>
          <cell r="C10" t="str">
            <v>VAR_fout</v>
          </cell>
          <cell r="D10" t="str">
            <v>CHPWSTCCS</v>
          </cell>
        </row>
        <row r="11">
          <cell r="B11" t="str">
            <v>CO2_O</v>
          </cell>
          <cell r="C11" t="str">
            <v>VAR_fout</v>
          </cell>
          <cell r="D11" t="str">
            <v>ITOT-CHPWSTCCS</v>
          </cell>
        </row>
        <row r="12">
          <cell r="B12" t="str">
            <v>CO2_O</v>
          </cell>
          <cell r="C12" t="str">
            <v>VAR_fout</v>
          </cell>
          <cell r="D12" t="str">
            <v>ITOT-CHPNGACCS</v>
          </cell>
        </row>
        <row r="13">
          <cell r="B13" t="str">
            <v>CO2_O</v>
          </cell>
          <cell r="C13" t="str">
            <v>VAR_fout</v>
          </cell>
          <cell r="D13" t="str">
            <v>ITOT-CHPWODCCS</v>
          </cell>
        </row>
        <row r="14">
          <cell r="B14" t="str">
            <v>CO2_O</v>
          </cell>
          <cell r="C14" t="str">
            <v>VAR_fout</v>
          </cell>
          <cell r="D14" t="str">
            <v>EWOD-CCS</v>
          </cell>
        </row>
        <row r="15">
          <cell r="B15" t="str">
            <v>CO2_O</v>
          </cell>
          <cell r="C15" t="str">
            <v>VAR_fout</v>
          </cell>
          <cell r="D15" t="str">
            <v>ITOT-PROCESSCO2CCS</v>
          </cell>
        </row>
        <row r="16">
          <cell r="B16" t="str">
            <v>CO2_O</v>
          </cell>
          <cell r="C16" t="str">
            <v>VAR_fout</v>
          </cell>
          <cell r="D16" t="str">
            <v>SUP_NGAH2CCS</v>
          </cell>
        </row>
        <row r="17">
          <cell r="B17" t="str">
            <v>CO2_O</v>
          </cell>
          <cell r="C17" t="str">
            <v>VAR_fout</v>
          </cell>
          <cell r="D17" t="str">
            <v>SUP_DAC</v>
          </cell>
        </row>
        <row r="18">
          <cell r="B18" t="str">
            <v>CO2_O</v>
          </cell>
          <cell r="C18" t="str">
            <v>VAR_fin</v>
          </cell>
          <cell r="D18" t="str">
            <v>D-CO2_O</v>
          </cell>
        </row>
        <row r="19">
          <cell r="B19" t="str">
            <v>CO2_O</v>
          </cell>
          <cell r="C19" t="str">
            <v>EQ_combalM</v>
          </cell>
          <cell r="D19" t="str">
            <v>-</v>
          </cell>
          <cell r="H19">
            <v>370.9749982797789</v>
          </cell>
        </row>
        <row r="20">
          <cell r="B20" t="str">
            <v>CO2_Q</v>
          </cell>
          <cell r="C20" t="str">
            <v>VAR_fout</v>
          </cell>
          <cell r="D20" t="str">
            <v>D-CO2_O</v>
          </cell>
        </row>
        <row r="21">
          <cell r="B21" t="str">
            <v>CO2_Q</v>
          </cell>
          <cell r="C21" t="str">
            <v>VAR_fin</v>
          </cell>
          <cell r="D21" t="str">
            <v>CO2SINK</v>
          </cell>
        </row>
        <row r="22">
          <cell r="B22" t="str">
            <v>CO2_Q</v>
          </cell>
          <cell r="C22" t="str">
            <v>EQ_combalM</v>
          </cell>
          <cell r="D22" t="str">
            <v>-</v>
          </cell>
        </row>
        <row r="23">
          <cell r="B23" t="str">
            <v>CO2_R</v>
          </cell>
          <cell r="C23" t="str">
            <v>VAR_fout</v>
          </cell>
          <cell r="D23" t="str">
            <v>RHNM-SHLFOBR</v>
          </cell>
          <cell r="F23">
            <v>3.87245424420408E-2</v>
          </cell>
          <cell r="G23">
            <v>4.8029370718954896</v>
          </cell>
          <cell r="H23">
            <v>7.4021868884676696</v>
          </cell>
        </row>
        <row r="24">
          <cell r="B24" t="str">
            <v>CO2_R</v>
          </cell>
          <cell r="C24" t="str">
            <v>VAR_fout</v>
          </cell>
          <cell r="D24" t="str">
            <v>RHNS-SHNGAHP</v>
          </cell>
          <cell r="G24">
            <v>5.5655621895826801</v>
          </cell>
          <cell r="H24">
            <v>15.320211118881801</v>
          </cell>
        </row>
        <row r="25">
          <cell r="B25" t="str">
            <v>CO2_R</v>
          </cell>
          <cell r="C25" t="str">
            <v>VAR_fout</v>
          </cell>
          <cell r="D25" t="str">
            <v>RHES-CHPNGA</v>
          </cell>
          <cell r="E25">
            <v>20.847900448093199</v>
          </cell>
          <cell r="F25">
            <v>2.0141281347758002</v>
          </cell>
          <cell r="G25">
            <v>5.3388726385875902</v>
          </cell>
        </row>
        <row r="26">
          <cell r="B26" t="str">
            <v>CO2_R</v>
          </cell>
          <cell r="C26" t="str">
            <v>VAR_fout</v>
          </cell>
          <cell r="D26" t="str">
            <v>RHEM-SHNGABR</v>
          </cell>
          <cell r="E26">
            <v>1127.97272019907</v>
          </cell>
          <cell r="F26">
            <v>1120.96952212052</v>
          </cell>
          <cell r="G26">
            <v>1260.6116011224699</v>
          </cell>
          <cell r="H26">
            <v>909.76400001043805</v>
          </cell>
        </row>
        <row r="27">
          <cell r="B27" t="str">
            <v>CO2_R</v>
          </cell>
          <cell r="C27" t="str">
            <v>VAR_fout</v>
          </cell>
          <cell r="D27" t="str">
            <v>RHSA-WHNGAHP</v>
          </cell>
          <cell r="G27">
            <v>30.4938763336528</v>
          </cell>
          <cell r="H27">
            <v>80.137987802175402</v>
          </cell>
        </row>
        <row r="28">
          <cell r="B28" t="str">
            <v>CO2_R</v>
          </cell>
          <cell r="C28" t="str">
            <v>VAR_fout</v>
          </cell>
          <cell r="D28" t="str">
            <v>RHEM-SHLFOBR</v>
          </cell>
          <cell r="E28">
            <v>1928.7243838209699</v>
          </cell>
          <cell r="F28">
            <v>1537.4272806643</v>
          </cell>
          <cell r="G28">
            <v>1741.6949708731299</v>
          </cell>
          <cell r="H28">
            <v>900.20132426777104</v>
          </cell>
        </row>
        <row r="29">
          <cell r="B29" t="str">
            <v>CO2_R</v>
          </cell>
          <cell r="C29" t="str">
            <v>VAR_fout</v>
          </cell>
          <cell r="D29" t="str">
            <v>RHES-SHNGAHP</v>
          </cell>
          <cell r="G29">
            <v>70.247804467185105</v>
          </cell>
          <cell r="H29">
            <v>163.46964728901401</v>
          </cell>
        </row>
        <row r="30">
          <cell r="B30" t="str">
            <v>CO2_R</v>
          </cell>
          <cell r="C30" t="str">
            <v>VAR_fout</v>
          </cell>
          <cell r="D30" t="str">
            <v>RHNS-SHNGABR</v>
          </cell>
          <cell r="F30">
            <v>6.0708568208921001</v>
          </cell>
          <cell r="G30">
            <v>2.37046534435351</v>
          </cell>
          <cell r="H30">
            <v>5.1279269403334</v>
          </cell>
        </row>
        <row r="31">
          <cell r="B31" t="str">
            <v>CO2_R</v>
          </cell>
          <cell r="C31" t="str">
            <v>VAR_fout</v>
          </cell>
          <cell r="D31" t="str">
            <v>RHNS-SHLFOBR</v>
          </cell>
          <cell r="F31">
            <v>7.7465635740704003E-2</v>
          </cell>
          <cell r="G31">
            <v>1.59394189712735</v>
          </cell>
          <cell r="H31">
            <v>3.8875001872251098</v>
          </cell>
        </row>
        <row r="32">
          <cell r="B32" t="str">
            <v>CO2_R</v>
          </cell>
          <cell r="C32" t="str">
            <v>VAR_fout</v>
          </cell>
          <cell r="D32" t="str">
            <v>RHNM-CHPNGA</v>
          </cell>
          <cell r="F32">
            <v>1.08008994916944</v>
          </cell>
          <cell r="G32">
            <v>5.1095686072255697</v>
          </cell>
        </row>
        <row r="33">
          <cell r="B33" t="str">
            <v>CO2_R</v>
          </cell>
          <cell r="C33" t="str">
            <v>VAR_fout</v>
          </cell>
          <cell r="D33" t="str">
            <v>RHNM-SHNGAHP</v>
          </cell>
          <cell r="G33">
            <v>7.8353906385904102</v>
          </cell>
          <cell r="H33">
            <v>19.908045329006899</v>
          </cell>
        </row>
        <row r="34">
          <cell r="B34" t="str">
            <v>CO2_R</v>
          </cell>
          <cell r="C34" t="str">
            <v>VAR_fout</v>
          </cell>
          <cell r="D34" t="str">
            <v>RHES-SHNGABR</v>
          </cell>
          <cell r="E34">
            <v>1043.1446976712</v>
          </cell>
          <cell r="F34">
            <v>1155.2875816594701</v>
          </cell>
          <cell r="G34">
            <v>643.24748411699602</v>
          </cell>
          <cell r="H34">
            <v>452.82401288682797</v>
          </cell>
        </row>
        <row r="35">
          <cell r="B35" t="str">
            <v>CO2_R</v>
          </cell>
          <cell r="C35" t="str">
            <v>VAR_fout</v>
          </cell>
          <cell r="D35" t="str">
            <v>RHSA-WHNGABR</v>
          </cell>
          <cell r="E35">
            <v>479.81944668575801</v>
          </cell>
          <cell r="F35">
            <v>391.63095827753</v>
          </cell>
          <cell r="G35">
            <v>555.54102999001702</v>
          </cell>
          <cell r="H35">
            <v>350.29291512057102</v>
          </cell>
        </row>
        <row r="36">
          <cell r="B36" t="str">
            <v>CO2_R</v>
          </cell>
          <cell r="C36" t="str">
            <v>VAR_fout</v>
          </cell>
          <cell r="D36" t="str">
            <v>RHSA-WHLFOBR</v>
          </cell>
          <cell r="E36">
            <v>726.729998070021</v>
          </cell>
          <cell r="F36">
            <v>603.81232171432998</v>
          </cell>
          <cell r="G36">
            <v>658.22139672475805</v>
          </cell>
          <cell r="H36">
            <v>290.89892708687398</v>
          </cell>
        </row>
        <row r="37">
          <cell r="B37" t="str">
            <v>CO2_R</v>
          </cell>
          <cell r="C37" t="str">
            <v>VAR_fout</v>
          </cell>
          <cell r="D37" t="str">
            <v>RHES-SHLFOBR</v>
          </cell>
          <cell r="E37">
            <v>1783.67686066532</v>
          </cell>
          <cell r="F37">
            <v>1640.9746237633001</v>
          </cell>
          <cell r="G37">
            <v>1237.9224606564801</v>
          </cell>
          <cell r="H37">
            <v>591.29789336870397</v>
          </cell>
        </row>
        <row r="38">
          <cell r="B38" t="str">
            <v>CO2_R</v>
          </cell>
          <cell r="C38" t="str">
            <v>VAR_fout</v>
          </cell>
          <cell r="D38" t="str">
            <v>RHNS-CHPNGA</v>
          </cell>
          <cell r="F38">
            <v>0.693017293254791</v>
          </cell>
          <cell r="G38">
            <v>3.7135303848319898</v>
          </cell>
        </row>
        <row r="39">
          <cell r="B39" t="str">
            <v>CO2_R</v>
          </cell>
          <cell r="C39" t="str">
            <v>VAR_fout</v>
          </cell>
          <cell r="D39" t="str">
            <v>RHEM-CHPNGA</v>
          </cell>
          <cell r="E39">
            <v>23.080205764433298</v>
          </cell>
          <cell r="F39">
            <v>2.3539809106699998</v>
          </cell>
          <cell r="G39">
            <v>7.79838475670996</v>
          </cell>
        </row>
        <row r="40">
          <cell r="B40" t="str">
            <v>CO2_R</v>
          </cell>
          <cell r="C40" t="str">
            <v>VAR_fout</v>
          </cell>
          <cell r="D40" t="str">
            <v>RHES-SHCOABR</v>
          </cell>
          <cell r="E40">
            <v>9.2728601039877496</v>
          </cell>
          <cell r="F40">
            <v>9.2711067197275501</v>
          </cell>
          <cell r="G40">
            <v>2.5001913696749498</v>
          </cell>
          <cell r="H40">
            <v>2.2053707618221001E-2</v>
          </cell>
        </row>
        <row r="41">
          <cell r="B41" t="str">
            <v>CO2_R</v>
          </cell>
          <cell r="C41" t="str">
            <v>VAR_fout</v>
          </cell>
          <cell r="D41" t="str">
            <v>RHEM-SHNGAHP</v>
          </cell>
          <cell r="G41">
            <v>72.532974401258997</v>
          </cell>
          <cell r="H41">
            <v>199.74461179469799</v>
          </cell>
        </row>
        <row r="42">
          <cell r="B42" t="str">
            <v>CO2_R</v>
          </cell>
          <cell r="C42" t="str">
            <v>VAR_fout</v>
          </cell>
          <cell r="D42" t="str">
            <v>RHNM-SHNGABR</v>
          </cell>
          <cell r="F42">
            <v>43.105513583523802</v>
          </cell>
          <cell r="G42">
            <v>6.4796293394754301</v>
          </cell>
          <cell r="H42">
            <v>8.7541363670543895</v>
          </cell>
        </row>
        <row r="43">
          <cell r="B43" t="str">
            <v>CO2_R</v>
          </cell>
          <cell r="C43" t="str">
            <v>VAR_comnet</v>
          </cell>
          <cell r="D43" t="str">
            <v>-</v>
          </cell>
          <cell r="E43">
            <v>7143.2690734288499</v>
          </cell>
          <cell r="F43">
            <v>6514.8071717896501</v>
          </cell>
          <cell r="G43">
            <v>6323.6220729240003</v>
          </cell>
          <cell r="H43">
            <v>3999.0533801656602</v>
          </cell>
        </row>
        <row r="44">
          <cell r="B44" t="str">
            <v>CO2_S</v>
          </cell>
          <cell r="C44" t="str">
            <v>VAR_fout</v>
          </cell>
          <cell r="D44" t="str">
            <v>SCOM-SHNGAHP</v>
          </cell>
          <cell r="G44">
            <v>69.718644533660594</v>
          </cell>
          <cell r="H44">
            <v>186.15308141094201</v>
          </cell>
        </row>
        <row r="45">
          <cell r="B45" t="str">
            <v>CO2_S</v>
          </cell>
          <cell r="C45" t="str">
            <v>VAR_fout</v>
          </cell>
          <cell r="D45" t="str">
            <v>SCOM-CHPNGA</v>
          </cell>
          <cell r="E45">
            <v>108.99525853243</v>
          </cell>
          <cell r="F45">
            <v>98.260247082389498</v>
          </cell>
          <cell r="G45">
            <v>87.055432645654093</v>
          </cell>
        </row>
        <row r="46">
          <cell r="B46" t="str">
            <v>CO2_S</v>
          </cell>
          <cell r="C46" t="str">
            <v>VAR_fout</v>
          </cell>
          <cell r="D46" t="str">
            <v>SCOM-SHNGABR</v>
          </cell>
          <cell r="E46">
            <v>1440.95087646311</v>
          </cell>
          <cell r="F46">
            <v>1508.4890124480301</v>
          </cell>
          <cell r="G46">
            <v>1282.2013583896501</v>
          </cell>
          <cell r="H46">
            <v>948.61851031839103</v>
          </cell>
        </row>
        <row r="47">
          <cell r="B47" t="str">
            <v>CO2_S</v>
          </cell>
          <cell r="C47" t="str">
            <v>VAR_fout</v>
          </cell>
          <cell r="D47" t="str">
            <v>SCOM-SHLFOBR</v>
          </cell>
          <cell r="E47">
            <v>2229.9172547481699</v>
          </cell>
          <cell r="F47">
            <v>1901.4017817936301</v>
          </cell>
          <cell r="G47">
            <v>1924.62038695047</v>
          </cell>
          <cell r="H47">
            <v>1141.5613924884201</v>
          </cell>
        </row>
        <row r="48">
          <cell r="B48" t="str">
            <v>CO2_S</v>
          </cell>
          <cell r="C48" t="str">
            <v>VAR_comnet</v>
          </cell>
          <cell r="D48" t="str">
            <v>-</v>
          </cell>
          <cell r="E48">
            <v>3779.8633897437098</v>
          </cell>
          <cell r="F48">
            <v>3508.1510413240499</v>
          </cell>
          <cell r="G48">
            <v>3363.5958225194299</v>
          </cell>
          <cell r="H48">
            <v>2276.33298421775</v>
          </cell>
        </row>
        <row r="49">
          <cell r="B49" t="str">
            <v>CO2_T</v>
          </cell>
          <cell r="C49" t="str">
            <v>VAR_fout</v>
          </cell>
          <cell r="D49" t="str">
            <v>T_B_u-ICENGAEXT</v>
          </cell>
          <cell r="E49">
            <v>1.8024761143534799E-2</v>
          </cell>
          <cell r="F49">
            <v>1.8420303747621301E-2</v>
          </cell>
          <cell r="G49">
            <v>1.85468073786847E-2</v>
          </cell>
        </row>
        <row r="50">
          <cell r="B50" t="str">
            <v>CO2_T</v>
          </cell>
          <cell r="C50" t="str">
            <v>VAR_fout</v>
          </cell>
          <cell r="D50" t="str">
            <v>TFHGV-ICENGA</v>
          </cell>
          <cell r="E50">
            <v>3.4042172393417203</v>
          </cell>
          <cell r="F50">
            <v>1.9862194594751681</v>
          </cell>
          <cell r="G50">
            <v>2.4323184082919402</v>
          </cell>
          <cell r="H50">
            <v>2.3666620365021656</v>
          </cell>
        </row>
        <row r="51">
          <cell r="B51" t="str">
            <v>CO2_T</v>
          </cell>
          <cell r="C51" t="str">
            <v>VAR_fout</v>
          </cell>
          <cell r="D51" t="str">
            <v>T-Plg-GSL-mix_S1</v>
          </cell>
          <cell r="E51">
            <v>2.7958753205819999E-2</v>
          </cell>
          <cell r="F51">
            <v>0.97414012385538096</v>
          </cell>
          <cell r="G51">
            <v>1.1949969839761749</v>
          </cell>
          <cell r="H51">
            <v>3.2128362572512978</v>
          </cell>
        </row>
        <row r="52">
          <cell r="B52" t="str">
            <v>CO2_T</v>
          </cell>
          <cell r="C52" t="str">
            <v>VAR_fout</v>
          </cell>
          <cell r="D52" t="str">
            <v>T-Plg-GSL-mix_S2</v>
          </cell>
          <cell r="E52">
            <v>5.2580846741960201</v>
          </cell>
          <cell r="F52">
            <v>11.58203171963078</v>
          </cell>
          <cell r="G52">
            <v>11.763821887056718</v>
          </cell>
          <cell r="H52">
            <v>14.104179790402931</v>
          </cell>
        </row>
        <row r="53">
          <cell r="B53" t="str">
            <v>CO2_T</v>
          </cell>
          <cell r="C53" t="str">
            <v>VAR_fout</v>
          </cell>
          <cell r="D53" t="str">
            <v>T-Plg-GSL-mix_S3</v>
          </cell>
          <cell r="E53">
            <v>5.6604835703303698</v>
          </cell>
          <cell r="F53">
            <v>42.515039072476696</v>
          </cell>
          <cell r="G53">
            <v>114.93592353010041</v>
          </cell>
          <cell r="H53">
            <v>474.20182050413075</v>
          </cell>
        </row>
        <row r="54">
          <cell r="B54" t="str">
            <v>CO2_T</v>
          </cell>
          <cell r="C54" t="str">
            <v>VAR_fout</v>
          </cell>
          <cell r="D54" t="str">
            <v>T-Plg-GSL-mix_S4</v>
          </cell>
          <cell r="E54">
            <v>9.2477629988184091</v>
          </cell>
          <cell r="F54">
            <v>23.581040548970201</v>
          </cell>
          <cell r="G54">
            <v>25.52430803638148</v>
          </cell>
          <cell r="H54">
            <v>24.801032198685199</v>
          </cell>
        </row>
        <row r="55">
          <cell r="B55" t="str">
            <v>CO2_T</v>
          </cell>
          <cell r="C55" t="str">
            <v>VAR_fout</v>
          </cell>
          <cell r="D55" t="str">
            <v>TFLGV-HYBDSL</v>
          </cell>
          <cell r="F55">
            <v>15.269850457960199</v>
          </cell>
          <cell r="G55">
            <v>119.2123211919085</v>
          </cell>
          <cell r="H55">
            <v>88.028747222893358</v>
          </cell>
        </row>
        <row r="56">
          <cell r="B56" t="str">
            <v>CO2_T</v>
          </cell>
          <cell r="C56" t="str">
            <v>VAR_fout</v>
          </cell>
          <cell r="D56" t="str">
            <v>TFLGV-ICEGSLExt</v>
          </cell>
          <cell r="E56">
            <v>61.376655447472501</v>
          </cell>
          <cell r="F56">
            <v>128.43179679945999</v>
          </cell>
          <cell r="G56">
            <v>40.867610333111102</v>
          </cell>
          <cell r="H56">
            <v>20.040376359342801</v>
          </cell>
        </row>
        <row r="57">
          <cell r="B57" t="str">
            <v>CO2_T</v>
          </cell>
          <cell r="C57" t="str">
            <v>VAR_fout</v>
          </cell>
          <cell r="D57" t="str">
            <v>TFLGV-ICEDSLExt</v>
          </cell>
          <cell r="E57">
            <v>814.07834168813599</v>
          </cell>
          <cell r="F57">
            <v>549.03626873974497</v>
          </cell>
          <cell r="G57">
            <v>400.840399473113</v>
          </cell>
          <cell r="H57">
            <v>199.81605967488801</v>
          </cell>
        </row>
        <row r="58">
          <cell r="B58" t="str">
            <v>CO2_T</v>
          </cell>
          <cell r="C58" t="str">
            <v>VAR_fout</v>
          </cell>
          <cell r="D58" t="str">
            <v>T_C-ICE-NGA-S1</v>
          </cell>
          <cell r="E58">
            <v>0.20390290081791612</v>
          </cell>
          <cell r="F58">
            <v>0.2316648111686373</v>
          </cell>
          <cell r="G58">
            <v>0.24545930858055431</v>
          </cell>
          <cell r="H58">
            <v>0.16268456404881679</v>
          </cell>
        </row>
        <row r="59">
          <cell r="B59" t="str">
            <v>CO2_T</v>
          </cell>
          <cell r="C59" t="str">
            <v>VAR_fout</v>
          </cell>
          <cell r="D59" t="str">
            <v>T_C-ICE-NGA-S2</v>
          </cell>
          <cell r="E59">
            <v>2.876450800608024</v>
          </cell>
          <cell r="F59">
            <v>2.9409652180507839</v>
          </cell>
          <cell r="G59">
            <v>3.0550089185334501</v>
          </cell>
          <cell r="H59">
            <v>0.63165564159765664</v>
          </cell>
        </row>
        <row r="60">
          <cell r="B60" t="str">
            <v>CO2_T</v>
          </cell>
          <cell r="C60" t="str">
            <v>VAR_fout</v>
          </cell>
          <cell r="D60" t="str">
            <v>TFLGV-ICEDSL</v>
          </cell>
          <cell r="E60">
            <v>322.44588117845615</v>
          </cell>
          <cell r="F60">
            <v>384.94909044842353</v>
          </cell>
          <cell r="G60">
            <v>377.67313175371953</v>
          </cell>
          <cell r="H60">
            <v>158.76415194422739</v>
          </cell>
        </row>
        <row r="61">
          <cell r="B61" t="str">
            <v>CO2_T</v>
          </cell>
          <cell r="C61" t="str">
            <v>VAR_fout</v>
          </cell>
          <cell r="D61" t="str">
            <v>T_C-ICE-NGA-S3</v>
          </cell>
          <cell r="E61">
            <v>0.26947804419943011</v>
          </cell>
          <cell r="F61">
            <v>0.33455341521042203</v>
          </cell>
          <cell r="G61">
            <v>0.44261986393296776</v>
          </cell>
          <cell r="H61">
            <v>0.41356033242225088</v>
          </cell>
        </row>
        <row r="62">
          <cell r="B62" t="str">
            <v>CO2_T</v>
          </cell>
          <cell r="C62" t="str">
            <v>VAR_fout</v>
          </cell>
          <cell r="D62" t="str">
            <v>T_C-ICE-NGA-S4</v>
          </cell>
          <cell r="E62">
            <v>2.6858962576044787</v>
          </cell>
          <cell r="F62">
            <v>2.7010791647537404</v>
          </cell>
          <cell r="G62">
            <v>2.5950971442430544</v>
          </cell>
          <cell r="H62">
            <v>0.33213292940948486</v>
          </cell>
        </row>
        <row r="63">
          <cell r="B63" t="str">
            <v>CO2_T</v>
          </cell>
          <cell r="C63" t="str">
            <v>VAR_fout</v>
          </cell>
          <cell r="D63" t="str">
            <v>T_C-MHY-GSL-S1</v>
          </cell>
          <cell r="F63">
            <v>0.38561874373514399</v>
          </cell>
          <cell r="G63">
            <v>0.7372752700693721</v>
          </cell>
          <cell r="H63">
            <v>1.0290069247189351</v>
          </cell>
        </row>
        <row r="64">
          <cell r="B64" t="str">
            <v>CO2_T</v>
          </cell>
          <cell r="C64" t="str">
            <v>VAR_fout</v>
          </cell>
          <cell r="D64" t="str">
            <v>T_C-MHY-GSL-S2</v>
          </cell>
          <cell r="F64">
            <v>0.34762369097276902</v>
          </cell>
          <cell r="G64">
            <v>0.99221408881808804</v>
          </cell>
          <cell r="H64">
            <v>1.3113231216905761</v>
          </cell>
        </row>
        <row r="65">
          <cell r="B65" t="str">
            <v>CO2_T</v>
          </cell>
          <cell r="C65" t="str">
            <v>VAR_fout</v>
          </cell>
          <cell r="D65" t="str">
            <v>T_C-MHY-DSL-S1</v>
          </cell>
          <cell r="F65">
            <v>0.31274700323689503</v>
          </cell>
          <cell r="G65">
            <v>0.57160734107352806</v>
          </cell>
          <cell r="H65">
            <v>0.78368327088775902</v>
          </cell>
        </row>
        <row r="66">
          <cell r="B66" t="str">
            <v>CO2_T</v>
          </cell>
          <cell r="C66" t="str">
            <v>VAR_fout</v>
          </cell>
          <cell r="D66" t="str">
            <v>T_C-MHY-GSL-S3</v>
          </cell>
          <cell r="F66">
            <v>0.456712635709624</v>
          </cell>
          <cell r="G66">
            <v>1.206169595071573</v>
          </cell>
          <cell r="H66">
            <v>1.439526932217934</v>
          </cell>
        </row>
        <row r="67">
          <cell r="B67" t="str">
            <v>CO2_T</v>
          </cell>
          <cell r="C67" t="str">
            <v>VAR_fout</v>
          </cell>
          <cell r="D67" t="str">
            <v>T_C-MHY-DSL-S2</v>
          </cell>
          <cell r="F67">
            <v>0.296411804493034</v>
          </cell>
          <cell r="G67">
            <v>0.76687449452337597</v>
          </cell>
          <cell r="H67">
            <v>0.98678924777243004</v>
          </cell>
        </row>
        <row r="68">
          <cell r="B68" t="str">
            <v>CO2_T</v>
          </cell>
          <cell r="C68" t="str">
            <v>VAR_fout</v>
          </cell>
          <cell r="D68" t="str">
            <v>T_C-MHY-GSL-S4</v>
          </cell>
          <cell r="F68">
            <v>0.53808486304684999</v>
          </cell>
          <cell r="G68">
            <v>1.5067854801159162</v>
          </cell>
          <cell r="H68">
            <v>1.7712340731783911</v>
          </cell>
        </row>
        <row r="69">
          <cell r="B69" t="str">
            <v>CO2_T</v>
          </cell>
          <cell r="C69" t="str">
            <v>VAR_fout</v>
          </cell>
          <cell r="D69" t="str">
            <v>T_C-MHY-DSL-S3</v>
          </cell>
          <cell r="F69">
            <v>0.37182087476796299</v>
          </cell>
          <cell r="G69">
            <v>0.88750535720073798</v>
          </cell>
          <cell r="H69">
            <v>1.0536645418289581</v>
          </cell>
        </row>
        <row r="70">
          <cell r="B70" t="str">
            <v>CO2_T</v>
          </cell>
          <cell r="C70" t="str">
            <v>VAR_fout</v>
          </cell>
          <cell r="D70" t="str">
            <v>T_B_c-HYBDSL-S1</v>
          </cell>
          <cell r="F70">
            <v>1.5751141594673099</v>
          </cell>
          <cell r="G70">
            <v>1.906196197373067</v>
          </cell>
          <cell r="H70">
            <v>1.575576605956016E-2</v>
          </cell>
        </row>
        <row r="71">
          <cell r="B71" t="str">
            <v>CO2_T</v>
          </cell>
          <cell r="C71" t="str">
            <v>VAR_fout</v>
          </cell>
          <cell r="D71" t="str">
            <v>T_C-MHY-DSL-S4</v>
          </cell>
          <cell r="F71">
            <v>0.29127231288781302</v>
          </cell>
          <cell r="G71">
            <v>0.66316429566392809</v>
          </cell>
          <cell r="H71">
            <v>0.79679900769849099</v>
          </cell>
        </row>
        <row r="72">
          <cell r="B72" t="str">
            <v>CO2_T</v>
          </cell>
          <cell r="C72" t="str">
            <v>VAR_fout</v>
          </cell>
          <cell r="D72" t="str">
            <v>T_B_c-HYBDSL-S2</v>
          </cell>
          <cell r="F72">
            <v>0.206802213298168</v>
          </cell>
          <cell r="G72">
            <v>0.37488457603200598</v>
          </cell>
          <cell r="H72">
            <v>2.6939995053107957E-2</v>
          </cell>
        </row>
        <row r="73">
          <cell r="B73" t="str">
            <v>CO2_T</v>
          </cell>
          <cell r="C73" t="str">
            <v>VAR_fout</v>
          </cell>
          <cell r="D73" t="str">
            <v>T_B_c-HYBDSL-S3</v>
          </cell>
          <cell r="F73">
            <v>0.113960591784332</v>
          </cell>
          <cell r="G73">
            <v>0.2083914515819914</v>
          </cell>
          <cell r="H73">
            <v>6.4865680326531505E-2</v>
          </cell>
        </row>
        <row r="74">
          <cell r="B74" t="str">
            <v>CO2_T</v>
          </cell>
          <cell r="C74" t="str">
            <v>VAR_fout</v>
          </cell>
          <cell r="D74" t="str">
            <v>T_B_c-HYBDSL-S4</v>
          </cell>
          <cell r="F74">
            <v>3.9840710948780299E-2</v>
          </cell>
          <cell r="G74">
            <v>7.6386181334697795E-2</v>
          </cell>
          <cell r="H74">
            <v>3.2740662305095869E-2</v>
          </cell>
        </row>
        <row r="75">
          <cell r="B75" t="str">
            <v>CO2_T</v>
          </cell>
          <cell r="C75" t="str">
            <v>VAR_fout</v>
          </cell>
          <cell r="D75" t="str">
            <v>TFHGV-ICEDSLExt</v>
          </cell>
          <cell r="E75">
            <v>1405.0523126144401</v>
          </cell>
          <cell r="F75">
            <v>1141.8993864582501</v>
          </cell>
          <cell r="G75">
            <v>843.91626587571602</v>
          </cell>
          <cell r="H75">
            <v>363.51056458708501</v>
          </cell>
        </row>
        <row r="76">
          <cell r="B76" t="str">
            <v>CO2_T</v>
          </cell>
          <cell r="C76" t="str">
            <v>VAR_fout</v>
          </cell>
          <cell r="D76" t="str">
            <v>TPSHPGSLEXT</v>
          </cell>
          <cell r="E76">
            <v>129.873812963153</v>
          </cell>
          <cell r="F76">
            <v>51.446553118282601</v>
          </cell>
          <cell r="G76">
            <v>4.4320537282748704</v>
          </cell>
          <cell r="H76">
            <v>4.3985889618587404</v>
          </cell>
        </row>
        <row r="77">
          <cell r="B77" t="str">
            <v>CO2_T</v>
          </cell>
          <cell r="C77" t="str">
            <v>VAR_fout</v>
          </cell>
          <cell r="D77" t="str">
            <v>T_TW-ICEGSL-S1</v>
          </cell>
          <cell r="E77">
            <v>3.2670351869359369</v>
          </cell>
          <cell r="F77">
            <v>3.7891440337412492</v>
          </cell>
          <cell r="G77">
            <v>15.285327259128964</v>
          </cell>
          <cell r="H77">
            <v>34.050471758626351</v>
          </cell>
        </row>
        <row r="78">
          <cell r="B78" t="str">
            <v>CO2_T</v>
          </cell>
          <cell r="C78" t="str">
            <v>VAR_fout</v>
          </cell>
          <cell r="D78" t="str">
            <v>TPSHPDSLEXT</v>
          </cell>
          <cell r="E78">
            <v>1273.9831592043399</v>
          </cell>
          <cell r="F78">
            <v>1274.03475118443</v>
          </cell>
          <cell r="G78">
            <v>1246.0301606927001</v>
          </cell>
          <cell r="H78">
            <v>974.60878457224806</v>
          </cell>
        </row>
        <row r="79">
          <cell r="B79" t="str">
            <v>CO2_T</v>
          </cell>
          <cell r="C79" t="str">
            <v>VAR_fout</v>
          </cell>
          <cell r="D79" t="str">
            <v>T_TW-ICEGSL-S2</v>
          </cell>
          <cell r="E79">
            <v>4.5354458074094932</v>
          </cell>
          <cell r="F79">
            <v>8.2237044535167723</v>
          </cell>
          <cell r="G79">
            <v>7.8303268598205058</v>
          </cell>
          <cell r="H79">
            <v>6.139456060877249</v>
          </cell>
        </row>
        <row r="80">
          <cell r="B80" t="str">
            <v>CO2_T</v>
          </cell>
          <cell r="C80" t="str">
            <v>VAR_fout</v>
          </cell>
          <cell r="D80" t="str">
            <v>T_TW-ICEGSL-S3</v>
          </cell>
          <cell r="E80">
            <v>4.6545948678413342</v>
          </cell>
          <cell r="F80">
            <v>2.792859903781475</v>
          </cell>
          <cell r="G80">
            <v>2.9425022339760201</v>
          </cell>
          <cell r="H80">
            <v>2.8273326092135136</v>
          </cell>
        </row>
        <row r="81">
          <cell r="B81" t="str">
            <v>CO2_T</v>
          </cell>
          <cell r="C81" t="str">
            <v>VAR_fout</v>
          </cell>
          <cell r="D81" t="str">
            <v>T_C-ICEGSLEXT</v>
          </cell>
          <cell r="E81">
            <v>4722.2922433225003</v>
          </cell>
          <cell r="F81">
            <v>3936.6197371253902</v>
          </cell>
          <cell r="G81">
            <v>3142.65624055642</v>
          </cell>
          <cell r="H81">
            <v>967.89240731566997</v>
          </cell>
        </row>
        <row r="82">
          <cell r="B82" t="str">
            <v>CO2_T</v>
          </cell>
          <cell r="C82" t="str">
            <v>VAR_fout</v>
          </cell>
          <cell r="D82" t="str">
            <v>T_TW-ICEGSL-S4</v>
          </cell>
          <cell r="E82">
            <v>3.0645906158321168</v>
          </cell>
          <cell r="F82">
            <v>2.4163859788710123</v>
          </cell>
          <cell r="G82">
            <v>2.5641590884102534</v>
          </cell>
          <cell r="H82">
            <v>2.4359988842438791</v>
          </cell>
        </row>
        <row r="83">
          <cell r="B83" t="str">
            <v>CO2_T</v>
          </cell>
          <cell r="C83" t="str">
            <v>VAR_fout</v>
          </cell>
          <cell r="D83" t="str">
            <v>T_C-ICEDSLEXT</v>
          </cell>
          <cell r="E83">
            <v>4168.0090186930302</v>
          </cell>
          <cell r="F83">
            <v>3569.7839899390901</v>
          </cell>
          <cell r="G83">
            <v>2519.1008492471201</v>
          </cell>
          <cell r="H83">
            <v>1108.66067808456</v>
          </cell>
        </row>
        <row r="84">
          <cell r="B84" t="str">
            <v>CO2_T</v>
          </cell>
          <cell r="C84" t="str">
            <v>VAR_fout</v>
          </cell>
          <cell r="D84" t="str">
            <v>T_TW-ICEGSLEXT</v>
          </cell>
          <cell r="E84">
            <v>110.95518214881901</v>
          </cell>
          <cell r="F84">
            <v>103.272240835547</v>
          </cell>
          <cell r="G84">
            <v>70.184337389865803</v>
          </cell>
          <cell r="H84">
            <v>33.234076652798102</v>
          </cell>
        </row>
        <row r="85">
          <cell r="B85" t="str">
            <v>CO2_T</v>
          </cell>
          <cell r="C85" t="str">
            <v>VAR_fout</v>
          </cell>
          <cell r="D85" t="str">
            <v>TFLGV-ICENGA</v>
          </cell>
          <cell r="E85">
            <v>1.393826297542462</v>
          </cell>
          <cell r="F85">
            <v>1.5110679938616918</v>
          </cell>
          <cell r="G85">
            <v>1.9063093946908405</v>
          </cell>
          <cell r="H85">
            <v>0.25595120939034577</v>
          </cell>
        </row>
        <row r="86">
          <cell r="B86" t="str">
            <v>CO2_T</v>
          </cell>
          <cell r="C86" t="str">
            <v>VAR_fout</v>
          </cell>
          <cell r="D86" t="str">
            <v>T_B_c-ICENGA-S1</v>
          </cell>
          <cell r="F86">
            <v>0.110787386585197</v>
          </cell>
          <cell r="G86">
            <v>0.2208265556992727</v>
          </cell>
          <cell r="H86">
            <v>1.124604458097174E-2</v>
          </cell>
        </row>
        <row r="87">
          <cell r="B87" t="str">
            <v>CO2_T</v>
          </cell>
          <cell r="C87" t="str">
            <v>VAR_fout</v>
          </cell>
          <cell r="D87" t="str">
            <v>T_B_c-ICENGA-S2</v>
          </cell>
          <cell r="F87">
            <v>8.1218587168048098E-2</v>
          </cell>
          <cell r="G87">
            <v>0.21893952163029862</v>
          </cell>
          <cell r="H87">
            <v>1.5961794898882359E-2</v>
          </cell>
        </row>
        <row r="88">
          <cell r="B88" t="str">
            <v>CO2_T</v>
          </cell>
          <cell r="C88" t="str">
            <v>VAR_fout</v>
          </cell>
          <cell r="D88" t="str">
            <v>T_B_u-ICEDSL-S1</v>
          </cell>
          <cell r="E88">
            <v>5.8860143580549584E-2</v>
          </cell>
          <cell r="F88">
            <v>8.1895375189181507</v>
          </cell>
          <cell r="G88">
            <v>19.044907668835005</v>
          </cell>
          <cell r="H88">
            <v>1.0091964542891921E-2</v>
          </cell>
        </row>
        <row r="89">
          <cell r="B89" t="str">
            <v>CO2_T</v>
          </cell>
          <cell r="C89" t="str">
            <v>VAR_fout</v>
          </cell>
          <cell r="D89" t="str">
            <v>T_B_c-ICENGA-S3</v>
          </cell>
          <cell r="F89">
            <v>7.05283275325298E-2</v>
          </cell>
          <cell r="G89">
            <v>0.20012715306198181</v>
          </cell>
          <cell r="H89">
            <v>1.5121312599620899E-2</v>
          </cell>
        </row>
        <row r="90">
          <cell r="B90" t="str">
            <v>CO2_T</v>
          </cell>
          <cell r="C90" t="str">
            <v>VAR_fout</v>
          </cell>
          <cell r="D90" t="str">
            <v>T_B_u-ICEDSL-S2</v>
          </cell>
          <cell r="E90">
            <v>7.4807299944246504</v>
          </cell>
          <cell r="F90">
            <v>8.2095989869952213</v>
          </cell>
          <cell r="G90">
            <v>11.932413284119193</v>
          </cell>
          <cell r="H90">
            <v>6.7367896056592644E-2</v>
          </cell>
        </row>
        <row r="91">
          <cell r="B91" t="str">
            <v>CO2_T</v>
          </cell>
          <cell r="C91" t="str">
            <v>VAR_fout</v>
          </cell>
          <cell r="D91" t="str">
            <v>T_B_c-ICENGA-S4</v>
          </cell>
          <cell r="F91">
            <v>2.6729202998897701E-2</v>
          </cell>
          <cell r="G91">
            <v>7.0659600606572698E-2</v>
          </cell>
          <cell r="H91">
            <v>2.2357174850516089E-2</v>
          </cell>
        </row>
        <row r="92">
          <cell r="B92" t="str">
            <v>CO2_T</v>
          </cell>
          <cell r="C92" t="str">
            <v>VAR_fout</v>
          </cell>
          <cell r="D92" t="str">
            <v>T_B_u-ICEDSL-S3</v>
          </cell>
          <cell r="E92">
            <v>45.299253093273492</v>
          </cell>
          <cell r="F92">
            <v>63.898668878553835</v>
          </cell>
          <cell r="G92">
            <v>110.46359536645299</v>
          </cell>
          <cell r="H92">
            <v>9.04404350153203E-2</v>
          </cell>
        </row>
        <row r="93">
          <cell r="B93" t="str">
            <v>CO2_T</v>
          </cell>
          <cell r="C93" t="str">
            <v>VAR_fout</v>
          </cell>
          <cell r="D93" t="str">
            <v>T_B_u-ICEDSL-S4</v>
          </cell>
          <cell r="E93">
            <v>1.1318876772878821</v>
          </cell>
          <cell r="F93">
            <v>0.2884424084069413</v>
          </cell>
          <cell r="G93">
            <v>0.49084327192584087</v>
          </cell>
          <cell r="H93">
            <v>7.591504480191559E-2</v>
          </cell>
        </row>
        <row r="94">
          <cell r="B94" t="str">
            <v>CO2_T</v>
          </cell>
          <cell r="C94" t="str">
            <v>VAR_fout</v>
          </cell>
          <cell r="D94" t="str">
            <v>T_B_c-ICENGAEXT</v>
          </cell>
          <cell r="E94">
            <v>1.00679151797333E-2</v>
          </cell>
          <cell r="F94">
            <v>9.1708866803655795E-3</v>
          </cell>
          <cell r="G94">
            <v>8.9167855403469599E-3</v>
          </cell>
        </row>
        <row r="95">
          <cell r="B95" t="str">
            <v>CO2_T</v>
          </cell>
          <cell r="C95" t="str">
            <v>VAR_fout</v>
          </cell>
          <cell r="D95" t="str">
            <v>T_B_u-ICEDSLEXT</v>
          </cell>
          <cell r="E95">
            <v>1.26981517733958</v>
          </cell>
          <cell r="F95">
            <v>1.2687951942556699</v>
          </cell>
          <cell r="G95">
            <v>1.26114876922759</v>
          </cell>
        </row>
        <row r="96">
          <cell r="B96" t="str">
            <v>CO2_T</v>
          </cell>
          <cell r="C96" t="str">
            <v>VAR_fout</v>
          </cell>
          <cell r="D96" t="str">
            <v>T_C-HYBGSLEXT</v>
          </cell>
          <cell r="E96">
            <v>92.556053785637005</v>
          </cell>
          <cell r="F96">
            <v>91.725909116649802</v>
          </cell>
          <cell r="G96">
            <v>68.259732407313805</v>
          </cell>
          <cell r="H96">
            <v>32.3939979993592</v>
          </cell>
        </row>
        <row r="97">
          <cell r="B97" t="str">
            <v>CO2_T</v>
          </cell>
          <cell r="C97" t="str">
            <v>VAR_fout</v>
          </cell>
          <cell r="D97" t="str">
            <v>TPAVDKEREXT</v>
          </cell>
          <cell r="E97">
            <v>79.576349423418094</v>
          </cell>
          <cell r="F97">
            <v>100.796237247683</v>
          </cell>
          <cell r="G97">
            <v>132.626068984081</v>
          </cell>
          <cell r="H97">
            <v>185.675788544743</v>
          </cell>
        </row>
        <row r="98">
          <cell r="B98" t="str">
            <v>CO2_T</v>
          </cell>
          <cell r="C98" t="str">
            <v>VAR_fout</v>
          </cell>
          <cell r="D98" t="str">
            <v>T_C-ICE-GSL-S1</v>
          </cell>
          <cell r="E98">
            <v>26.12483910510224</v>
          </cell>
          <cell r="F98">
            <v>43.791252335697102</v>
          </cell>
          <cell r="G98">
            <v>98.429377925854851</v>
          </cell>
          <cell r="H98">
            <v>83.69578791211805</v>
          </cell>
        </row>
        <row r="99">
          <cell r="B99" t="str">
            <v>CO2_T</v>
          </cell>
          <cell r="C99" t="str">
            <v>VAR_fout</v>
          </cell>
          <cell r="D99" t="str">
            <v>TFLGV-ICEGSL</v>
          </cell>
          <cell r="E99">
            <v>22.947561675901468</v>
          </cell>
          <cell r="F99">
            <v>54.943244819941455</v>
          </cell>
          <cell r="G99">
            <v>72.137473187449928</v>
          </cell>
          <cell r="H99">
            <v>111.1980541716658</v>
          </cell>
        </row>
        <row r="100">
          <cell r="B100" t="str">
            <v>CO2_T</v>
          </cell>
          <cell r="C100" t="str">
            <v>VAR_fout</v>
          </cell>
          <cell r="D100" t="str">
            <v>T_C-ICE-GSL-S2</v>
          </cell>
          <cell r="E100">
            <v>252.8305676103414</v>
          </cell>
          <cell r="F100">
            <v>392.53532249593826</v>
          </cell>
          <cell r="G100">
            <v>437.96411115372973</v>
          </cell>
          <cell r="H100">
            <v>349.71177961065416</v>
          </cell>
        </row>
        <row r="101">
          <cell r="B101" t="str">
            <v>CO2_T</v>
          </cell>
          <cell r="C101" t="str">
            <v>VAR_fout</v>
          </cell>
          <cell r="D101" t="str">
            <v>T_C-ICE-DSL-S1</v>
          </cell>
          <cell r="E101">
            <v>0.37483022668619692</v>
          </cell>
          <cell r="F101">
            <v>1.3725502317487452</v>
          </cell>
          <cell r="G101">
            <v>1.5237323505547193</v>
          </cell>
          <cell r="H101">
            <v>1.5185178970417148</v>
          </cell>
        </row>
        <row r="102">
          <cell r="B102" t="str">
            <v>CO2_T</v>
          </cell>
          <cell r="C102" t="str">
            <v>VAR_fout</v>
          </cell>
          <cell r="D102" t="str">
            <v>T_C-ICE-GSL-S3</v>
          </cell>
          <cell r="E102">
            <v>265.53418536709137</v>
          </cell>
          <cell r="F102">
            <v>425.34222282605191</v>
          </cell>
          <cell r="G102">
            <v>432.73280030182559</v>
          </cell>
          <cell r="H102">
            <v>350.21597632863876</v>
          </cell>
        </row>
        <row r="103">
          <cell r="B103" t="str">
            <v>CO2_T</v>
          </cell>
          <cell r="C103" t="str">
            <v>VAR_fout</v>
          </cell>
          <cell r="D103" t="str">
            <v>T_C-ICE-DSL-S2</v>
          </cell>
          <cell r="E103">
            <v>68.57667661432356</v>
          </cell>
          <cell r="F103">
            <v>94.455242867457784</v>
          </cell>
          <cell r="G103">
            <v>80.465530030476941</v>
          </cell>
          <cell r="H103">
            <v>62.550269311174603</v>
          </cell>
        </row>
        <row r="104">
          <cell r="B104" t="str">
            <v>CO2_T</v>
          </cell>
          <cell r="C104" t="str">
            <v>VAR_fout</v>
          </cell>
          <cell r="D104" t="str">
            <v>T_C-ICE-GSL-S4</v>
          </cell>
          <cell r="E104">
            <v>237.89810636298449</v>
          </cell>
          <cell r="F104">
            <v>388.71624874622523</v>
          </cell>
          <cell r="G104">
            <v>746.18548330442559</v>
          </cell>
          <cell r="H104">
            <v>623.71040915035371</v>
          </cell>
        </row>
        <row r="105">
          <cell r="B105" t="str">
            <v>CO2_T</v>
          </cell>
          <cell r="C105" t="str">
            <v>VAR_fout</v>
          </cell>
          <cell r="D105" t="str">
            <v>T_C-ICE-DSL-S3</v>
          </cell>
          <cell r="E105">
            <v>295.21853723086258</v>
          </cell>
          <cell r="F105">
            <v>390.78809297073803</v>
          </cell>
          <cell r="G105">
            <v>387.22916076918648</v>
          </cell>
          <cell r="H105">
            <v>296.07135886289245</v>
          </cell>
        </row>
        <row r="106">
          <cell r="B106" t="str">
            <v>CO2_T</v>
          </cell>
          <cell r="C106" t="str">
            <v>VAR_fout</v>
          </cell>
          <cell r="D106" t="str">
            <v>T_C-ICE-DSL-S4</v>
          </cell>
          <cell r="E106">
            <v>141.43646494174243</v>
          </cell>
          <cell r="F106">
            <v>162.01677293865094</v>
          </cell>
          <cell r="G106">
            <v>158.49246882834788</v>
          </cell>
          <cell r="H106">
            <v>113.20084392673149</v>
          </cell>
        </row>
        <row r="107">
          <cell r="B107" t="str">
            <v>CO2_T</v>
          </cell>
          <cell r="C107" t="str">
            <v>VAR_fout</v>
          </cell>
          <cell r="D107" t="str">
            <v>TFLGV-ICENGAExt</v>
          </cell>
          <cell r="E107">
            <v>5.88847323054725</v>
          </cell>
          <cell r="F107">
            <v>1.8838523326667</v>
          </cell>
          <cell r="G107">
            <v>3.8802355617351298</v>
          </cell>
          <cell r="H107">
            <v>4.7829386770683401E-2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T_B_u-HYBDSL-S1</v>
          </cell>
          <cell r="F108">
            <v>3.1055704091171799</v>
          </cell>
          <cell r="G108">
            <v>3.726566416103851</v>
          </cell>
          <cell r="H108">
            <v>7.8315909230899892E-3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T_B_u-HYBDSL-S2</v>
          </cell>
          <cell r="F109">
            <v>0.20753431178179499</v>
          </cell>
          <cell r="G109">
            <v>0.45230932635329602</v>
          </cell>
          <cell r="H109">
            <v>1.414863422235894E-2</v>
          </cell>
        </row>
        <row r="110">
          <cell r="B110" t="str">
            <v>CO2_T</v>
          </cell>
          <cell r="C110" t="str">
            <v>VAR_fout</v>
          </cell>
          <cell r="D110" t="str">
            <v>T_B_u-HYBDSL-S3</v>
          </cell>
          <cell r="F110">
            <v>0.38496293837481399</v>
          </cell>
          <cell r="G110">
            <v>0.65407807934547002</v>
          </cell>
          <cell r="H110">
            <v>3.7328529399021801E-2</v>
          </cell>
        </row>
        <row r="111">
          <cell r="B111" t="str">
            <v>CO2_T</v>
          </cell>
          <cell r="C111" t="str">
            <v>VAR_fout</v>
          </cell>
          <cell r="D111" t="str">
            <v>T_C-HY-GSL-S1</v>
          </cell>
          <cell r="E111">
            <v>2.5507105651720612</v>
          </cell>
          <cell r="F111">
            <v>5.0553019093407485</v>
          </cell>
          <cell r="G111">
            <v>3.9607967592563544</v>
          </cell>
          <cell r="H111">
            <v>3.7180504720302556</v>
          </cell>
        </row>
        <row r="112">
          <cell r="B112" t="str">
            <v>CO2_T</v>
          </cell>
          <cell r="C112" t="str">
            <v>VAR_fout</v>
          </cell>
          <cell r="D112" t="str">
            <v>T_B_u-HYBDSL-S4</v>
          </cell>
          <cell r="F112">
            <v>3.2601310840496202E-2</v>
          </cell>
          <cell r="G112">
            <v>6.6536969565303097E-2</v>
          </cell>
          <cell r="H112">
            <v>3.0146236350770218E-2</v>
          </cell>
        </row>
        <row r="113">
          <cell r="B113" t="str">
            <v>CO2_T</v>
          </cell>
          <cell r="C113" t="str">
            <v>VAR_fout</v>
          </cell>
          <cell r="D113" t="str">
            <v>TFRLFDSLEXT</v>
          </cell>
          <cell r="E113">
            <v>29.026716115673601</v>
          </cell>
          <cell r="F113">
            <v>20.483210323469301</v>
          </cell>
          <cell r="G113">
            <v>0.85506496382361696</v>
          </cell>
          <cell r="H113">
            <v>0.36886879476187701</v>
          </cell>
        </row>
        <row r="114">
          <cell r="B114" t="str">
            <v>CO2_T</v>
          </cell>
          <cell r="C114" t="str">
            <v>VAR_fout</v>
          </cell>
          <cell r="D114" t="str">
            <v>T_C-HY-GSL-S2</v>
          </cell>
          <cell r="E114">
            <v>7.8758017260258635</v>
          </cell>
          <cell r="F114">
            <v>19.319706839918503</v>
          </cell>
          <cell r="G114">
            <v>67.02440692353872</v>
          </cell>
          <cell r="H114">
            <v>58.411773174246413</v>
          </cell>
        </row>
        <row r="115">
          <cell r="B115" t="str">
            <v>CO2_T</v>
          </cell>
          <cell r="C115" t="str">
            <v>VAR_fout</v>
          </cell>
          <cell r="D115" t="str">
            <v>T_C-HY-DSL-S1</v>
          </cell>
          <cell r="E115">
            <v>4.2154000266483001E-3</v>
          </cell>
          <cell r="F115">
            <v>8.2744164300961209</v>
          </cell>
          <cell r="G115">
            <v>5.8854333316666994</v>
          </cell>
          <cell r="H115">
            <v>5.0410692915509312</v>
          </cell>
        </row>
        <row r="116">
          <cell r="B116" t="str">
            <v>CO2_T</v>
          </cell>
          <cell r="C116" t="str">
            <v>VAR_fout</v>
          </cell>
          <cell r="D116" t="str">
            <v>T_C-HY-GSL-S3</v>
          </cell>
          <cell r="E116">
            <v>5.7849252459188012</v>
          </cell>
          <cell r="F116">
            <v>82.522951586854902</v>
          </cell>
          <cell r="G116">
            <v>78.447837244217652</v>
          </cell>
          <cell r="H116">
            <v>63.079183031480177</v>
          </cell>
        </row>
        <row r="117">
          <cell r="B117" t="str">
            <v>CO2_T</v>
          </cell>
          <cell r="C117" t="str">
            <v>VAR_fout</v>
          </cell>
          <cell r="D117" t="str">
            <v>T_C-HY-DSL-S2</v>
          </cell>
          <cell r="E117">
            <v>0.19512465421411845</v>
          </cell>
          <cell r="F117">
            <v>39.946027433318356</v>
          </cell>
          <cell r="G117">
            <v>94.579730406588453</v>
          </cell>
          <cell r="H117">
            <v>80.581238116321757</v>
          </cell>
        </row>
        <row r="118">
          <cell r="B118" t="str">
            <v>CO2_T</v>
          </cell>
          <cell r="C118" t="str">
            <v>VAR_fout</v>
          </cell>
          <cell r="D118" t="str">
            <v>T_C-HY-GSL-S4</v>
          </cell>
          <cell r="E118">
            <v>4.9511879048838736</v>
          </cell>
          <cell r="F118">
            <v>10.765871482885698</v>
          </cell>
          <cell r="G118">
            <v>10.659353892153838</v>
          </cell>
          <cell r="H118">
            <v>9.2609936373240966</v>
          </cell>
        </row>
        <row r="119">
          <cell r="B119" t="str">
            <v>CO2_T</v>
          </cell>
          <cell r="C119" t="str">
            <v>VAR_fout</v>
          </cell>
          <cell r="D119" t="str">
            <v>T_C-HY-DSL-S3</v>
          </cell>
          <cell r="E119">
            <v>1.9522711923999618</v>
          </cell>
          <cell r="F119">
            <v>4.1191424159658796</v>
          </cell>
          <cell r="G119">
            <v>4.3534937391531878</v>
          </cell>
          <cell r="H119">
            <v>3.5541183038370336</v>
          </cell>
        </row>
        <row r="120">
          <cell r="B120" t="str">
            <v>CO2_T</v>
          </cell>
          <cell r="C120" t="str">
            <v>VAR_fout</v>
          </cell>
          <cell r="D120" t="str">
            <v>T_C-HY-DSL-S4</v>
          </cell>
          <cell r="E120">
            <v>2.5374087406296995</v>
          </cell>
          <cell r="F120">
            <v>6.2317848109691596</v>
          </cell>
          <cell r="G120">
            <v>6.367453345063204</v>
          </cell>
          <cell r="H120">
            <v>5.4492238230556902</v>
          </cell>
        </row>
        <row r="121">
          <cell r="B121" t="str">
            <v>CO2_T</v>
          </cell>
          <cell r="C121" t="str">
            <v>VAR_fout</v>
          </cell>
          <cell r="D121" t="str">
            <v>TFHGV-HYBDSL</v>
          </cell>
          <cell r="F121">
            <v>75.893807173010103</v>
          </cell>
          <cell r="G121">
            <v>296.60628176182621</v>
          </cell>
          <cell r="H121">
            <v>477.9291488060793</v>
          </cell>
        </row>
        <row r="122">
          <cell r="B122" t="str">
            <v>CO2_T</v>
          </cell>
          <cell r="C122" t="str">
            <v>VAR_fout</v>
          </cell>
          <cell r="D122" t="str">
            <v>TFHGV-ICEDSL</v>
          </cell>
          <cell r="E122">
            <v>384.86666634953951</v>
          </cell>
          <cell r="F122">
            <v>452.00256682669442</v>
          </cell>
          <cell r="G122">
            <v>352.43778071494603</v>
          </cell>
          <cell r="H122">
            <v>33.483649855798589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T-Plg-DSL-mix_S1</v>
          </cell>
          <cell r="E123">
            <v>2.34960356224573E-3</v>
          </cell>
          <cell r="F123">
            <v>0.94459008152490198</v>
          </cell>
          <cell r="G123">
            <v>1.1562659635163846</v>
          </cell>
          <cell r="H123">
            <v>3.22613520307516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T-Plg-DSL-mix_S2</v>
          </cell>
          <cell r="E124">
            <v>1.23236206896945E-2</v>
          </cell>
          <cell r="F124">
            <v>0.96494733154429602</v>
          </cell>
          <cell r="G124">
            <v>2.5520655455328871</v>
          </cell>
          <cell r="H124">
            <v>6.9513173000178803</v>
          </cell>
        </row>
        <row r="125">
          <cell r="B125" t="str">
            <v>CO2_T</v>
          </cell>
          <cell r="C125" t="str">
            <v>VAR_fout</v>
          </cell>
          <cell r="D125" t="str">
            <v>T-Plg-DSL-mix_S3</v>
          </cell>
          <cell r="E125">
            <v>2.9122601479595799E-2</v>
          </cell>
          <cell r="F125">
            <v>18.73742560744968</v>
          </cell>
          <cell r="G125">
            <v>90.663312028853795</v>
          </cell>
          <cell r="H125">
            <v>328.32024175676827</v>
          </cell>
        </row>
        <row r="126">
          <cell r="B126" t="str">
            <v>CO2_T</v>
          </cell>
          <cell r="C126" t="str">
            <v>VAR_fout</v>
          </cell>
          <cell r="D126" t="str">
            <v>T_B_c-ICEDSL-S1</v>
          </cell>
          <cell r="E126">
            <v>8.2264059703589307</v>
          </cell>
          <cell r="F126">
            <v>19.622518966648329</v>
          </cell>
          <cell r="G126">
            <v>23.215336732130648</v>
          </cell>
          <cell r="H126">
            <v>1.5296167805642929E-2</v>
          </cell>
        </row>
        <row r="127">
          <cell r="B127" t="str">
            <v>CO2_T</v>
          </cell>
          <cell r="C127" t="str">
            <v>VAR_fout</v>
          </cell>
          <cell r="D127" t="str">
            <v>T-Plg-DSL-mix_S4</v>
          </cell>
          <cell r="E127">
            <v>0.438876093241377</v>
          </cell>
          <cell r="F127">
            <v>6.1933312912671301</v>
          </cell>
          <cell r="G127">
            <v>10.04828492645834</v>
          </cell>
          <cell r="H127">
            <v>13.803036567078692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T_B_c-ICEDSL-S2</v>
          </cell>
          <cell r="E128">
            <v>37.840426845118699</v>
          </cell>
          <cell r="F128">
            <v>27.87765377022966</v>
          </cell>
          <cell r="G128">
            <v>33.840131454701805</v>
          </cell>
          <cell r="H128">
            <v>2.7896746463353491E-2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T_B_c-ICEDSL-S3</v>
          </cell>
          <cell r="E129">
            <v>10.82877213496381</v>
          </cell>
          <cell r="F129">
            <v>8.6158344628404659</v>
          </cell>
          <cell r="G129">
            <v>10.260819385504613</v>
          </cell>
          <cell r="H129">
            <v>1.184703320279433E-2</v>
          </cell>
        </row>
        <row r="130">
          <cell r="B130" t="str">
            <v>CO2_T</v>
          </cell>
          <cell r="C130" t="str">
            <v>VAR_fout</v>
          </cell>
          <cell r="D130" t="str">
            <v>T_B_c-ICEDSL-S4</v>
          </cell>
          <cell r="E130">
            <v>2.6204502934938647</v>
          </cell>
          <cell r="F130">
            <v>0.34860402859745165</v>
          </cell>
          <cell r="G130">
            <v>0.49593055514163686</v>
          </cell>
          <cell r="H130">
            <v>4.774615229047291E-2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T_B_u-ICENGA-S1</v>
          </cell>
          <cell r="F131">
            <v>0.13412595369375799</v>
          </cell>
          <cell r="G131">
            <v>0.28755034179832101</v>
          </cell>
          <cell r="H131">
            <v>2.9792238403456552E-2</v>
          </cell>
        </row>
        <row r="132">
          <cell r="B132" t="str">
            <v>CO2_T</v>
          </cell>
          <cell r="C132" t="str">
            <v>VAR_fout</v>
          </cell>
          <cell r="D132" t="str">
            <v>T_B_u-ICENGA-S2</v>
          </cell>
          <cell r="F132">
            <v>8.2614091879356893E-2</v>
          </cell>
          <cell r="G132">
            <v>0.293757872770194</v>
          </cell>
          <cell r="H132">
            <v>3.5957981924027001E-2</v>
          </cell>
        </row>
        <row r="133">
          <cell r="B133" t="str">
            <v>CO2_T</v>
          </cell>
          <cell r="C133" t="str">
            <v>VAR_fout</v>
          </cell>
          <cell r="D133" t="str">
            <v>T_B_c-ICEDSLEXT</v>
          </cell>
          <cell r="E133">
            <v>0.44429367441163797</v>
          </cell>
          <cell r="F133">
            <v>0.441711829193707</v>
          </cell>
          <cell r="G133">
            <v>0.43407115383775102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T_B_u-ICENGA-S3</v>
          </cell>
          <cell r="F134">
            <v>0.12045274774294</v>
          </cell>
          <cell r="G134">
            <v>0.722664449632068</v>
          </cell>
          <cell r="H134">
            <v>6.6189740758268806E-2</v>
          </cell>
        </row>
        <row r="135">
          <cell r="B135" t="str">
            <v>CO2_T</v>
          </cell>
          <cell r="C135" t="str">
            <v>VAR_fout</v>
          </cell>
          <cell r="D135" t="str">
            <v>T_B_u-ICENGA-S4</v>
          </cell>
          <cell r="F135">
            <v>2.8830232576250201E-2</v>
          </cell>
          <cell r="G135">
            <v>8.2350217687518407E-2</v>
          </cell>
          <cell r="H135">
            <v>5.6572224205277397E-2</v>
          </cell>
        </row>
        <row r="136">
          <cell r="B136" t="str">
            <v>CO2_T</v>
          </cell>
          <cell r="C136" t="str">
            <v>VAR_comnet</v>
          </cell>
          <cell r="D136" t="str">
            <v>-</v>
          </cell>
          <cell r="E136">
            <v>15099.0356683437</v>
          </cell>
          <cell r="F136">
            <v>14308.2565138174</v>
          </cell>
          <cell r="G136">
            <v>12831.515767578599</v>
          </cell>
          <cell r="H136">
            <v>7798.0604555549799</v>
          </cell>
        </row>
        <row r="137">
          <cell r="B137" t="str">
            <v>CO2</v>
          </cell>
          <cell r="C137" t="str">
            <v>VAR_fout</v>
          </cell>
          <cell r="D137" t="str">
            <v>EWSTINCCS</v>
          </cell>
        </row>
        <row r="138">
          <cell r="B138" t="str">
            <v>CO2</v>
          </cell>
          <cell r="C138" t="str">
            <v>VAR_fout</v>
          </cell>
          <cell r="D138" t="str">
            <v>othGHG</v>
          </cell>
          <cell r="E138">
            <v>9468.5879275113693</v>
          </cell>
          <cell r="F138">
            <v>9851.0963951663998</v>
          </cell>
          <cell r="G138">
            <v>10233.604862821499</v>
          </cell>
          <cell r="H138">
            <v>8055.6662239788302</v>
          </cell>
        </row>
        <row r="139">
          <cell r="B139" t="str">
            <v>CO2</v>
          </cell>
          <cell r="C139" t="str">
            <v>VAR_fout</v>
          </cell>
          <cell r="D139" t="str">
            <v>D-ICOA</v>
          </cell>
          <cell r="E139">
            <v>330.02658735060299</v>
          </cell>
          <cell r="F139">
            <v>321.18270595241898</v>
          </cell>
          <cell r="G139">
            <v>11.9573925599205</v>
          </cell>
          <cell r="H139">
            <v>0.40629794383935502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  <cell r="E141">
            <v>328.63595314250398</v>
          </cell>
          <cell r="F141">
            <v>51.047710713935899</v>
          </cell>
          <cell r="G141">
            <v>21.034566130106199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E142">
            <v>696.84428324072303</v>
          </cell>
          <cell r="F142">
            <v>659.57888989984804</v>
          </cell>
          <cell r="G142">
            <v>657.33725117208303</v>
          </cell>
          <cell r="H142">
            <v>529.46975774415296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E145">
            <v>8934.8483903432807</v>
          </cell>
          <cell r="F145">
            <v>8259.86546306114</v>
          </cell>
          <cell r="G145">
            <v>6998.8545337887799</v>
          </cell>
          <cell r="H145">
            <v>4163.9431963346597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E146">
            <v>2089.34680048464</v>
          </cell>
          <cell r="F146">
            <v>2111.0131698740802</v>
          </cell>
          <cell r="G146">
            <v>2102.26947106126</v>
          </cell>
          <cell r="H146">
            <v>2093.6594329631698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E147">
            <v>44.153714761044498</v>
          </cell>
          <cell r="F147">
            <v>61.537609016576504</v>
          </cell>
          <cell r="G147">
            <v>18.111183183440499</v>
          </cell>
          <cell r="H147">
            <v>3.5747100357366399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E148">
            <v>15.3266526020894</v>
          </cell>
          <cell r="F148">
            <v>10.8603436332081</v>
          </cell>
          <cell r="G148">
            <v>14.877501349025</v>
          </cell>
          <cell r="H148">
            <v>3.4697702695636101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E149">
            <v>1537.95890866073</v>
          </cell>
          <cell r="F149">
            <v>1510.5078021797899</v>
          </cell>
          <cell r="G149">
            <v>1402.0948018409699</v>
          </cell>
          <cell r="H149">
            <v>1097.7432635274099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H150">
            <v>-1380.20430105986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E151">
            <v>2686.29232035222</v>
          </cell>
          <cell r="F151">
            <v>2605.0618149319198</v>
          </cell>
          <cell r="G151">
            <v>2636.0764012387099</v>
          </cell>
          <cell r="H151">
            <v>2157.9838635814299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E152">
            <v>213.79241210908199</v>
          </cell>
          <cell r="F152">
            <v>212.85628720739001</v>
          </cell>
          <cell r="G152">
            <v>3.7172709845761398</v>
          </cell>
          <cell r="H152">
            <v>0.355862195401279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E153">
            <v>2267.7920244305801</v>
          </cell>
          <cell r="F153">
            <v>1933.6967713973099</v>
          </cell>
          <cell r="G153">
            <v>1957.23968949714</v>
          </cell>
          <cell r="H153">
            <v>1160.40081782383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  <cell r="E154">
            <v>9.2728601039877496</v>
          </cell>
          <cell r="F154">
            <v>9.2711067197275501</v>
          </cell>
          <cell r="G154">
            <v>2.5001913696749498</v>
          </cell>
          <cell r="H154">
            <v>2.2053707618221001E-2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E156">
            <v>4514.5291404127502</v>
          </cell>
          <cell r="F156">
            <v>3846.57266256306</v>
          </cell>
          <cell r="G156">
            <v>3706.0219843080899</v>
          </cell>
          <cell r="H156">
            <v>1823.5811585651199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E157">
            <v>5712.4206332185204</v>
          </cell>
          <cell r="F157">
            <v>5582.94396286557</v>
          </cell>
          <cell r="G157">
            <v>5234.5709407476897</v>
          </cell>
          <cell r="H157">
            <v>3031.9167797288701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E160">
            <v>1068.1467514154299</v>
          </cell>
          <cell r="F160">
            <v>1114.5279192180899</v>
          </cell>
          <cell r="G160">
            <v>1024.64874575832</v>
          </cell>
          <cell r="H160">
            <v>1085.2835714412199</v>
          </cell>
        </row>
        <row r="161">
          <cell r="B161" t="str">
            <v>CO2</v>
          </cell>
          <cell r="C161" t="str">
            <v>VAR_fout</v>
          </cell>
          <cell r="D161" t="str">
            <v>SUP_NGAH2CCS</v>
          </cell>
        </row>
        <row r="162">
          <cell r="B162" t="str">
            <v>CO2</v>
          </cell>
          <cell r="C162" t="str">
            <v>VAR_fout</v>
          </cell>
          <cell r="D162" t="str">
            <v>D-TKER</v>
          </cell>
          <cell r="E162">
            <v>80.762820585747406</v>
          </cell>
          <cell r="F162">
            <v>102.218636272818</v>
          </cell>
          <cell r="G162">
            <v>133.09863280012999</v>
          </cell>
          <cell r="H162">
            <v>178.052048756803</v>
          </cell>
        </row>
        <row r="163">
          <cell r="B163" t="str">
            <v>CO2</v>
          </cell>
          <cell r="C163" t="str">
            <v>VAR_fout</v>
          </cell>
          <cell r="D163" t="str">
            <v>D-INGA</v>
          </cell>
          <cell r="E163">
            <v>2112.5202690565902</v>
          </cell>
          <cell r="F163">
            <v>1841.5167163055601</v>
          </cell>
          <cell r="G163">
            <v>1915.4340317082499</v>
          </cell>
          <cell r="H163">
            <v>1172.48043042719</v>
          </cell>
        </row>
        <row r="164">
          <cell r="B164" t="str">
            <v>CO2</v>
          </cell>
          <cell r="C164" t="str">
            <v>VAR_fout</v>
          </cell>
          <cell r="D164" t="str">
            <v>SUP_DAC</v>
          </cell>
        </row>
        <row r="165">
          <cell r="B165" t="str">
            <v>CO2</v>
          </cell>
          <cell r="C165" t="str">
            <v>VAR_fout</v>
          </cell>
          <cell r="D165" t="str">
            <v>D-EWST</v>
          </cell>
          <cell r="E165">
            <v>2266.28862065257</v>
          </cell>
          <cell r="F165">
            <v>2237.5566307754402</v>
          </cell>
          <cell r="G165">
            <v>2312.7769545096098</v>
          </cell>
          <cell r="H165">
            <v>2351.3595117988698</v>
          </cell>
        </row>
        <row r="166">
          <cell r="B166" t="str">
            <v>CO2</v>
          </cell>
          <cell r="C166" t="str">
            <v>VAR_comnet</v>
          </cell>
          <cell r="D166" t="str">
            <v>-</v>
          </cell>
          <cell r="E166">
            <v>44377.547070434397</v>
          </cell>
          <cell r="F166">
            <v>42322.912597754301</v>
          </cell>
          <cell r="G166">
            <v>40386.226406829199</v>
          </cell>
          <cell r="H166">
            <v>27529.164449763801</v>
          </cell>
        </row>
        <row r="167">
          <cell r="B167" t="str">
            <v>CO2</v>
          </cell>
          <cell r="C167" t="str">
            <v>EQ_combalM</v>
          </cell>
          <cell r="D167" t="str">
            <v>-</v>
          </cell>
          <cell r="H167">
            <v>-6.7248429304571103E-2</v>
          </cell>
        </row>
        <row r="168">
          <cell r="B168" t="str">
            <v>CO2_X</v>
          </cell>
          <cell r="C168" t="str">
            <v>VAR_fout</v>
          </cell>
          <cell r="D168" t="str">
            <v>D-CO2_O</v>
          </cell>
        </row>
        <row r="169">
          <cell r="B169" t="str">
            <v>CO2_X</v>
          </cell>
          <cell r="C169" t="str">
            <v>VAR_fin</v>
          </cell>
          <cell r="D169" t="str">
            <v>CO2EXP</v>
          </cell>
        </row>
        <row r="170">
          <cell r="B170" t="str">
            <v>CO2_X</v>
          </cell>
          <cell r="C170" t="str">
            <v>EQ_combalM</v>
          </cell>
          <cell r="D170" t="str">
            <v>-</v>
          </cell>
        </row>
        <row r="171">
          <cell r="B171" t="str">
            <v>CO2seq</v>
          </cell>
          <cell r="C171" t="str">
            <v>VAR_fout</v>
          </cell>
          <cell r="D171" t="str">
            <v>CO2SINK</v>
          </cell>
        </row>
        <row r="172">
          <cell r="B172" t="str">
            <v>CO2seq</v>
          </cell>
          <cell r="C172" t="str">
            <v>VAR_comnet</v>
          </cell>
          <cell r="D172" t="str">
            <v>-</v>
          </cell>
        </row>
        <row r="173">
          <cell r="B173" t="str">
            <v>CO2_SECTOR</v>
          </cell>
          <cell r="C173" t="str">
            <v>VAR_fout</v>
          </cell>
          <cell r="D173" t="str">
            <v>CO2_IND</v>
          </cell>
          <cell r="E173">
            <v>6510.6771036570663</v>
          </cell>
          <cell r="F173">
            <v>6260.6756884573924</v>
          </cell>
          <cell r="G173">
            <v>5715.3641632444132</v>
          </cell>
          <cell r="H173">
            <v>4881.655352714979</v>
          </cell>
        </row>
        <row r="174">
          <cell r="B174" t="str">
            <v>CO2_SECTOR</v>
          </cell>
          <cell r="C174" t="str">
            <v>VAR_fout</v>
          </cell>
          <cell r="D174" t="str">
            <v>CO2_RES</v>
          </cell>
          <cell r="E174">
            <v>7210.0943208689587</v>
          </cell>
          <cell r="F174">
            <v>6460.9055842147091</v>
          </cell>
          <cell r="G174">
            <v>6344.5985769164654</v>
          </cell>
          <cell r="H174">
            <v>3981.587075854176</v>
          </cell>
        </row>
        <row r="175">
          <cell r="B175" t="str">
            <v>CO2_SECTOR</v>
          </cell>
          <cell r="C175" t="str">
            <v>VAR_fout</v>
          </cell>
          <cell r="D175" t="str">
            <v>CO2_TRA</v>
          </cell>
          <cell r="E175">
            <v>14742.171597880031</v>
          </cell>
          <cell r="F175">
            <v>13954.386190048735</v>
          </cell>
          <cell r="G175">
            <v>12379.445577238592</v>
          </cell>
          <cell r="H175">
            <v>7374.7651235340018</v>
          </cell>
        </row>
        <row r="176">
          <cell r="B176" t="str">
            <v>CO2_SECTOR</v>
          </cell>
          <cell r="C176" t="str">
            <v>VAR_fout</v>
          </cell>
          <cell r="D176" t="str">
            <v>CO2_ELC</v>
          </cell>
          <cell r="E176">
            <v>2639.0782885561216</v>
          </cell>
          <cell r="F176">
            <v>2350.1419505059489</v>
          </cell>
          <cell r="G176">
            <v>2351.9227038231575</v>
          </cell>
          <cell r="H176">
            <v>2354.934221834606</v>
          </cell>
        </row>
        <row r="177">
          <cell r="B177" t="str">
            <v>CO2_SECTOR</v>
          </cell>
          <cell r="C177" t="str">
            <v>VAR_fout</v>
          </cell>
          <cell r="D177" t="str">
            <v>CO2_SER</v>
          </cell>
          <cell r="E177">
            <v>3805.7509330913113</v>
          </cell>
          <cell r="F177">
            <v>3444.2045735770989</v>
          </cell>
          <cell r="G177">
            <v>3359.3344913381002</v>
          </cell>
          <cell r="H177">
            <v>2258.1440813512399</v>
          </cell>
        </row>
        <row r="178">
          <cell r="B178" t="str">
            <v>CO2_SECTOR</v>
          </cell>
          <cell r="C178" t="str">
            <v>VAR_fout</v>
          </cell>
          <cell r="D178" t="str">
            <v>CO2_ELCCCS</v>
          </cell>
          <cell r="E178">
            <v>2639.0782885561216</v>
          </cell>
          <cell r="F178">
            <v>2350.1419505059489</v>
          </cell>
          <cell r="G178">
            <v>2351.9227038231575</v>
          </cell>
          <cell r="H178">
            <v>2354.934221834606</v>
          </cell>
        </row>
        <row r="179">
          <cell r="B179" t="str">
            <v>CO2_SECTOR</v>
          </cell>
          <cell r="C179" t="str">
            <v>VAR_fout</v>
          </cell>
          <cell r="D179" t="str">
            <v>CO2_H2CCS</v>
          </cell>
        </row>
        <row r="180">
          <cell r="B180" t="str">
            <v>CO2_SECTOR</v>
          </cell>
          <cell r="C180" t="str">
            <v>VAR_fout</v>
          </cell>
          <cell r="D180" t="str">
            <v>CO2_INDCCS</v>
          </cell>
          <cell r="E180">
            <v>6510.6771036570663</v>
          </cell>
          <cell r="F180">
            <v>6260.6756884573924</v>
          </cell>
          <cell r="G180">
            <v>5715.3641632444132</v>
          </cell>
          <cell r="H180">
            <v>4881.5591929378006</v>
          </cell>
        </row>
        <row r="181">
          <cell r="B181" t="str">
            <v>CO2_SECTOR</v>
          </cell>
          <cell r="C181" t="str">
            <v>VAR_comnet</v>
          </cell>
          <cell r="D181" t="str">
            <v>-</v>
          </cell>
          <cell r="E181">
            <v>44057.527636266655</v>
          </cell>
          <cell r="F181">
            <v>41081.131625767281</v>
          </cell>
          <cell r="G181">
            <v>38217.952379628303</v>
          </cell>
          <cell r="H181">
            <v>28087.579270061397</v>
          </cell>
        </row>
        <row r="182">
          <cell r="B182" t="str">
            <v>CO2SC</v>
          </cell>
          <cell r="C182" t="str">
            <v>VAR_fout</v>
          </cell>
          <cell r="D182" t="str">
            <v>CO2S1</v>
          </cell>
          <cell r="E182">
            <v>6307.1990227535098</v>
          </cell>
          <cell r="F182">
            <v>6307.1990227535098</v>
          </cell>
          <cell r="G182">
            <v>6307.1990227535098</v>
          </cell>
          <cell r="H182">
            <v>6307.1990227535098</v>
          </cell>
        </row>
        <row r="183">
          <cell r="B183" t="str">
            <v>CO2SC</v>
          </cell>
          <cell r="C183" t="str">
            <v>VAR_fout</v>
          </cell>
          <cell r="D183" t="str">
            <v>CO2S2</v>
          </cell>
        </row>
        <row r="184">
          <cell r="B184" t="str">
            <v>CO2SC</v>
          </cell>
          <cell r="C184" t="str">
            <v>VAR_fin</v>
          </cell>
          <cell r="D184" t="str">
            <v>CO2EXP</v>
          </cell>
        </row>
        <row r="185">
          <cell r="B185" t="str">
            <v>CO2SC</v>
          </cell>
          <cell r="C185" t="str">
            <v>EQ_combalM</v>
          </cell>
          <cell r="D185" t="str">
            <v>-</v>
          </cell>
        </row>
        <row r="186">
          <cell r="B186" t="str">
            <v>CO2P</v>
          </cell>
          <cell r="C186" t="str">
            <v>VAR_fout</v>
          </cell>
          <cell r="D186" t="str">
            <v>ITOT-PROCESSCO2</v>
          </cell>
          <cell r="E186">
            <v>2089.34680048464</v>
          </cell>
          <cell r="F186">
            <v>2111.0131698740802</v>
          </cell>
          <cell r="G186">
            <v>2102.26947106126</v>
          </cell>
          <cell r="H186">
            <v>2093.6594329631707</v>
          </cell>
        </row>
        <row r="187">
          <cell r="B187" t="str">
            <v>CO2P</v>
          </cell>
          <cell r="C187" t="str">
            <v>VAR_comnet</v>
          </cell>
          <cell r="D187" t="str">
            <v>-</v>
          </cell>
          <cell r="E187">
            <v>2089.34680048464</v>
          </cell>
          <cell r="F187">
            <v>2111.0131698740802</v>
          </cell>
          <cell r="G187">
            <v>2102.26947106126</v>
          </cell>
          <cell r="H187">
            <v>2093.6594329631707</v>
          </cell>
        </row>
        <row r="188">
          <cell r="B188" t="str">
            <v>CO2_E</v>
          </cell>
          <cell r="C188" t="str">
            <v>VAR_fout</v>
          </cell>
          <cell r="D188" t="str">
            <v>EWSTINCCS</v>
          </cell>
        </row>
        <row r="189">
          <cell r="B189" t="str">
            <v>CO2_E</v>
          </cell>
          <cell r="C189" t="str">
            <v>VAR_fout</v>
          </cell>
          <cell r="D189" t="str">
            <v>CHPWSTCCS</v>
          </cell>
        </row>
        <row r="190">
          <cell r="B190" t="str">
            <v>CO2_E</v>
          </cell>
          <cell r="C190" t="str">
            <v>VAR_fout</v>
          </cell>
          <cell r="D190" t="str">
            <v>HPLNGA</v>
          </cell>
          <cell r="E190">
            <v>114.397693864744</v>
          </cell>
          <cell r="F190">
            <v>46.244403025856897</v>
          </cell>
          <cell r="G190">
            <v>4.7810800729652296</v>
          </cell>
        </row>
        <row r="191">
          <cell r="B191" t="str">
            <v>CO2_E</v>
          </cell>
          <cell r="C191" t="str">
            <v>VAR_fout</v>
          </cell>
          <cell r="D191" t="str">
            <v>CHPWST</v>
          </cell>
          <cell r="E191">
            <v>2843.2803045784799</v>
          </cell>
          <cell r="F191">
            <v>2577.4177359718101</v>
          </cell>
          <cell r="G191">
            <v>2455.9605391370601</v>
          </cell>
          <cell r="H191">
            <v>2685.2656880012801</v>
          </cell>
        </row>
        <row r="192">
          <cell r="B192" t="str">
            <v>CO2_E</v>
          </cell>
          <cell r="C192" t="str">
            <v>VAR_fout</v>
          </cell>
          <cell r="D192" t="str">
            <v>CHPNGA</v>
          </cell>
          <cell r="E192">
            <v>226.173085210479</v>
          </cell>
          <cell r="F192">
            <v>4.7188143983917898</v>
          </cell>
          <cell r="G192">
            <v>19.625612238503098</v>
          </cell>
        </row>
        <row r="193">
          <cell r="B193" t="str">
            <v>CO2_E</v>
          </cell>
          <cell r="C193" t="str">
            <v>VAR_fout</v>
          </cell>
          <cell r="D193" t="str">
            <v>EWSTINC</v>
          </cell>
          <cell r="E193">
            <v>1689.2969367266601</v>
          </cell>
          <cell r="F193">
            <v>1897.7118672435599</v>
          </cell>
          <cell r="G193">
            <v>2169.6101426713599</v>
          </cell>
          <cell r="H193">
            <v>2017.4754448460801</v>
          </cell>
        </row>
        <row r="194">
          <cell r="B194" t="str">
            <v>CO2_E</v>
          </cell>
          <cell r="C194" t="str">
            <v>VAR_fout</v>
          </cell>
          <cell r="D194" t="str">
            <v>ENGA-GTCC</v>
          </cell>
        </row>
        <row r="195">
          <cell r="B195" t="str">
            <v>CO2_E</v>
          </cell>
          <cell r="C195" t="str">
            <v>VAR_fout</v>
          </cell>
          <cell r="D195" t="str">
            <v>HPLOIL</v>
          </cell>
          <cell r="E195">
            <v>15.9002498251029</v>
          </cell>
          <cell r="F195">
            <v>15.8518754579821</v>
          </cell>
          <cell r="G195">
            <v>0.61970334703457797</v>
          </cell>
          <cell r="H195">
            <v>0.77011632089132298</v>
          </cell>
        </row>
        <row r="196">
          <cell r="B196" t="str">
            <v>CO2_E</v>
          </cell>
          <cell r="C196" t="str">
            <v>VAR_fout</v>
          </cell>
          <cell r="D196" t="str">
            <v>EOIL-ENG</v>
          </cell>
          <cell r="E196">
            <v>17.485520058401502</v>
          </cell>
          <cell r="F196">
            <v>21.5414119086619</v>
          </cell>
          <cell r="G196">
            <v>9.9893658785399406</v>
          </cell>
          <cell r="H196">
            <v>1.30585304251482</v>
          </cell>
        </row>
        <row r="197">
          <cell r="B197" t="str">
            <v>CO2_E</v>
          </cell>
          <cell r="C197" t="str">
            <v>VAR_fout</v>
          </cell>
          <cell r="D197" t="str">
            <v>ENGA-GTOC</v>
          </cell>
        </row>
        <row r="198">
          <cell r="B198" t="str">
            <v>CO2_E</v>
          </cell>
          <cell r="C198" t="str">
            <v>VAR_fout</v>
          </cell>
          <cell r="D198" t="str">
            <v>CHPOIL</v>
          </cell>
          <cell r="E198">
            <v>10.030526384494101</v>
          </cell>
          <cell r="F198">
            <v>23.123564367005699</v>
          </cell>
          <cell r="G198">
            <v>7.2147431585767601</v>
          </cell>
          <cell r="H198">
            <v>1.44625881774772</v>
          </cell>
        </row>
        <row r="199">
          <cell r="B199" t="str">
            <v>CO2_E</v>
          </cell>
          <cell r="C199" t="str">
            <v>VAR_comnet</v>
          </cell>
          <cell r="D199" t="str">
            <v>-</v>
          </cell>
          <cell r="E199">
            <v>4916.5643166483596</v>
          </cell>
          <cell r="F199">
            <v>4586.6096723732599</v>
          </cell>
          <cell r="G199">
            <v>4667.8011865040398</v>
          </cell>
          <cell r="H199">
            <v>4706.2633610285102</v>
          </cell>
        </row>
        <row r="200">
          <cell r="B200" t="str">
            <v>CO2_I</v>
          </cell>
          <cell r="C200" t="str">
            <v>VAR_fout</v>
          </cell>
          <cell r="D200" t="str">
            <v>ITOT-CHPNGA</v>
          </cell>
          <cell r="E200">
            <v>118.503969228359</v>
          </cell>
          <cell r="F200">
            <v>34.810973595745502</v>
          </cell>
          <cell r="G200">
            <v>76.192413256433497</v>
          </cell>
          <cell r="H200">
            <v>8.3480155086220904</v>
          </cell>
        </row>
        <row r="201">
          <cell r="B201" t="str">
            <v>CO2_I</v>
          </cell>
          <cell r="C201" t="str">
            <v>VAR_fout</v>
          </cell>
          <cell r="D201" t="str">
            <v>ITOT-SWHNGABR</v>
          </cell>
          <cell r="E201">
            <v>2005.1599254799301</v>
          </cell>
          <cell r="F201">
            <v>1800.94870508901</v>
          </cell>
          <cell r="G201">
            <v>1964.4628184943299</v>
          </cell>
          <cell r="H201">
            <v>1293.1071691124801</v>
          </cell>
        </row>
        <row r="202">
          <cell r="B202" t="str">
            <v>CO2_I</v>
          </cell>
          <cell r="C202" t="str">
            <v>VAR_fout</v>
          </cell>
          <cell r="D202" t="str">
            <v>ITOT-CHPWSTCCS</v>
          </cell>
        </row>
        <row r="203">
          <cell r="B203" t="str">
            <v>CO2_I</v>
          </cell>
          <cell r="C203" t="str">
            <v>VAR_fout</v>
          </cell>
          <cell r="D203" t="str">
            <v>ITOT-SWHLFOBR</v>
          </cell>
          <cell r="E203">
            <v>655.78752653143204</v>
          </cell>
          <cell r="F203">
            <v>598.58263948154399</v>
          </cell>
          <cell r="G203">
            <v>608.56463794788601</v>
          </cell>
          <cell r="H203">
            <v>492.66271310107697</v>
          </cell>
        </row>
        <row r="204">
          <cell r="B204" t="str">
            <v>CO2_I</v>
          </cell>
          <cell r="C204" t="str">
            <v>VAR_fout</v>
          </cell>
          <cell r="D204" t="str">
            <v>ITOT-CHPNGACCS</v>
          </cell>
        </row>
        <row r="205">
          <cell r="B205" t="str">
            <v>CO2_I</v>
          </cell>
          <cell r="C205" t="str">
            <v>VAR_fout</v>
          </cell>
          <cell r="D205" t="str">
            <v>ITOT-CHPGFC</v>
          </cell>
        </row>
        <row r="206">
          <cell r="B206" t="str">
            <v>CO2_I</v>
          </cell>
          <cell r="C206" t="str">
            <v>VAR_fout</v>
          </cell>
          <cell r="D206" t="str">
            <v>ITOT-SWHCOABR</v>
          </cell>
          <cell r="E206">
            <v>330.02658735060299</v>
          </cell>
          <cell r="F206">
            <v>321.18270595241898</v>
          </cell>
          <cell r="G206">
            <v>11.9573925599205</v>
          </cell>
          <cell r="H206">
            <v>0.40629794383935502</v>
          </cell>
        </row>
        <row r="207">
          <cell r="B207" t="str">
            <v>CO2_I</v>
          </cell>
          <cell r="C207" t="str">
            <v>VAR_fout</v>
          </cell>
          <cell r="D207" t="str">
            <v>ITOT-CHPOIL</v>
          </cell>
          <cell r="E207">
            <v>29.418645080039699</v>
          </cell>
          <cell r="F207">
            <v>50.022835126882399</v>
          </cell>
          <cell r="G207">
            <v>37.906287041091304</v>
          </cell>
          <cell r="H207">
            <v>45.336099318277398</v>
          </cell>
        </row>
        <row r="208">
          <cell r="B208" t="str">
            <v>CO2_I</v>
          </cell>
          <cell r="C208" t="str">
            <v>VAR_fout</v>
          </cell>
          <cell r="D208" t="str">
            <v>ITOT-SWHWSTBR</v>
          </cell>
          <cell r="E208">
            <v>723.66722230330799</v>
          </cell>
          <cell r="F208">
            <v>749.91024208869499</v>
          </cell>
          <cell r="G208">
            <v>1005.70132861447</v>
          </cell>
          <cell r="H208">
            <v>1063.72798290794</v>
          </cell>
        </row>
        <row r="209">
          <cell r="B209" t="str">
            <v>CO2_I</v>
          </cell>
          <cell r="C209" t="str">
            <v>VAR_fout</v>
          </cell>
          <cell r="D209" t="str">
            <v>ITOT-SWHNGAHP</v>
          </cell>
          <cell r="G209">
            <v>2.1756984185718902</v>
          </cell>
          <cell r="H209">
            <v>0.76938328260584998</v>
          </cell>
        </row>
        <row r="210">
          <cell r="B210" t="str">
            <v>CO2_I</v>
          </cell>
          <cell r="C210" t="str">
            <v>VAR_fout</v>
          </cell>
          <cell r="D210" t="str">
            <v>ITOT-CHPWST</v>
          </cell>
          <cell r="E210">
            <v>344.47952911212599</v>
          </cell>
          <cell r="F210">
            <v>364.70545803169802</v>
          </cell>
          <cell r="G210">
            <v>19.054924548214</v>
          </cell>
          <cell r="H210">
            <v>21.666003763362099</v>
          </cell>
        </row>
        <row r="211">
          <cell r="B211" t="str">
            <v>CO2_I</v>
          </cell>
          <cell r="C211" t="str">
            <v>VAR_fout</v>
          </cell>
          <cell r="D211" t="str">
            <v>ITOT-SWHHFOBR</v>
          </cell>
          <cell r="E211">
            <v>210.22182967416401</v>
          </cell>
          <cell r="F211">
            <v>209.30133914928601</v>
          </cell>
          <cell r="G211">
            <v>3.6551882270431699</v>
          </cell>
          <cell r="H211">
            <v>0.34991888201790899</v>
          </cell>
        </row>
        <row r="212">
          <cell r="B212" t="str">
            <v>CO2_I</v>
          </cell>
          <cell r="C212" t="str">
            <v>VAR_comnet</v>
          </cell>
          <cell r="D212" t="str">
            <v>-</v>
          </cell>
          <cell r="E212">
            <v>4417.2652347599596</v>
          </cell>
          <cell r="F212">
            <v>4129.4648985152799</v>
          </cell>
          <cell r="G212">
            <v>3729.6706891079598</v>
          </cell>
          <cell r="H212">
            <v>2926.3735838202301</v>
          </cell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8.3647918781319503E-6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5.7835593225210102E-5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1.4756301969204599E-5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4.4949139189688999E-4</v>
          </cell>
          <cell r="F8">
            <v>8.7722318818523392E-6</v>
          </cell>
          <cell r="G8">
            <v>9.5199081937090492E-6</v>
          </cell>
          <cell r="H8">
            <v>1.2417769444107199E-5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4.2345694322355604E-3</v>
          </cell>
          <cell r="F10">
            <v>2.8718115930272198E-2</v>
          </cell>
          <cell r="G10">
            <v>1.7068234364491501E-5</v>
          </cell>
          <cell r="H10">
            <v>9.3584151915205499E-2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7.6060722503612102E-6</v>
          </cell>
          <cell r="F11">
            <v>8.0579358562703196E-6</v>
          </cell>
          <cell r="G11">
            <v>9.6933452287769606E-6</v>
          </cell>
          <cell r="H11">
            <v>1.1908693586425899E-5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1.55135122727915E-2</v>
          </cell>
          <cell r="F12">
            <v>9.2654934134051806E-2</v>
          </cell>
          <cell r="G12">
            <v>1.7814719694600799E-5</v>
          </cell>
          <cell r="H12">
            <v>1.92791468681406E-3</v>
          </cell>
        </row>
        <row r="13">
          <cell r="A13" t="str">
            <v>-</v>
          </cell>
          <cell r="B13" t="str">
            <v>VAR_ncap</v>
          </cell>
          <cell r="C13" t="str">
            <v>SUP_WODH2</v>
          </cell>
          <cell r="H13">
            <v>8.8734436889197196E-4</v>
          </cell>
        </row>
        <row r="14">
          <cell r="A14" t="str">
            <v>-</v>
          </cell>
          <cell r="B14" t="str">
            <v>VAR_ncap</v>
          </cell>
          <cell r="C14" t="str">
            <v>ESOL-PV_A</v>
          </cell>
          <cell r="G14">
            <v>4.0881154114224397E-5</v>
          </cell>
          <cell r="H14">
            <v>0.196515539351971</v>
          </cell>
        </row>
        <row r="15">
          <cell r="A15" t="str">
            <v>-</v>
          </cell>
          <cell r="B15" t="str">
            <v>VAR_ncap</v>
          </cell>
          <cell r="C15" t="str">
            <v>D-TNGA</v>
          </cell>
          <cell r="E15">
            <v>3.2050705670831E-5</v>
          </cell>
          <cell r="F15">
            <v>3.5470059228738299E-6</v>
          </cell>
          <cell r="G15">
            <v>4.1024593838111601E-6</v>
          </cell>
          <cell r="H15">
            <v>4.7589460780098196E-6</v>
          </cell>
        </row>
        <row r="16">
          <cell r="A16" t="str">
            <v>-</v>
          </cell>
          <cell r="B16" t="str">
            <v>VAR_ncap</v>
          </cell>
          <cell r="C16" t="str">
            <v>SUP_ELCH2_D</v>
          </cell>
          <cell r="H16">
            <v>1.42287845650044E-4</v>
          </cell>
        </row>
        <row r="17">
          <cell r="A17" t="str">
            <v>-</v>
          </cell>
          <cell r="B17" t="str">
            <v>VAR_ncap</v>
          </cell>
          <cell r="C17" t="str">
            <v>SUP_H2GSL</v>
          </cell>
          <cell r="H17">
            <v>4.2022697970547602E-5</v>
          </cell>
        </row>
        <row r="18">
          <cell r="A18" t="str">
            <v>-</v>
          </cell>
          <cell r="B18" t="str">
            <v>VAR_ncap</v>
          </cell>
          <cell r="C18" t="str">
            <v>ESOL-PV_E</v>
          </cell>
          <cell r="H18">
            <v>5.1833855917472101E-5</v>
          </cell>
        </row>
        <row r="19">
          <cell r="A19" t="str">
            <v>-</v>
          </cell>
          <cell r="B19" t="str">
            <v>VAR_ncap</v>
          </cell>
          <cell r="C19" t="str">
            <v>D-SNGA</v>
          </cell>
          <cell r="E19">
            <v>2.2482027123936501E-4</v>
          </cell>
          <cell r="F19">
            <v>4.6381222786838498E-6</v>
          </cell>
          <cell r="G19">
            <v>7.6925504290318894E-6</v>
          </cell>
          <cell r="H19">
            <v>1.06650827800905E-5</v>
          </cell>
        </row>
        <row r="20">
          <cell r="A20" t="str">
            <v>-</v>
          </cell>
          <cell r="B20" t="str">
            <v>VAR_ncap</v>
          </cell>
          <cell r="C20" t="str">
            <v>SUP_MNRBIO</v>
          </cell>
          <cell r="E20">
            <v>6.8337729709203501E-2</v>
          </cell>
          <cell r="F20">
            <v>9.4216443464120697E-2</v>
          </cell>
          <cell r="G20">
            <v>3.9088497292194297E-5</v>
          </cell>
          <cell r="H20">
            <v>3.8923052237943097E-5</v>
          </cell>
        </row>
        <row r="21">
          <cell r="A21" t="str">
            <v>-</v>
          </cell>
          <cell r="B21" t="str">
            <v>VAR_ncap</v>
          </cell>
          <cell r="C21" t="str">
            <v>D-RNGA</v>
          </cell>
          <cell r="E21">
            <v>1.4108689698768901E-5</v>
          </cell>
          <cell r="F21">
            <v>2.00863194670824E-6</v>
          </cell>
          <cell r="G21">
            <v>2.4428176174718799E-6</v>
          </cell>
          <cell r="H21">
            <v>2.0258802884127202E-6</v>
          </cell>
        </row>
        <row r="22">
          <cell r="A22" t="str">
            <v>-</v>
          </cell>
          <cell r="B22" t="str">
            <v>VAR_ncap</v>
          </cell>
          <cell r="C22" t="str">
            <v>SUP_WODBIO</v>
          </cell>
          <cell r="E22">
            <v>1.6210554757487498E-5</v>
          </cell>
          <cell r="F22">
            <v>6.2400521432721696E-4</v>
          </cell>
          <cell r="G22">
            <v>2.9688482860222198E-5</v>
          </cell>
          <cell r="H22">
            <v>1.06869260853491E-5</v>
          </cell>
        </row>
        <row r="23">
          <cell r="A23" t="str">
            <v>-</v>
          </cell>
          <cell r="B23" t="str">
            <v>VAR_ncap</v>
          </cell>
          <cell r="C23" t="str">
            <v>SUP_ELCH2_SOEC</v>
          </cell>
        </row>
        <row r="24">
          <cell r="A24" t="str">
            <v>-</v>
          </cell>
          <cell r="B24" t="str">
            <v>VAR_ncap</v>
          </cell>
          <cell r="C24" t="str">
            <v>SUP_NGAH2CCS</v>
          </cell>
        </row>
        <row r="25">
          <cell r="A25" t="str">
            <v>-</v>
          </cell>
          <cell r="B25" t="str">
            <v>VAR_ncap</v>
          </cell>
          <cell r="C25" t="str">
            <v>SUP_ELCH2</v>
          </cell>
          <cell r="E25">
            <v>2.6353821030730001E-3</v>
          </cell>
          <cell r="F25">
            <v>6.5646331272761299E-5</v>
          </cell>
          <cell r="G25">
            <v>1.3748325669458501E-4</v>
          </cell>
          <cell r="H25">
            <v>3.8335980500460898E-3</v>
          </cell>
        </row>
        <row r="26">
          <cell r="A26" t="str">
            <v>-</v>
          </cell>
          <cell r="B26" t="str">
            <v>VAR_ncap</v>
          </cell>
          <cell r="C26" t="str">
            <v>CT_CWODBDS</v>
          </cell>
          <cell r="E26">
            <v>1.5317256403648201E-5</v>
          </cell>
          <cell r="F26">
            <v>4.8524294647227398E-6</v>
          </cell>
          <cell r="G26">
            <v>2.0768275224184099E-5</v>
          </cell>
          <cell r="H26">
            <v>7.6793403797711493E-6</v>
          </cell>
        </row>
        <row r="27">
          <cell r="A27" t="str">
            <v>-</v>
          </cell>
          <cell r="B27" t="str">
            <v>VAR_ncap</v>
          </cell>
          <cell r="C27" t="str">
            <v>CT_CWODPLT</v>
          </cell>
          <cell r="E27">
            <v>0.164056371354176</v>
          </cell>
          <cell r="F27">
            <v>4.1231146890597301E-2</v>
          </cell>
          <cell r="G27">
            <v>2.6291447664021801E-5</v>
          </cell>
          <cell r="H27">
            <v>2.9887101404790401E-5</v>
          </cell>
        </row>
        <row r="28">
          <cell r="A28" t="str">
            <v>-</v>
          </cell>
          <cell r="B28" t="str">
            <v>VAR_ncap</v>
          </cell>
          <cell r="C28" t="str">
            <v>D-DH2</v>
          </cell>
          <cell r="H28">
            <v>7.66403628444295E-4</v>
          </cell>
        </row>
        <row r="29">
          <cell r="A29" t="str">
            <v>-</v>
          </cell>
          <cell r="B29" t="str">
            <v>VAR_ncap</v>
          </cell>
          <cell r="C29" t="str">
            <v>CT_CWODETH</v>
          </cell>
          <cell r="E29">
            <v>5.7310982874705603E-2</v>
          </cell>
          <cell r="F29">
            <v>9.8684992321100103E-6</v>
          </cell>
          <cell r="G29">
            <v>3.5562804649126702E-3</v>
          </cell>
          <cell r="H29">
            <v>1.5126942843208599E-2</v>
          </cell>
        </row>
        <row r="30">
          <cell r="A30" t="str">
            <v>-</v>
          </cell>
          <cell r="B30" t="str">
            <v>VAR_ncap</v>
          </cell>
          <cell r="C30" t="str">
            <v>D-INGA</v>
          </cell>
          <cell r="E30">
            <v>5.5158831164173697E-5</v>
          </cell>
          <cell r="F30">
            <v>1.23665487383722E-5</v>
          </cell>
          <cell r="G30">
            <v>1.49201713848045E-5</v>
          </cell>
          <cell r="H30">
            <v>1.96324156417171E-5</v>
          </cell>
        </row>
        <row r="31">
          <cell r="A31" t="str">
            <v>-</v>
          </cell>
          <cell r="B31" t="str">
            <v>VAR_ncap</v>
          </cell>
          <cell r="C31" t="str">
            <v>SUP_H2DSL</v>
          </cell>
          <cell r="H31">
            <v>3.63733123604139E-5</v>
          </cell>
        </row>
        <row r="32">
          <cell r="A32" t="str">
            <v>-</v>
          </cell>
          <cell r="B32" t="str">
            <v>VAR_ncap</v>
          </cell>
          <cell r="C32" t="str">
            <v>SUP_DAC</v>
          </cell>
        </row>
        <row r="33">
          <cell r="A33" t="str">
            <v>-</v>
          </cell>
          <cell r="B33" t="str">
            <v>VAR_cap</v>
          </cell>
          <cell r="C33" t="str">
            <v>SUP_NGAH2</v>
          </cell>
          <cell r="H33">
            <v>8.3647918781319503E-6</v>
          </cell>
        </row>
        <row r="34">
          <cell r="A34" t="str">
            <v>-</v>
          </cell>
          <cell r="B34" t="str">
            <v>VAR_cap</v>
          </cell>
          <cell r="C34" t="str">
            <v>SUP_WSTHTGBIO</v>
          </cell>
        </row>
        <row r="35">
          <cell r="A35" t="str">
            <v>-</v>
          </cell>
          <cell r="B35" t="str">
            <v>VAR_cap</v>
          </cell>
          <cell r="C35" t="str">
            <v>STG-H2</v>
          </cell>
          <cell r="H35">
            <v>5.7835593225210102E-5</v>
          </cell>
        </row>
        <row r="36">
          <cell r="A36" t="str">
            <v>-</v>
          </cell>
          <cell r="B36" t="str">
            <v>VAR_cap</v>
          </cell>
          <cell r="C36" t="str">
            <v>SUP_H2NGA</v>
          </cell>
          <cell r="H36">
            <v>1.4756301969204599E-5</v>
          </cell>
        </row>
        <row r="37">
          <cell r="A37" t="str">
            <v>-</v>
          </cell>
          <cell r="B37" t="str">
            <v>VAR_cap</v>
          </cell>
          <cell r="C37" t="str">
            <v>D-ENGA</v>
          </cell>
          <cell r="E37">
            <v>1.027961485932877</v>
          </cell>
          <cell r="F37">
            <v>1.0279702581647587</v>
          </cell>
          <cell r="G37">
            <v>1.0279797780729525</v>
          </cell>
          <cell r="H37">
            <v>1.0279921958423965</v>
          </cell>
        </row>
        <row r="38">
          <cell r="A38" t="str">
            <v>-</v>
          </cell>
          <cell r="B38" t="str">
            <v>VAR_cap</v>
          </cell>
          <cell r="C38" t="str">
            <v>D-CHEAT</v>
          </cell>
        </row>
        <row r="39">
          <cell r="A39" t="str">
            <v>-</v>
          </cell>
          <cell r="B39" t="str">
            <v>VAR_cap</v>
          </cell>
          <cell r="C39" t="str">
            <v>SUP_WSTBIO</v>
          </cell>
          <cell r="E39">
            <v>0.21279699567428934</v>
          </cell>
          <cell r="F39">
            <v>0.24150485329446542</v>
          </cell>
          <cell r="G39">
            <v>0.24147065447397506</v>
          </cell>
          <cell r="H39">
            <v>0.26147671468051759</v>
          </cell>
        </row>
        <row r="40">
          <cell r="A40" t="str">
            <v>-</v>
          </cell>
          <cell r="B40" t="str">
            <v>VAR_cap</v>
          </cell>
          <cell r="C40" t="str">
            <v>D-CNGA</v>
          </cell>
          <cell r="E40">
            <v>7.6060722503612102E-6</v>
          </cell>
          <cell r="F40">
            <v>1.56640081066315E-5</v>
          </cell>
          <cell r="G40">
            <v>2.53573533354085E-5</v>
          </cell>
          <cell r="H40">
            <v>3.7266046921834397E-5</v>
          </cell>
        </row>
        <row r="41">
          <cell r="A41" t="str">
            <v>-</v>
          </cell>
          <cell r="B41" t="str">
            <v>VAR_cap</v>
          </cell>
          <cell r="C41" t="str">
            <v>SUP_BIONGA</v>
          </cell>
          <cell r="E41">
            <v>4.352469906735415E-2</v>
          </cell>
          <cell r="F41">
            <v>0.13617636338315181</v>
          </cell>
          <cell r="G41">
            <v>0.13616944382452406</v>
          </cell>
          <cell r="H41">
            <v>0.13322674348498703</v>
          </cell>
        </row>
        <row r="42">
          <cell r="A42" t="str">
            <v>-</v>
          </cell>
          <cell r="B42" t="str">
            <v>VAR_cap</v>
          </cell>
          <cell r="C42" t="str">
            <v>SUP_WODH2</v>
          </cell>
          <cell r="H42">
            <v>8.8734436889197196E-4</v>
          </cell>
        </row>
        <row r="43">
          <cell r="A43" t="str">
            <v>-</v>
          </cell>
          <cell r="B43" t="str">
            <v>VAR_cap</v>
          </cell>
          <cell r="C43" t="str">
            <v>ESOL-PV_A</v>
          </cell>
          <cell r="H43">
            <v>5.2754227969384899E-2</v>
          </cell>
        </row>
        <row r="44">
          <cell r="A44" t="str">
            <v>-</v>
          </cell>
          <cell r="B44" t="str">
            <v>VAR_cap</v>
          </cell>
          <cell r="C44" t="str">
            <v>D-TNGA</v>
          </cell>
          <cell r="E44">
            <v>0.95964974378731482</v>
          </cell>
          <cell r="F44">
            <v>0.95965329079323769</v>
          </cell>
          <cell r="G44">
            <v>0.95965739325262156</v>
          </cell>
          <cell r="H44">
            <v>0.95966215219869955</v>
          </cell>
        </row>
        <row r="45">
          <cell r="A45" t="str">
            <v>-</v>
          </cell>
          <cell r="B45" t="str">
            <v>VAR_cap</v>
          </cell>
          <cell r="C45" t="str">
            <v>SUP_ELCH2_D</v>
          </cell>
          <cell r="H45">
            <v>1.42287845650044E-4</v>
          </cell>
        </row>
        <row r="46">
          <cell r="A46" t="str">
            <v>-</v>
          </cell>
          <cell r="B46" t="str">
            <v>VAR_cap</v>
          </cell>
          <cell r="C46" t="str">
            <v>SUP_H2GSL</v>
          </cell>
          <cell r="H46">
            <v>4.2022697970547602E-5</v>
          </cell>
        </row>
        <row r="47">
          <cell r="A47" t="str">
            <v>-</v>
          </cell>
          <cell r="B47" t="str">
            <v>VAR_cap</v>
          </cell>
          <cell r="C47" t="str">
            <v>ESOL-PV_E</v>
          </cell>
          <cell r="H47">
            <v>5.1833855917472101E-5</v>
          </cell>
        </row>
        <row r="48">
          <cell r="A48" t="str">
            <v>-</v>
          </cell>
          <cell r="B48" t="str">
            <v>VAR_cap</v>
          </cell>
          <cell r="C48" t="str">
            <v>D-SNGA</v>
          </cell>
          <cell r="E48">
            <v>2.2352770218963793</v>
          </cell>
          <cell r="F48">
            <v>2.235281660018658</v>
          </cell>
          <cell r="G48">
            <v>2.2352893525690871</v>
          </cell>
          <cell r="H48">
            <v>2.2353000176518671</v>
          </cell>
        </row>
        <row r="49">
          <cell r="A49" t="str">
            <v>-</v>
          </cell>
          <cell r="B49" t="str">
            <v>VAR_cap</v>
          </cell>
          <cell r="C49" t="str">
            <v>SUP_MNRBIO</v>
          </cell>
          <cell r="E49">
            <v>6.8337729709203501E-2</v>
          </cell>
          <cell r="F49">
            <v>0.16254882538797885</v>
          </cell>
          <cell r="G49">
            <v>0.16256342554111533</v>
          </cell>
          <cell r="H49">
            <v>0.16256341209374639</v>
          </cell>
        </row>
        <row r="50">
          <cell r="A50" t="str">
            <v>-</v>
          </cell>
          <cell r="B50" t="str">
            <v>VAR_cap</v>
          </cell>
          <cell r="C50" t="str">
            <v>D-RNGA</v>
          </cell>
          <cell r="E50">
            <v>3.0972541160856188</v>
          </cell>
          <cell r="F50">
            <v>3.0972561247175654</v>
          </cell>
          <cell r="G50">
            <v>3.0972585675351829</v>
          </cell>
          <cell r="H50">
            <v>3.0972605934154713</v>
          </cell>
        </row>
        <row r="51">
          <cell r="A51" t="str">
            <v>-</v>
          </cell>
          <cell r="B51" t="str">
            <v>VAR_cap</v>
          </cell>
          <cell r="C51" t="str">
            <v>SUP_WODBIO</v>
          </cell>
          <cell r="E51">
            <v>1.6210554757487498E-5</v>
          </cell>
          <cell r="F51">
            <v>6.3860374680141071E-4</v>
          </cell>
          <cell r="G51">
            <v>6.6402033593582742E-4</v>
          </cell>
          <cell r="H51">
            <v>6.7125995242248832E-4</v>
          </cell>
        </row>
        <row r="52">
          <cell r="A52" t="str">
            <v>-</v>
          </cell>
          <cell r="B52" t="str">
            <v>VAR_cap</v>
          </cell>
          <cell r="C52" t="str">
            <v>SUP_ELCH2_SOEC</v>
          </cell>
        </row>
        <row r="53">
          <cell r="A53" t="str">
            <v>-</v>
          </cell>
          <cell r="B53" t="str">
            <v>VAR_cap</v>
          </cell>
          <cell r="C53" t="str">
            <v>SUP_NGAH2CCS</v>
          </cell>
        </row>
        <row r="54">
          <cell r="A54" t="str">
            <v>-</v>
          </cell>
          <cell r="B54" t="str">
            <v>VAR_cap</v>
          </cell>
          <cell r="C54" t="str">
            <v>SUP_ELCH2</v>
          </cell>
          <cell r="E54">
            <v>2.6353821030730001E-3</v>
          </cell>
          <cell r="F54">
            <v>2.6969516592278784E-3</v>
          </cell>
          <cell r="G54">
            <v>2.8243651003021578E-3</v>
          </cell>
          <cell r="H54">
            <v>6.6399646229177633E-3</v>
          </cell>
        </row>
        <row r="55">
          <cell r="A55" t="str">
            <v>-</v>
          </cell>
          <cell r="B55" t="str">
            <v>VAR_cap</v>
          </cell>
          <cell r="C55" t="str">
            <v>CT_CWODBDS</v>
          </cell>
          <cell r="E55">
            <v>6.2414620691383371E-2</v>
          </cell>
          <cell r="F55">
            <v>6.2409584697077226E-2</v>
          </cell>
          <cell r="G55">
            <v>6.2309309925621462E-2</v>
          </cell>
          <cell r="H55">
            <v>1.5724493680443277E-3</v>
          </cell>
        </row>
        <row r="56">
          <cell r="A56" t="str">
            <v>-</v>
          </cell>
          <cell r="B56" t="str">
            <v>VAR_cap</v>
          </cell>
          <cell r="C56" t="str">
            <v>CT_CWODPLT</v>
          </cell>
          <cell r="E56">
            <v>0.36634906655500521</v>
          </cell>
          <cell r="F56">
            <v>0.40757188095441188</v>
          </cell>
          <cell r="G56">
            <v>0.12668917879899505</v>
          </cell>
          <cell r="H56">
            <v>0.12559257919378103</v>
          </cell>
        </row>
        <row r="57">
          <cell r="A57" t="str">
            <v>-</v>
          </cell>
          <cell r="B57" t="str">
            <v>VAR_cap</v>
          </cell>
          <cell r="C57" t="str">
            <v>D-DH2</v>
          </cell>
          <cell r="H57">
            <v>7.66403628444295E-4</v>
          </cell>
        </row>
        <row r="58">
          <cell r="A58" t="str">
            <v>-</v>
          </cell>
          <cell r="B58" t="str">
            <v>VAR_cap</v>
          </cell>
          <cell r="C58" t="str">
            <v>CT_CWODETH</v>
          </cell>
          <cell r="E58">
            <v>5.9347347707705007E-2</v>
          </cell>
          <cell r="F58">
            <v>5.9351820895005694E-2</v>
          </cell>
          <cell r="G58">
            <v>6.2905050650972183E-2</v>
          </cell>
          <cell r="H58">
            <v>7.6909181841653365E-2</v>
          </cell>
        </row>
        <row r="59">
          <cell r="A59" t="str">
            <v>-</v>
          </cell>
          <cell r="B59" t="str">
            <v>VAR_cap</v>
          </cell>
          <cell r="C59" t="str">
            <v>D-INGA</v>
          </cell>
          <cell r="E59">
            <v>1.9845385290972641</v>
          </cell>
          <cell r="F59">
            <v>1.9845508956460025</v>
          </cell>
          <cell r="G59">
            <v>1.9845658158173873</v>
          </cell>
          <cell r="H59">
            <v>1.984585448233029</v>
          </cell>
        </row>
        <row r="60">
          <cell r="A60" t="str">
            <v>-</v>
          </cell>
          <cell r="B60" t="str">
            <v>VAR_cap</v>
          </cell>
          <cell r="C60" t="str">
            <v>SUP_H2DSL</v>
          </cell>
          <cell r="H60">
            <v>3.63733123604139E-5</v>
          </cell>
        </row>
        <row r="61">
          <cell r="A61" t="str">
            <v>-</v>
          </cell>
          <cell r="B61" t="str">
            <v>VAR_cap</v>
          </cell>
          <cell r="C61" t="str">
            <v>SUP_DAC</v>
          </cell>
        </row>
        <row r="62">
          <cell r="A62" t="str">
            <v>CO2_M</v>
          </cell>
          <cell r="B62" t="str">
            <v>VAR_fin</v>
          </cell>
          <cell r="C62" t="str">
            <v>SUP_H2NGA</v>
          </cell>
        </row>
        <row r="63">
          <cell r="A63" t="str">
            <v>CO2_M</v>
          </cell>
          <cell r="B63" t="str">
            <v>VAR_fin</v>
          </cell>
          <cell r="C63" t="str">
            <v>SUP_H2GSL</v>
          </cell>
        </row>
        <row r="64">
          <cell r="A64" t="str">
            <v>CO2_M</v>
          </cell>
          <cell r="B64" t="str">
            <v>VAR_fin</v>
          </cell>
          <cell r="C64" t="str">
            <v>SUP_H2DSL</v>
          </cell>
        </row>
        <row r="65">
          <cell r="A65" t="str">
            <v>ELC35</v>
          </cell>
          <cell r="B65" t="str">
            <v>VAR_fout</v>
          </cell>
          <cell r="C65" t="str">
            <v>SUP_WSTBIO</v>
          </cell>
          <cell r="E65">
            <v>0.11258923660105545</v>
          </cell>
          <cell r="F65">
            <v>0.12784581924871477</v>
          </cell>
          <cell r="G65">
            <v>0.11842126328064324</v>
          </cell>
          <cell r="H65">
            <v>0.13842302649489827</v>
          </cell>
        </row>
        <row r="66">
          <cell r="A66" t="str">
            <v>ELC35</v>
          </cell>
          <cell r="B66" t="str">
            <v>VAR_fout</v>
          </cell>
          <cell r="C66" t="str">
            <v>ESOL-PV_A</v>
          </cell>
          <cell r="H66">
            <v>0.34130473341300771</v>
          </cell>
        </row>
        <row r="67">
          <cell r="A67" t="str">
            <v>ELC35</v>
          </cell>
          <cell r="B67" t="str">
            <v>VAR_fout</v>
          </cell>
          <cell r="C67" t="str">
            <v>SUP_WODBIO</v>
          </cell>
          <cell r="F67">
            <v>1.8328472478563364E-4</v>
          </cell>
          <cell r="G67">
            <v>8.2850718410027737E-5</v>
          </cell>
          <cell r="H67">
            <v>2.7061888861310462E-4</v>
          </cell>
        </row>
        <row r="68">
          <cell r="A68" t="str">
            <v>ELC35</v>
          </cell>
          <cell r="B68" t="str">
            <v>VAR_fin</v>
          </cell>
          <cell r="C68" t="str">
            <v>D-CELC</v>
          </cell>
          <cell r="E68">
            <v>2.473170227297925</v>
          </cell>
          <cell r="F68">
            <v>0.66636253521373456</v>
          </cell>
          <cell r="G68">
            <v>2.6356141308874887</v>
          </cell>
          <cell r="H68">
            <v>3.3820865877947677</v>
          </cell>
        </row>
        <row r="69">
          <cell r="A69" t="str">
            <v>CO2_O</v>
          </cell>
          <cell r="B69" t="str">
            <v>VAR_fout</v>
          </cell>
          <cell r="C69" t="str">
            <v>SUP_NGAH2CCS</v>
          </cell>
        </row>
        <row r="70">
          <cell r="A70" t="str">
            <v>CO2_O</v>
          </cell>
          <cell r="B70" t="str">
            <v>VAR_fout</v>
          </cell>
          <cell r="C70" t="str">
            <v>SUP_DAC</v>
          </cell>
        </row>
        <row r="71">
          <cell r="A71" t="str">
            <v>SCH2S</v>
          </cell>
          <cell r="B71" t="str">
            <v>VAR_fin</v>
          </cell>
          <cell r="C71" t="str">
            <v>SUP_NGAH2</v>
          </cell>
        </row>
        <row r="72">
          <cell r="A72" t="str">
            <v>SCH2S</v>
          </cell>
          <cell r="B72" t="str">
            <v>VAR_fin</v>
          </cell>
          <cell r="C72" t="str">
            <v>SUP_WODH2</v>
          </cell>
          <cell r="H72">
            <v>8.9002583468709602E-3</v>
          </cell>
        </row>
        <row r="73">
          <cell r="A73" t="str">
            <v>SCH2S</v>
          </cell>
          <cell r="B73" t="str">
            <v>VAR_fin</v>
          </cell>
          <cell r="C73" t="str">
            <v>SUP_NGAH2CCS</v>
          </cell>
        </row>
        <row r="74">
          <cell r="A74" t="str">
            <v>CWST</v>
          </cell>
          <cell r="B74" t="str">
            <v>VAR_fout</v>
          </cell>
          <cell r="C74" t="str">
            <v>D-CWST</v>
          </cell>
          <cell r="E74">
            <v>9.6794575123593152</v>
          </cell>
          <cell r="F74">
            <v>10.991087717696651</v>
          </cell>
          <cell r="G74">
            <v>10.180845177470154</v>
          </cell>
          <cell r="H74">
            <v>11.900425334947096</v>
          </cell>
        </row>
        <row r="75">
          <cell r="A75" t="str">
            <v>CWST</v>
          </cell>
          <cell r="B75" t="str">
            <v>VAR_fin</v>
          </cell>
          <cell r="C75" t="str">
            <v>SUP_WSTHTGBIO</v>
          </cell>
        </row>
        <row r="76">
          <cell r="A76" t="str">
            <v>CWST</v>
          </cell>
          <cell r="B76" t="str">
            <v>VAR_fin</v>
          </cell>
          <cell r="C76" t="str">
            <v>SUP_WSTBIO</v>
          </cell>
          <cell r="E76">
            <v>9.6794575123593152</v>
          </cell>
          <cell r="F76">
            <v>10.991087717696651</v>
          </cell>
          <cell r="G76">
            <v>10.180845177470154</v>
          </cell>
          <cell r="H76">
            <v>11.900425334947096</v>
          </cell>
        </row>
        <row r="77">
          <cell r="A77" t="str">
            <v>NGA</v>
          </cell>
          <cell r="B77" t="str">
            <v>VAR_fout</v>
          </cell>
          <cell r="C77" t="str">
            <v>SUP_H2NGA</v>
          </cell>
        </row>
        <row r="78">
          <cell r="A78" t="str">
            <v>NGA</v>
          </cell>
          <cell r="B78" t="str">
            <v>VAR_fout</v>
          </cell>
          <cell r="C78" t="str">
            <v>D-LNGA</v>
          </cell>
          <cell r="H78">
            <v>4.1564196226639268E-2</v>
          </cell>
        </row>
        <row r="79">
          <cell r="A79" t="str">
            <v>NGA</v>
          </cell>
          <cell r="B79" t="str">
            <v>VAR_fin</v>
          </cell>
          <cell r="C79" t="str">
            <v>D-ENGA</v>
          </cell>
          <cell r="E79">
            <v>5.8268786018174561</v>
          </cell>
          <cell r="F79">
            <v>0.90510125379318973</v>
          </cell>
          <cell r="G79">
            <v>0.37295330017918826</v>
          </cell>
        </row>
        <row r="80">
          <cell r="A80" t="str">
            <v>NGA</v>
          </cell>
          <cell r="B80" t="str">
            <v>VAR_fin</v>
          </cell>
          <cell r="C80" t="str">
            <v>D-TNGA</v>
          </cell>
          <cell r="E80">
            <v>0.27174915961151475</v>
          </cell>
          <cell r="F80">
            <v>0.19255928427673985</v>
          </cell>
          <cell r="G80">
            <v>0.26378548491179105</v>
          </cell>
          <cell r="H80">
            <v>6.152074946034769E-2</v>
          </cell>
        </row>
        <row r="81">
          <cell r="A81" t="str">
            <v>NGA</v>
          </cell>
          <cell r="B81" t="str">
            <v>VAR_fin</v>
          </cell>
          <cell r="C81" t="str">
            <v>D-SNGA</v>
          </cell>
          <cell r="E81">
            <v>27.26877497625409</v>
          </cell>
          <cell r="F81">
            <v>26.782053230138036</v>
          </cell>
          <cell r="G81">
            <v>24.85983691207387</v>
          </cell>
          <cell r="H81">
            <v>19.46353304126616</v>
          </cell>
        </row>
        <row r="82">
          <cell r="A82" t="str">
            <v>NGA</v>
          </cell>
          <cell r="B82" t="str">
            <v>VAR_fin</v>
          </cell>
          <cell r="C82" t="str">
            <v>D-RNGA</v>
          </cell>
          <cell r="E82">
            <v>47.629296460145738</v>
          </cell>
          <cell r="F82">
            <v>46.18903927184266</v>
          </cell>
          <cell r="G82">
            <v>46.738943284374216</v>
          </cell>
          <cell r="H82">
            <v>38.262125240805588</v>
          </cell>
        </row>
        <row r="83">
          <cell r="A83" t="str">
            <v>NGA</v>
          </cell>
          <cell r="B83" t="str">
            <v>VAR_fin</v>
          </cell>
          <cell r="C83" t="str">
            <v>D-INGA</v>
          </cell>
          <cell r="E83">
            <v>37.456033139301184</v>
          </cell>
          <cell r="F83">
            <v>32.651005608254586</v>
          </cell>
          <cell r="G83">
            <v>33.961596306883877</v>
          </cell>
          <cell r="H83">
            <v>20.788660113957238</v>
          </cell>
        </row>
        <row r="84">
          <cell r="A84" t="str">
            <v>CO2</v>
          </cell>
          <cell r="B84" t="str">
            <v>VAR_fout</v>
          </cell>
          <cell r="C84" t="str">
            <v>D-ENGA</v>
          </cell>
          <cell r="E84">
            <v>328.63595314250398</v>
          </cell>
          <cell r="F84">
            <v>51.047710713935899</v>
          </cell>
          <cell r="G84">
            <v>21.034566130106199</v>
          </cell>
        </row>
        <row r="85">
          <cell r="A85" t="str">
            <v>CO2</v>
          </cell>
          <cell r="B85" t="str">
            <v>VAR_fout</v>
          </cell>
          <cell r="C85" t="str">
            <v>D-ILFO</v>
          </cell>
          <cell r="E85">
            <v>696.84428324072303</v>
          </cell>
          <cell r="F85">
            <v>659.57888989984804</v>
          </cell>
          <cell r="G85">
            <v>657.33725117208303</v>
          </cell>
          <cell r="H85">
            <v>529.46975774415296</v>
          </cell>
        </row>
        <row r="86">
          <cell r="A86" t="str">
            <v>CO2</v>
          </cell>
          <cell r="B86" t="str">
            <v>VAR_fout</v>
          </cell>
          <cell r="C86" t="str">
            <v>D-TNGA</v>
          </cell>
          <cell r="E86">
            <v>15.3266526020894</v>
          </cell>
          <cell r="F86">
            <v>10.8603436332081</v>
          </cell>
          <cell r="G86">
            <v>14.877501349025</v>
          </cell>
          <cell r="H86">
            <v>3.4697702695636101</v>
          </cell>
        </row>
        <row r="87">
          <cell r="A87" t="str">
            <v>CO2</v>
          </cell>
          <cell r="B87" t="str">
            <v>VAR_fout</v>
          </cell>
          <cell r="C87" t="str">
            <v>D-SNGA</v>
          </cell>
          <cell r="E87">
            <v>1537.95890866073</v>
          </cell>
          <cell r="F87">
            <v>1510.5078021797899</v>
          </cell>
          <cell r="G87">
            <v>1402.0948018409699</v>
          </cell>
          <cell r="H87">
            <v>1097.7432635274099</v>
          </cell>
        </row>
        <row r="88">
          <cell r="A88" t="str">
            <v>CO2</v>
          </cell>
          <cell r="B88" t="str">
            <v>VAR_fout</v>
          </cell>
          <cell r="C88" t="str">
            <v>D-RNGA</v>
          </cell>
          <cell r="E88">
            <v>2686.29232035222</v>
          </cell>
          <cell r="F88">
            <v>2605.0618149319198</v>
          </cell>
          <cell r="G88">
            <v>2636.0764012387099</v>
          </cell>
          <cell r="H88">
            <v>2157.9838635814299</v>
          </cell>
        </row>
        <row r="89">
          <cell r="A89" t="str">
            <v>CO2</v>
          </cell>
          <cell r="B89" t="str">
            <v>VAR_fout</v>
          </cell>
          <cell r="C89" t="str">
            <v>D-SLFO</v>
          </cell>
          <cell r="E89">
            <v>2267.7920244305801</v>
          </cell>
          <cell r="F89">
            <v>1933.6967713973099</v>
          </cell>
          <cell r="G89">
            <v>1957.23968949714</v>
          </cell>
          <cell r="H89">
            <v>1160.40081782383</v>
          </cell>
        </row>
        <row r="90">
          <cell r="A90" t="str">
            <v>CO2</v>
          </cell>
          <cell r="B90" t="str">
            <v>VAR_fout</v>
          </cell>
          <cell r="C90" t="str">
            <v>D-RLFO</v>
          </cell>
          <cell r="E90">
            <v>4514.5291404127502</v>
          </cell>
          <cell r="F90">
            <v>3846.57266256306</v>
          </cell>
          <cell r="G90">
            <v>3706.0219843080899</v>
          </cell>
          <cell r="H90">
            <v>1823.5811585651199</v>
          </cell>
        </row>
        <row r="91">
          <cell r="A91" t="str">
            <v>CO2</v>
          </cell>
          <cell r="B91" t="str">
            <v>VAR_fout</v>
          </cell>
          <cell r="C91" t="str">
            <v>D-TGSL</v>
          </cell>
          <cell r="E91">
            <v>5712.4206332185204</v>
          </cell>
          <cell r="F91">
            <v>5582.94396286557</v>
          </cell>
          <cell r="G91">
            <v>5234.5709407476897</v>
          </cell>
          <cell r="H91">
            <v>3031.9167797288701</v>
          </cell>
        </row>
        <row r="92">
          <cell r="A92" t="str">
            <v>CO2</v>
          </cell>
          <cell r="B92" t="str">
            <v>VAR_fout</v>
          </cell>
          <cell r="C92" t="str">
            <v>SUP_NGAH2CCS</v>
          </cell>
        </row>
        <row r="93">
          <cell r="A93" t="str">
            <v>CO2</v>
          </cell>
          <cell r="B93" t="str">
            <v>VAR_fout</v>
          </cell>
          <cell r="C93" t="str">
            <v>D-INGA</v>
          </cell>
          <cell r="E93">
            <v>2112.5202690565902</v>
          </cell>
          <cell r="F93">
            <v>1841.5167163055601</v>
          </cell>
          <cell r="G93">
            <v>1915.4340317082499</v>
          </cell>
          <cell r="H93">
            <v>1172.48043042719</v>
          </cell>
        </row>
        <row r="94">
          <cell r="A94" t="str">
            <v>CO2</v>
          </cell>
          <cell r="B94" t="str">
            <v>VAR_fout</v>
          </cell>
          <cell r="C94" t="str">
            <v>SUP_DAC</v>
          </cell>
        </row>
        <row r="95">
          <cell r="A95" t="str">
            <v>ENGA</v>
          </cell>
          <cell r="B95" t="str">
            <v>VAR_fout</v>
          </cell>
          <cell r="C95" t="str">
            <v>D-ENGA</v>
          </cell>
          <cell r="E95">
            <v>6.0384889906954458</v>
          </cell>
          <cell r="F95">
            <v>0.90360314582001289</v>
          </cell>
          <cell r="G95">
            <v>0.43274277147993545</v>
          </cell>
        </row>
        <row r="96">
          <cell r="A96" t="str">
            <v>ILFO</v>
          </cell>
          <cell r="B96" t="str">
            <v>VAR_fout</v>
          </cell>
          <cell r="C96" t="str">
            <v>D-ILFO</v>
          </cell>
          <cell r="E96">
            <v>9.2972343502235013</v>
          </cell>
          <cell r="F96">
            <v>8.800042791971638</v>
          </cell>
          <cell r="G96">
            <v>8.7710485782458143</v>
          </cell>
          <cell r="H96">
            <v>7.2996031348107948</v>
          </cell>
        </row>
        <row r="97">
          <cell r="A97" t="str">
            <v>CHEAT</v>
          </cell>
          <cell r="B97" t="str">
            <v>VAR_fout</v>
          </cell>
          <cell r="C97" t="str">
            <v>D-CHEAT</v>
          </cell>
        </row>
        <row r="98">
          <cell r="A98" t="str">
            <v>CHEAT</v>
          </cell>
          <cell r="B98" t="str">
            <v>VAR_fin</v>
          </cell>
          <cell r="C98" t="str">
            <v>SUP_ELCH2_SOEC</v>
          </cell>
        </row>
        <row r="99">
          <cell r="A99" t="str">
            <v>CHEAT</v>
          </cell>
          <cell r="B99" t="str">
            <v>VAR_fin</v>
          </cell>
          <cell r="C99" t="str">
            <v>SUP_DAC</v>
          </cell>
        </row>
        <row r="100">
          <cell r="A100" t="str">
            <v>EH2</v>
          </cell>
          <cell r="B100" t="str">
            <v>VAR_fout</v>
          </cell>
          <cell r="C100" t="str">
            <v>D-ENGA</v>
          </cell>
        </row>
        <row r="101">
          <cell r="A101" t="str">
            <v>TDSL</v>
          </cell>
          <cell r="B101" t="str">
            <v>VAR_fout</v>
          </cell>
          <cell r="C101" t="str">
            <v>D-TBDS1</v>
          </cell>
          <cell r="E101">
            <v>2.9709603938165858</v>
          </cell>
          <cell r="F101">
            <v>2.9721740015845719</v>
          </cell>
          <cell r="G101">
            <v>4.4006224837199213</v>
          </cell>
          <cell r="H101">
            <v>2.9658931852739499</v>
          </cell>
        </row>
        <row r="102">
          <cell r="A102" t="str">
            <v>CNGA</v>
          </cell>
          <cell r="B102" t="str">
            <v>VAR_fout</v>
          </cell>
          <cell r="C102" t="str">
            <v>D-CNGA</v>
          </cell>
        </row>
        <row r="103">
          <cell r="A103" t="str">
            <v>CNGA</v>
          </cell>
          <cell r="B103" t="str">
            <v>VAR_fin</v>
          </cell>
          <cell r="C103" t="str">
            <v>SUP_NGAH2</v>
          </cell>
        </row>
        <row r="104">
          <cell r="A104" t="str">
            <v>CNGA</v>
          </cell>
          <cell r="B104" t="str">
            <v>VAR_fin</v>
          </cell>
          <cell r="C104" t="str">
            <v>SUP_NGAH2CCS</v>
          </cell>
        </row>
        <row r="105">
          <cell r="A105" t="str">
            <v>LBIO</v>
          </cell>
          <cell r="B105" t="str">
            <v>VAR_fin</v>
          </cell>
          <cell r="C105" t="str">
            <v>D-LBIO</v>
          </cell>
          <cell r="H105">
            <v>6.37438660137563E-3</v>
          </cell>
        </row>
        <row r="106">
          <cell r="A106" t="str">
            <v>H2_E</v>
          </cell>
          <cell r="B106" t="str">
            <v>VAR_fout</v>
          </cell>
          <cell r="C106" t="str">
            <v>SUP_ELCH2_D</v>
          </cell>
          <cell r="H106">
            <v>1.3121917355214154E-4</v>
          </cell>
        </row>
        <row r="107">
          <cell r="A107" t="str">
            <v>H2_E</v>
          </cell>
          <cell r="B107" t="str">
            <v>VAR_fin</v>
          </cell>
          <cell r="C107" t="str">
            <v>D-DH2</v>
          </cell>
          <cell r="H107">
            <v>1.3121917355214154E-4</v>
          </cell>
        </row>
        <row r="108">
          <cell r="A108" t="str">
            <v>BNGA</v>
          </cell>
          <cell r="B108" t="str">
            <v>VAR_fout</v>
          </cell>
          <cell r="C108" t="str">
            <v>SUP_BIONGA</v>
          </cell>
          <cell r="E108">
            <v>1.176538351110521</v>
          </cell>
          <cell r="F108">
            <v>4.0703958725878522</v>
          </cell>
          <cell r="G108">
            <v>4.0703871199199924</v>
          </cell>
          <cell r="H108">
            <v>4.0711611860050017</v>
          </cell>
        </row>
        <row r="109">
          <cell r="A109" t="str">
            <v>BNGA</v>
          </cell>
          <cell r="B109" t="str">
            <v>VAR_fin</v>
          </cell>
          <cell r="C109" t="str">
            <v>D-ENGA</v>
          </cell>
          <cell r="E109">
            <v>0.23090106408996414</v>
          </cell>
          <cell r="F109">
            <v>1.8160741708219189E-3</v>
          </cell>
          <cell r="G109">
            <v>6.1171919835109959E-2</v>
          </cell>
        </row>
        <row r="110">
          <cell r="A110" t="str">
            <v>BNGA</v>
          </cell>
          <cell r="B110" t="str">
            <v>VAR_fin</v>
          </cell>
          <cell r="C110" t="str">
            <v>D-CNGA</v>
          </cell>
        </row>
        <row r="111">
          <cell r="A111" t="str">
            <v>BNGA</v>
          </cell>
          <cell r="B111" t="str">
            <v>VAR_fin</v>
          </cell>
          <cell r="C111" t="str">
            <v>D-TNGA</v>
          </cell>
          <cell r="E111">
            <v>2.3790307969536788E-2</v>
          </cell>
          <cell r="F111">
            <v>2.0808875239340906E-2</v>
          </cell>
          <cell r="G111">
            <v>2.7220217970123292E-2</v>
          </cell>
          <cell r="H111">
            <v>1.2361840836107522E-2</v>
          </cell>
        </row>
        <row r="112">
          <cell r="A112" t="str">
            <v>BNGA</v>
          </cell>
          <cell r="B112" t="str">
            <v>VAR_fin</v>
          </cell>
          <cell r="C112" t="str">
            <v>D-SNGA</v>
          </cell>
          <cell r="E112">
            <v>0.30033181946995979</v>
          </cell>
          <cell r="F112">
            <v>1.7974186171672832</v>
          </cell>
          <cell r="G112">
            <v>0.73520222141499658</v>
          </cell>
          <cell r="H112">
            <v>0.72140289686061543</v>
          </cell>
        </row>
        <row r="113">
          <cell r="A113" t="str">
            <v>BNGA</v>
          </cell>
          <cell r="B113" t="str">
            <v>VAR_fin</v>
          </cell>
          <cell r="C113" t="str">
            <v>D-RNGA</v>
          </cell>
          <cell r="E113">
            <v>0.30400857413150201</v>
          </cell>
          <cell r="F113">
            <v>2.2488915927357054</v>
          </cell>
          <cell r="G113">
            <v>0.87304549805444343</v>
          </cell>
          <cell r="H113">
            <v>0.96348454954207119</v>
          </cell>
        </row>
        <row r="114">
          <cell r="A114" t="str">
            <v>BNGA</v>
          </cell>
          <cell r="B114" t="str">
            <v>VAR_fin</v>
          </cell>
          <cell r="C114" t="str">
            <v>D-INGA</v>
          </cell>
          <cell r="E114">
            <v>0.31787099163468469</v>
          </cell>
          <cell r="F114">
            <v>3.424517107988538E-3</v>
          </cell>
          <cell r="G114">
            <v>2.3752694965447527</v>
          </cell>
          <cell r="H114">
            <v>2.3755356612297041</v>
          </cell>
        </row>
        <row r="115">
          <cell r="A115" t="str">
            <v>LFO</v>
          </cell>
          <cell r="B115" t="str">
            <v>VAR_fin</v>
          </cell>
          <cell r="C115" t="str">
            <v>D-ILFO</v>
          </cell>
          <cell r="E115">
            <v>9.455146312628532</v>
          </cell>
          <cell r="F115">
            <v>8.9495100393466611</v>
          </cell>
          <cell r="G115">
            <v>8.9190943171246015</v>
          </cell>
          <cell r="H115">
            <v>7.1841215433399217</v>
          </cell>
        </row>
        <row r="116">
          <cell r="A116" t="str">
            <v>LFO</v>
          </cell>
          <cell r="B116" t="str">
            <v>VAR_fin</v>
          </cell>
          <cell r="C116" t="str">
            <v>D-SLFO</v>
          </cell>
          <cell r="E116">
            <v>30.770583777891158</v>
          </cell>
          <cell r="F116">
            <v>26.237405310682689</v>
          </cell>
          <cell r="G116">
            <v>26.556847890056115</v>
          </cell>
          <cell r="H116">
            <v>15.744922901273103</v>
          </cell>
        </row>
        <row r="117">
          <cell r="A117" t="str">
            <v>LFO</v>
          </cell>
          <cell r="B117" t="str">
            <v>VAR_fin</v>
          </cell>
          <cell r="C117" t="str">
            <v>D-RLFO</v>
          </cell>
          <cell r="E117">
            <v>61.25548358768993</v>
          </cell>
          <cell r="F117">
            <v>52.192302070055007</v>
          </cell>
          <cell r="G117">
            <v>50.285237236201965</v>
          </cell>
          <cell r="H117">
            <v>24.743299302104791</v>
          </cell>
        </row>
        <row r="118">
          <cell r="A118" t="str">
            <v>MNR</v>
          </cell>
          <cell r="B118" t="str">
            <v>VAR_fin</v>
          </cell>
          <cell r="C118" t="str">
            <v>SUP_MNRBIO</v>
          </cell>
          <cell r="E118">
            <v>3.7982918878914633</v>
          </cell>
          <cell r="F118">
            <v>12.540359083790694</v>
          </cell>
          <cell r="G118">
            <v>12.540421416964007</v>
          </cell>
          <cell r="H118">
            <v>12.540431121177249</v>
          </cell>
        </row>
        <row r="119">
          <cell r="A119" t="str">
            <v>TNGA</v>
          </cell>
          <cell r="B119" t="str">
            <v>VAR_fout</v>
          </cell>
          <cell r="C119" t="str">
            <v>D-TNGA</v>
          </cell>
          <cell r="E119">
            <v>0.29459975544247907</v>
          </cell>
          <cell r="F119">
            <v>0.21484073599650791</v>
          </cell>
          <cell r="G119">
            <v>0.29195931596873653</v>
          </cell>
          <cell r="H119">
            <v>7.4326327389226982E-2</v>
          </cell>
        </row>
        <row r="120">
          <cell r="A120" t="str">
            <v>WOD</v>
          </cell>
          <cell r="B120" t="str">
            <v>VAR_fin</v>
          </cell>
          <cell r="C120" t="str">
            <v>D-CWOD</v>
          </cell>
          <cell r="E120">
            <v>10.646030462301285</v>
          </cell>
          <cell r="F120">
            <v>12.436290031770413</v>
          </cell>
          <cell r="G120">
            <v>8.9490637589908157</v>
          </cell>
          <cell r="H120">
            <v>6.9407741015686106</v>
          </cell>
        </row>
        <row r="121">
          <cell r="A121" t="str">
            <v>GSL</v>
          </cell>
          <cell r="B121" t="str">
            <v>VAR_fout</v>
          </cell>
          <cell r="C121" t="str">
            <v>SUP_H2GSL</v>
          </cell>
        </row>
        <row r="122">
          <cell r="A122" t="str">
            <v>GSL</v>
          </cell>
          <cell r="B122" t="str">
            <v>VAR_fin</v>
          </cell>
          <cell r="C122" t="str">
            <v>D-TGSL</v>
          </cell>
          <cell r="E122">
            <v>77.404073620847043</v>
          </cell>
          <cell r="F122">
            <v>75.649647193300396</v>
          </cell>
          <cell r="G122">
            <v>70.929145538586567</v>
          </cell>
          <cell r="H122">
            <v>41.082883194158065</v>
          </cell>
        </row>
        <row r="123">
          <cell r="A123" t="str">
            <v>IBIO</v>
          </cell>
          <cell r="B123" t="str">
            <v>VAR_fout</v>
          </cell>
          <cell r="C123" t="str">
            <v>D-IBIO</v>
          </cell>
          <cell r="E123">
            <v>0.43687091603376721</v>
          </cell>
          <cell r="F123">
            <v>0.55213811081003705</v>
          </cell>
          <cell r="G123">
            <v>1.6042881164276321</v>
          </cell>
          <cell r="H123">
            <v>3.1475976994673842</v>
          </cell>
        </row>
        <row r="124">
          <cell r="A124" t="str">
            <v>SNGA</v>
          </cell>
          <cell r="B124" t="str">
            <v>VAR_fout</v>
          </cell>
          <cell r="C124" t="str">
            <v>D-SNGA</v>
          </cell>
          <cell r="E124">
            <v>27.481314450275502</v>
          </cell>
          <cell r="F124">
            <v>28.488462048411687</v>
          </cell>
          <cell r="G124">
            <v>25.513533100884118</v>
          </cell>
          <cell r="H124">
            <v>20.120063683144217</v>
          </cell>
        </row>
        <row r="125">
          <cell r="A125" t="str">
            <v>AUX_H2STG_IN</v>
          </cell>
          <cell r="B125" t="str">
            <v>VAR_fin</v>
          </cell>
          <cell r="C125" t="str">
            <v>STG-H2</v>
          </cell>
          <cell r="H125">
            <v>1.4743778318522348E-4</v>
          </cell>
        </row>
        <row r="126">
          <cell r="A126" t="str">
            <v>AUX_H2STG_IN</v>
          </cell>
          <cell r="B126" t="str">
            <v>VAR_fin</v>
          </cell>
          <cell r="C126" t="str">
            <v>STG-H2</v>
          </cell>
          <cell r="H126">
            <v>6.1220145371705041E-4</v>
          </cell>
        </row>
        <row r="127">
          <cell r="A127" t="str">
            <v>AUX_H2STG_IN</v>
          </cell>
          <cell r="B127" t="str">
            <v>VAR_fin</v>
          </cell>
          <cell r="C127" t="str">
            <v>STG-H2</v>
          </cell>
          <cell r="H127">
            <v>1.3387508710156147E-4</v>
          </cell>
        </row>
        <row r="128">
          <cell r="A128" t="str">
            <v>AUX_H2STG_IN</v>
          </cell>
          <cell r="B128" t="str">
            <v>VAR_fin</v>
          </cell>
          <cell r="C128" t="str">
            <v>STG-H2</v>
          </cell>
          <cell r="H128">
            <v>1.4302647496446065E-4</v>
          </cell>
        </row>
        <row r="129">
          <cell r="A129" t="str">
            <v>AUX_H2STG_IN</v>
          </cell>
          <cell r="B129" t="str">
            <v>VAR_fin</v>
          </cell>
          <cell r="C129" t="str">
            <v>STG-H2</v>
          </cell>
          <cell r="H129">
            <v>1.8786210846580525E-4</v>
          </cell>
        </row>
        <row r="130">
          <cell r="A130" t="str">
            <v>H2</v>
          </cell>
          <cell r="B130" t="str">
            <v>VAR_fout</v>
          </cell>
          <cell r="C130" t="str">
            <v>SUP_NGAH2</v>
          </cell>
        </row>
        <row r="131">
          <cell r="A131" t="str">
            <v>H2</v>
          </cell>
          <cell r="B131" t="str">
            <v>VAR_fout</v>
          </cell>
          <cell r="C131" t="str">
            <v>STG-H2</v>
          </cell>
          <cell r="H131">
            <v>1.5055723523069831E-4</v>
          </cell>
        </row>
        <row r="132">
          <cell r="A132" t="str">
            <v>H2</v>
          </cell>
          <cell r="B132" t="str">
            <v>VAR_fout</v>
          </cell>
          <cell r="C132" t="str">
            <v>STG-H2</v>
          </cell>
          <cell r="H132">
            <v>6.0610023901718423E-4</v>
          </cell>
        </row>
        <row r="133">
          <cell r="A133" t="str">
            <v>H2</v>
          </cell>
          <cell r="B133" t="str">
            <v>VAR_fout</v>
          </cell>
          <cell r="C133" t="str">
            <v>STG-H2</v>
          </cell>
          <cell r="H133">
            <v>1.7889991376385565E-4</v>
          </cell>
        </row>
        <row r="134">
          <cell r="A134" t="str">
            <v>H2</v>
          </cell>
          <cell r="B134" t="str">
            <v>VAR_fout</v>
          </cell>
          <cell r="C134" t="str">
            <v>STG-H2</v>
          </cell>
          <cell r="H134">
            <v>1.4955773597960729E-4</v>
          </cell>
        </row>
        <row r="135">
          <cell r="A135" t="str">
            <v>H2</v>
          </cell>
          <cell r="B135" t="str">
            <v>VAR_fout</v>
          </cell>
          <cell r="C135" t="str">
            <v>STG-H2</v>
          </cell>
          <cell r="H135">
            <v>1.2708535404302144E-4</v>
          </cell>
        </row>
        <row r="136">
          <cell r="A136" t="str">
            <v>H2</v>
          </cell>
          <cell r="B136" t="str">
            <v>VAR_fout</v>
          </cell>
          <cell r="C136" t="str">
            <v>IMPH2</v>
          </cell>
        </row>
        <row r="137">
          <cell r="A137" t="str">
            <v>H2</v>
          </cell>
          <cell r="B137" t="str">
            <v>VAR_fout</v>
          </cell>
          <cell r="C137" t="str">
            <v>SUP_WODH2</v>
          </cell>
          <cell r="H137">
            <v>8.9002583468709602E-3</v>
          </cell>
        </row>
        <row r="138">
          <cell r="A138" t="str">
            <v>H2</v>
          </cell>
          <cell r="B138" t="str">
            <v>VAR_fout</v>
          </cell>
          <cell r="C138" t="str">
            <v>SUP_ELCH2_SOEC</v>
          </cell>
        </row>
        <row r="139">
          <cell r="A139" t="str">
            <v>H2</v>
          </cell>
          <cell r="B139" t="str">
            <v>VAR_fout</v>
          </cell>
          <cell r="C139" t="str">
            <v>SUP_NGAH2CCS</v>
          </cell>
        </row>
        <row r="140">
          <cell r="A140" t="str">
            <v>H2</v>
          </cell>
          <cell r="B140" t="str">
            <v>VAR_fout</v>
          </cell>
          <cell r="C140" t="str">
            <v>SUP_ELCH2</v>
          </cell>
          <cell r="E140">
            <v>5.0244558197298922E-3</v>
          </cell>
          <cell r="F140">
            <v>2.0506674049789439E-2</v>
          </cell>
          <cell r="G140">
            <v>2.1291578446892351E-2</v>
          </cell>
          <cell r="H140">
            <v>9.0276552669671578E-2</v>
          </cell>
        </row>
        <row r="141">
          <cell r="A141" t="str">
            <v>H2</v>
          </cell>
          <cell r="B141" t="str">
            <v>VAR_fout</v>
          </cell>
          <cell r="C141" t="str">
            <v>D-DH2</v>
          </cell>
          <cell r="H141">
            <v>1.2990698181662011E-4</v>
          </cell>
        </row>
        <row r="142">
          <cell r="A142" t="str">
            <v>H2</v>
          </cell>
          <cell r="B142" t="str">
            <v>VAR_fin</v>
          </cell>
          <cell r="C142" t="str">
            <v>STG-H2</v>
          </cell>
          <cell r="H142">
            <v>1.4743778318522348E-4</v>
          </cell>
        </row>
        <row r="143">
          <cell r="A143" t="str">
            <v>H2</v>
          </cell>
          <cell r="B143" t="str">
            <v>VAR_fin</v>
          </cell>
          <cell r="C143" t="str">
            <v>STG-H2</v>
          </cell>
          <cell r="H143">
            <v>6.1220145371705041E-4</v>
          </cell>
        </row>
        <row r="144">
          <cell r="A144" t="str">
            <v>H2</v>
          </cell>
          <cell r="B144" t="str">
            <v>VAR_fin</v>
          </cell>
          <cell r="C144" t="str">
            <v>STG-H2</v>
          </cell>
          <cell r="H144">
            <v>1.3387508710156147E-4</v>
          </cell>
        </row>
        <row r="145">
          <cell r="A145" t="str">
            <v>H2</v>
          </cell>
          <cell r="B145" t="str">
            <v>VAR_fin</v>
          </cell>
          <cell r="C145" t="str">
            <v>STG-H2</v>
          </cell>
          <cell r="H145">
            <v>1.4302647496446065E-4</v>
          </cell>
        </row>
        <row r="146">
          <cell r="A146" t="str">
            <v>H2</v>
          </cell>
          <cell r="B146" t="str">
            <v>VAR_fin</v>
          </cell>
          <cell r="C146" t="str">
            <v>STG-H2</v>
          </cell>
          <cell r="H146">
            <v>1.8786210846580525E-4</v>
          </cell>
        </row>
        <row r="147">
          <cell r="A147" t="str">
            <v>H2</v>
          </cell>
          <cell r="B147" t="str">
            <v>VAR_fin</v>
          </cell>
          <cell r="C147" t="str">
            <v>SUP_H2NGA</v>
          </cell>
        </row>
        <row r="148">
          <cell r="A148" t="str">
            <v>H2</v>
          </cell>
          <cell r="B148" t="str">
            <v>VAR_fin</v>
          </cell>
          <cell r="C148" t="str">
            <v>D-ENGA</v>
          </cell>
        </row>
        <row r="149">
          <cell r="A149" t="str">
            <v>H2</v>
          </cell>
          <cell r="B149" t="str">
            <v>VAR_fin</v>
          </cell>
          <cell r="C149" t="str">
            <v>D-TNGA</v>
          </cell>
          <cell r="F149">
            <v>2.1578738839249396E-3</v>
          </cell>
          <cell r="G149">
            <v>1.8849027709331799E-3</v>
          </cell>
          <cell r="H149">
            <v>1.9525443601306315E-3</v>
          </cell>
        </row>
        <row r="150">
          <cell r="A150" t="str">
            <v>H2</v>
          </cell>
          <cell r="B150" t="str">
            <v>VAR_fin</v>
          </cell>
          <cell r="C150" t="str">
            <v>SUP_H2GSL</v>
          </cell>
        </row>
        <row r="151">
          <cell r="A151" t="str">
            <v>H2</v>
          </cell>
          <cell r="B151" t="str">
            <v>VAR_fin</v>
          </cell>
          <cell r="C151" t="str">
            <v>D-SNGA</v>
          </cell>
          <cell r="H151">
            <v>3.5588837948649373E-2</v>
          </cell>
        </row>
        <row r="152">
          <cell r="A152" t="str">
            <v>H2</v>
          </cell>
          <cell r="B152" t="str">
            <v>VAR_fin</v>
          </cell>
          <cell r="C152" t="str">
            <v>D-RNGA</v>
          </cell>
          <cell r="H152">
            <v>4.232757097861288E-2</v>
          </cell>
        </row>
        <row r="153">
          <cell r="A153" t="str">
            <v>H2</v>
          </cell>
          <cell r="B153" t="str">
            <v>VAR_fin</v>
          </cell>
          <cell r="C153" t="str">
            <v>D-INGA</v>
          </cell>
        </row>
        <row r="154">
          <cell r="A154" t="str">
            <v>H2</v>
          </cell>
          <cell r="B154" t="str">
            <v>VAR_fin</v>
          </cell>
          <cell r="C154" t="str">
            <v>SUP_H2DSL</v>
          </cell>
        </row>
        <row r="155">
          <cell r="A155" t="str">
            <v>AUX_H2STG_OUT</v>
          </cell>
          <cell r="B155" t="str">
            <v>VAR_fout</v>
          </cell>
          <cell r="C155" t="str">
            <v>STG-H2</v>
          </cell>
          <cell r="H155">
            <v>1.5055723523069831E-4</v>
          </cell>
        </row>
        <row r="156">
          <cell r="A156" t="str">
            <v>AUX_H2STG_OUT</v>
          </cell>
          <cell r="B156" t="str">
            <v>VAR_fout</v>
          </cell>
          <cell r="C156" t="str">
            <v>STG-H2</v>
          </cell>
          <cell r="H156">
            <v>6.0610023901718423E-4</v>
          </cell>
        </row>
        <row r="157">
          <cell r="A157" t="str">
            <v>AUX_H2STG_OUT</v>
          </cell>
          <cell r="B157" t="str">
            <v>VAR_fout</v>
          </cell>
          <cell r="C157" t="str">
            <v>STG-H2</v>
          </cell>
          <cell r="H157">
            <v>1.7889991376385565E-4</v>
          </cell>
        </row>
        <row r="158">
          <cell r="A158" t="str">
            <v>AUX_H2STG_OUT</v>
          </cell>
          <cell r="B158" t="str">
            <v>VAR_fout</v>
          </cell>
          <cell r="C158" t="str">
            <v>STG-H2</v>
          </cell>
          <cell r="H158">
            <v>1.4955773597960729E-4</v>
          </cell>
        </row>
        <row r="159">
          <cell r="A159" t="str">
            <v>AUX_H2STG_OUT</v>
          </cell>
          <cell r="B159" t="str">
            <v>VAR_fout</v>
          </cell>
          <cell r="C159" t="str">
            <v>STG-H2</v>
          </cell>
          <cell r="H159">
            <v>1.2708535404302144E-4</v>
          </cell>
        </row>
        <row r="160">
          <cell r="A160" t="str">
            <v>RNGA</v>
          </cell>
          <cell r="B160" t="str">
            <v>VAR_fout</v>
          </cell>
          <cell r="C160" t="str">
            <v>D-RNGA</v>
          </cell>
          <cell r="E160">
            <v>47.78066398916684</v>
          </cell>
          <cell r="F160">
            <v>48.283682865512411</v>
          </cell>
          <cell r="G160">
            <v>47.460370951729558</v>
          </cell>
          <cell r="H160">
            <v>39.099934607424856</v>
          </cell>
        </row>
        <row r="161">
          <cell r="A161" t="str">
            <v>CWOD</v>
          </cell>
          <cell r="B161" t="str">
            <v>VAR_fout</v>
          </cell>
          <cell r="C161" t="str">
            <v>D-CWOD</v>
          </cell>
          <cell r="E161">
            <v>10.646030462301285</v>
          </cell>
          <cell r="F161">
            <v>12.436290031770413</v>
          </cell>
          <cell r="G161">
            <v>8.9490637589908157</v>
          </cell>
          <cell r="H161">
            <v>6.9407741015686106</v>
          </cell>
        </row>
        <row r="162">
          <cell r="A162" t="str">
            <v>CWOD</v>
          </cell>
          <cell r="B162" t="str">
            <v>VAR_fin</v>
          </cell>
          <cell r="C162" t="str">
            <v>SUP_WODH2</v>
          </cell>
          <cell r="H162">
            <v>1.483376391145161E-2</v>
          </cell>
        </row>
        <row r="163">
          <cell r="A163" t="str">
            <v>CWOD</v>
          </cell>
          <cell r="B163" t="str">
            <v>VAR_fin</v>
          </cell>
          <cell r="C163" t="str">
            <v>SUP_WODBIO</v>
          </cell>
          <cell r="F163">
            <v>6.1858594615151257E-3</v>
          </cell>
          <cell r="G163">
            <v>2.7962117463384306E-3</v>
          </cell>
          <cell r="H163">
            <v>9.1333874906922713E-3</v>
          </cell>
        </row>
        <row r="164">
          <cell r="A164" t="str">
            <v>CWOD</v>
          </cell>
          <cell r="B164" t="str">
            <v>VAR_fin</v>
          </cell>
          <cell r="C164" t="str">
            <v>CT_CWODBDS</v>
          </cell>
          <cell r="E164">
            <v>0.39666506342095031</v>
          </cell>
          <cell r="F164">
            <v>3.4275574377838676</v>
          </cell>
          <cell r="G164">
            <v>3.4229528974398034</v>
          </cell>
          <cell r="H164">
            <v>5.7147386060586461E-2</v>
          </cell>
        </row>
        <row r="165">
          <cell r="A165" t="str">
            <v>CWOD</v>
          </cell>
          <cell r="B165" t="str">
            <v>VAR_fin</v>
          </cell>
          <cell r="C165" t="str">
            <v>CT_CWODPLT</v>
          </cell>
          <cell r="E165">
            <v>7.1192584232116349</v>
          </cell>
          <cell r="F165">
            <v>8.2975348699465012</v>
          </cell>
          <cell r="G165">
            <v>2.3092599269542635</v>
          </cell>
          <cell r="H165">
            <v>2.7099861417669389</v>
          </cell>
        </row>
        <row r="166">
          <cell r="A166" t="str">
            <v>CWOD</v>
          </cell>
          <cell r="B166" t="str">
            <v>VAR_fin</v>
          </cell>
          <cell r="C166" t="str">
            <v>CT_CWODETH</v>
          </cell>
          <cell r="E166">
            <v>3.1301069756686961</v>
          </cell>
          <cell r="F166">
            <v>0.70501186457851961</v>
          </cell>
          <cell r="G166">
            <v>3.2140547228504026</v>
          </cell>
          <cell r="H166">
            <v>4.1507224626111485</v>
          </cell>
        </row>
        <row r="167">
          <cell r="A167" t="str">
            <v>KER</v>
          </cell>
          <cell r="B167" t="str">
            <v>VAR_fout</v>
          </cell>
          <cell r="C167" t="str">
            <v>SUP_H2DSL</v>
          </cell>
        </row>
        <row r="168">
          <cell r="A168" t="str">
            <v>BDS</v>
          </cell>
          <cell r="B168" t="str">
            <v>VAR_fout</v>
          </cell>
          <cell r="C168" t="str">
            <v>IMPBDS</v>
          </cell>
          <cell r="E168">
            <v>2.8760887320951913</v>
          </cell>
          <cell r="F168">
            <v>1.8147572347056704</v>
          </cell>
          <cell r="G168">
            <v>3.2885273479649721</v>
          </cell>
          <cell r="H168">
            <v>3.3872223381656861</v>
          </cell>
        </row>
        <row r="169">
          <cell r="A169" t="str">
            <v>BDS</v>
          </cell>
          <cell r="B169" t="str">
            <v>VAR_fout</v>
          </cell>
          <cell r="C169" t="str">
            <v>CT_CWODBDS</v>
          </cell>
          <cell r="E169">
            <v>0.13920514596278311</v>
          </cell>
          <cell r="F169">
            <v>1.2028627611103246</v>
          </cell>
          <cell r="G169">
            <v>1.2012468494261463</v>
          </cell>
          <cell r="H169">
            <v>2.0055232869130191E-2</v>
          </cell>
        </row>
        <row r="170">
          <cell r="A170" t="str">
            <v>BDS</v>
          </cell>
          <cell r="B170" t="str">
            <v>VAR_fin</v>
          </cell>
          <cell r="C170" t="str">
            <v>D-ILFO</v>
          </cell>
          <cell r="G170">
            <v>1.03544304550713E-3</v>
          </cell>
          <cell r="H170">
            <v>0.23949978993615362</v>
          </cell>
        </row>
        <row r="171">
          <cell r="A171" t="str">
            <v>BDS</v>
          </cell>
          <cell r="B171" t="str">
            <v>VAR_fin</v>
          </cell>
          <cell r="C171" t="str">
            <v>D-SLFO</v>
          </cell>
          <cell r="G171">
            <v>9.5317539077009793E-4</v>
          </cell>
          <cell r="H171">
            <v>7.4854263886987692E-3</v>
          </cell>
        </row>
        <row r="172">
          <cell r="A172" t="str">
            <v>BDS</v>
          </cell>
          <cell r="B172" t="str">
            <v>VAR_fin</v>
          </cell>
          <cell r="C172" t="str">
            <v>D-RLFO</v>
          </cell>
          <cell r="G172">
            <v>9.5434524827599904E-4</v>
          </cell>
          <cell r="H172">
            <v>7.5287058467960605E-3</v>
          </cell>
        </row>
        <row r="173">
          <cell r="A173" t="str">
            <v>BDS</v>
          </cell>
          <cell r="B173" t="str">
            <v>VAR_fin</v>
          </cell>
          <cell r="C173" t="str">
            <v>D-TBDS1</v>
          </cell>
          <cell r="E173">
            <v>3.0152938780579746</v>
          </cell>
          <cell r="F173">
            <v>3.0176199958159944</v>
          </cell>
          <cell r="G173">
            <v>4.4869528449122704</v>
          </cell>
          <cell r="H173">
            <v>3.1529000612231211</v>
          </cell>
        </row>
        <row r="174">
          <cell r="A174" t="str">
            <v>BIO</v>
          </cell>
          <cell r="B174" t="str">
            <v>VAR_fout</v>
          </cell>
          <cell r="C174" t="str">
            <v>SUP_WSTHTGBIO</v>
          </cell>
        </row>
        <row r="175">
          <cell r="A175" t="str">
            <v>BIO</v>
          </cell>
          <cell r="B175" t="str">
            <v>VAR_fout</v>
          </cell>
          <cell r="C175" t="str">
            <v>SUP_WSTBIO</v>
          </cell>
          <cell r="E175">
            <v>5.6294618300527715</v>
          </cell>
          <cell r="F175">
            <v>6.3922909624357347</v>
          </cell>
          <cell r="G175">
            <v>5.9210631640321649</v>
          </cell>
          <cell r="H175">
            <v>6.9211513247449021</v>
          </cell>
        </row>
        <row r="176">
          <cell r="A176" t="str">
            <v>BIO</v>
          </cell>
          <cell r="B176" t="str">
            <v>VAR_fout</v>
          </cell>
          <cell r="C176" t="str">
            <v>D-LBIO</v>
          </cell>
          <cell r="H176">
            <v>6.37438660137563E-3</v>
          </cell>
        </row>
        <row r="177">
          <cell r="A177" t="str">
            <v>BIO</v>
          </cell>
          <cell r="B177" t="str">
            <v>VAR_fout</v>
          </cell>
          <cell r="C177" t="str">
            <v>SUP_MNRBIO</v>
          </cell>
          <cell r="E177">
            <v>1.3280740866753387</v>
          </cell>
          <cell r="F177">
            <v>4.3847409383883615</v>
          </cell>
          <cell r="G177">
            <v>4.3847627332042052</v>
          </cell>
          <cell r="H177">
            <v>4.3847661262857534</v>
          </cell>
        </row>
        <row r="178">
          <cell r="A178" t="str">
            <v>BIO</v>
          </cell>
          <cell r="B178" t="str">
            <v>VAR_fout</v>
          </cell>
          <cell r="C178" t="str">
            <v>SUP_WODBIO</v>
          </cell>
          <cell r="F178">
            <v>4.5821181196408333E-3</v>
          </cell>
          <cell r="G178">
            <v>2.0712679602506927E-3</v>
          </cell>
          <cell r="H178">
            <v>6.7654722153275993E-3</v>
          </cell>
        </row>
        <row r="179">
          <cell r="A179" t="str">
            <v>BIO</v>
          </cell>
          <cell r="B179" t="str">
            <v>VAR_fin</v>
          </cell>
          <cell r="C179" t="str">
            <v>D-IBIO</v>
          </cell>
          <cell r="E179">
            <v>0.43687091603376721</v>
          </cell>
          <cell r="F179">
            <v>0.55213811081003705</v>
          </cell>
          <cell r="G179">
            <v>1.6042881164276321</v>
          </cell>
          <cell r="H179">
            <v>3.1475976994673842</v>
          </cell>
        </row>
        <row r="180">
          <cell r="A180" t="str">
            <v>BIO</v>
          </cell>
          <cell r="B180" t="str">
            <v>VAR_fin</v>
          </cell>
          <cell r="C180" t="str">
            <v>D-EBIO</v>
          </cell>
          <cell r="E180">
            <v>1.1840860449880417</v>
          </cell>
          <cell r="F180">
            <v>1.1840191929471144</v>
          </cell>
          <cell r="G180">
            <v>1.1840291827246885</v>
          </cell>
          <cell r="H180">
            <v>1.1840199951870698</v>
          </cell>
        </row>
        <row r="181">
          <cell r="A181" t="str">
            <v>BIO</v>
          </cell>
          <cell r="B181" t="str">
            <v>VAR_fin</v>
          </cell>
          <cell r="C181" t="str">
            <v>D-CBIO</v>
          </cell>
          <cell r="E181">
            <v>1.2891444077490366</v>
          </cell>
          <cell r="F181">
            <v>4.4599719775547415</v>
          </cell>
          <cell r="G181">
            <v>4.4599623871722374</v>
          </cell>
          <cell r="H181">
            <v>4.4608105388400263</v>
          </cell>
        </row>
        <row r="182">
          <cell r="A182" t="str">
            <v>BIO</v>
          </cell>
          <cell r="B182" t="str">
            <v>VAR_fin</v>
          </cell>
          <cell r="C182" t="str">
            <v>D-SBIO</v>
          </cell>
          <cell r="E182">
            <v>4.0479078015955148</v>
          </cell>
          <cell r="F182">
            <v>4.5874623138564417</v>
          </cell>
          <cell r="G182">
            <v>3.0613866770378437</v>
          </cell>
          <cell r="H182">
            <v>3.0405769708236456</v>
          </cell>
        </row>
        <row r="183">
          <cell r="A183" t="str">
            <v>TKERintl_SAF</v>
          </cell>
          <cell r="B183" t="str">
            <v>VAR_fout</v>
          </cell>
          <cell r="C183" t="str">
            <v>D-TBDS1intl</v>
          </cell>
          <cell r="H183">
            <v>5.0110853059788303</v>
          </cell>
        </row>
        <row r="184">
          <cell r="A184" t="str">
            <v>EBIO</v>
          </cell>
          <cell r="B184" t="str">
            <v>VAR_fout</v>
          </cell>
          <cell r="C184" t="str">
            <v>D-EBIO</v>
          </cell>
          <cell r="E184">
            <v>1.1840860449880417</v>
          </cell>
          <cell r="F184">
            <v>1.1840191929471144</v>
          </cell>
          <cell r="G184">
            <v>1.1840291827246885</v>
          </cell>
          <cell r="H184">
            <v>1.1840199951870698</v>
          </cell>
        </row>
        <row r="185">
          <cell r="A185" t="str">
            <v>PLT</v>
          </cell>
          <cell r="B185" t="str">
            <v>VAR_fout</v>
          </cell>
          <cell r="C185" t="str">
            <v>CT_CWODPLT</v>
          </cell>
          <cell r="E185">
            <v>5.9801770754977683</v>
          </cell>
          <cell r="F185">
            <v>6.9699292907550641</v>
          </cell>
          <cell r="G185">
            <v>1.9397783386415819</v>
          </cell>
          <cell r="H185">
            <v>2.276388359084228</v>
          </cell>
        </row>
        <row r="186">
          <cell r="A186" t="str">
            <v>SLFO</v>
          </cell>
          <cell r="B186" t="str">
            <v>VAR_fout</v>
          </cell>
          <cell r="C186" t="str">
            <v>D-SLFO</v>
          </cell>
          <cell r="E186">
            <v>30.256679168903222</v>
          </cell>
          <cell r="F186">
            <v>25.799210065042509</v>
          </cell>
          <cell r="G186">
            <v>26.114252197428314</v>
          </cell>
          <cell r="H186">
            <v>15.489299762393747</v>
          </cell>
        </row>
        <row r="187">
          <cell r="A187" t="str">
            <v>ETH</v>
          </cell>
          <cell r="B187" t="str">
            <v>VAR_fout</v>
          </cell>
          <cell r="C187" t="str">
            <v>IMPETH</v>
          </cell>
          <cell r="E187">
            <v>2.9848618205759734</v>
          </cell>
          <cell r="F187">
            <v>4.0443988278181138</v>
          </cell>
          <cell r="G187">
            <v>2.570739257428853</v>
          </cell>
          <cell r="H187">
            <v>1.9550049530579647</v>
          </cell>
        </row>
        <row r="188">
          <cell r="A188" t="str">
            <v>ETH</v>
          </cell>
          <cell r="B188" t="str">
            <v>VAR_fout</v>
          </cell>
          <cell r="C188" t="str">
            <v>CT_CWODETH</v>
          </cell>
          <cell r="E188">
            <v>1.4976588400328694</v>
          </cell>
          <cell r="F188">
            <v>0.33732625099450675</v>
          </cell>
          <cell r="G188">
            <v>1.5378252262442138</v>
          </cell>
          <cell r="H188">
            <v>1.985991608904857</v>
          </cell>
        </row>
        <row r="189">
          <cell r="A189" t="str">
            <v>ETH</v>
          </cell>
          <cell r="B189" t="str">
            <v>VAR_fin</v>
          </cell>
          <cell r="C189" t="str">
            <v>D-TGSL</v>
          </cell>
          <cell r="E189">
            <v>4.4825206606088379</v>
          </cell>
          <cell r="F189">
            <v>4.3817250788126199</v>
          </cell>
          <cell r="G189">
            <v>4.1085644836730637</v>
          </cell>
          <cell r="H189">
            <v>3.9409965619628196</v>
          </cell>
        </row>
        <row r="190">
          <cell r="A190" t="str">
            <v>TGSL</v>
          </cell>
          <cell r="B190" t="str">
            <v>VAR_fout</v>
          </cell>
          <cell r="C190" t="str">
            <v>D-TGSL</v>
          </cell>
          <cell r="E190">
            <v>80.683179246270697</v>
          </cell>
          <cell r="F190">
            <v>78.855240602993035</v>
          </cell>
          <cell r="G190">
            <v>73.934947977087589</v>
          </cell>
          <cell r="H190">
            <v>44.362179186219919</v>
          </cell>
        </row>
        <row r="191">
          <cell r="A191" t="str">
            <v>RLFO</v>
          </cell>
          <cell r="B191" t="str">
            <v>VAR_fout</v>
          </cell>
          <cell r="C191" t="str">
            <v>D-RLFO</v>
          </cell>
          <cell r="E191">
            <v>60.232445624916004</v>
          </cell>
          <cell r="F191">
            <v>51.320629800815738</v>
          </cell>
          <cell r="G191">
            <v>49.44635418167627</v>
          </cell>
          <cell r="H191">
            <v>24.33745865641847</v>
          </cell>
        </row>
        <row r="192">
          <cell r="A192" t="str">
            <v>CELC_E</v>
          </cell>
          <cell r="B192" t="str">
            <v>VAR_fout</v>
          </cell>
          <cell r="C192" t="str">
            <v>ESOL-PV_E</v>
          </cell>
          <cell r="H192">
            <v>1.7978556816269057E-4</v>
          </cell>
        </row>
        <row r="193">
          <cell r="A193" t="str">
            <v>CELC_E</v>
          </cell>
          <cell r="B193" t="str">
            <v>VAR_fin</v>
          </cell>
          <cell r="C193" t="str">
            <v>SUP_ELCH2_D</v>
          </cell>
          <cell r="H193">
            <v>1.7975229253718033E-4</v>
          </cell>
        </row>
        <row r="194">
          <cell r="A194" t="str">
            <v>CBIO</v>
          </cell>
          <cell r="B194" t="str">
            <v>VAR_fout</v>
          </cell>
          <cell r="C194" t="str">
            <v>D-CBIO</v>
          </cell>
          <cell r="E194">
            <v>1.2891444077490366</v>
          </cell>
          <cell r="F194">
            <v>4.4599719775547415</v>
          </cell>
          <cell r="G194">
            <v>4.4599623871722374</v>
          </cell>
          <cell r="H194">
            <v>4.4608105388400263</v>
          </cell>
        </row>
        <row r="195">
          <cell r="A195" t="str">
            <v>CBIO</v>
          </cell>
          <cell r="B195" t="str">
            <v>VAR_fin</v>
          </cell>
          <cell r="C195" t="str">
            <v>SUP_BIONGA</v>
          </cell>
          <cell r="E195">
            <v>1.2891444077490366</v>
          </cell>
          <cell r="F195">
            <v>4.4599719775547415</v>
          </cell>
          <cell r="G195">
            <v>4.4599623871722374</v>
          </cell>
          <cell r="H195">
            <v>4.4608105388400263</v>
          </cell>
        </row>
        <row r="196">
          <cell r="A196" t="str">
            <v>RSH2</v>
          </cell>
          <cell r="B196" t="str">
            <v>VAR_fout</v>
          </cell>
          <cell r="C196" t="str">
            <v>D-SNGA</v>
          </cell>
          <cell r="H196">
            <v>3.5615311531140288E-2</v>
          </cell>
        </row>
        <row r="197">
          <cell r="A197" t="str">
            <v>RSH2</v>
          </cell>
          <cell r="B197" t="str">
            <v>VAR_fout</v>
          </cell>
          <cell r="C197" t="str">
            <v>D-RNGA</v>
          </cell>
          <cell r="H197">
            <v>4.2346506482894543E-2</v>
          </cell>
        </row>
        <row r="198">
          <cell r="A198" t="str">
            <v>LTH</v>
          </cell>
          <cell r="B198" t="str">
            <v>VAR_fout</v>
          </cell>
          <cell r="C198" t="str">
            <v>SUP_WODBIO</v>
          </cell>
          <cell r="F198">
            <v>5.4985417435690089E-4</v>
          </cell>
          <cell r="G198">
            <v>2.4855215523008283E-4</v>
          </cell>
          <cell r="H198">
            <v>8.1185666583931209E-4</v>
          </cell>
        </row>
        <row r="199">
          <cell r="A199" t="str">
            <v>LTH</v>
          </cell>
          <cell r="B199" t="str">
            <v>VAR_fout</v>
          </cell>
          <cell r="C199" t="str">
            <v>CT_CWODBDS</v>
          </cell>
          <cell r="E199">
            <v>5.429000692548535E-2</v>
          </cell>
          <cell r="F199">
            <v>0.46911647683302599</v>
          </cell>
          <cell r="G199">
            <v>0.46848627127619663</v>
          </cell>
          <cell r="H199">
            <v>7.8215408189607639E-3</v>
          </cell>
        </row>
        <row r="200">
          <cell r="A200" t="str">
            <v>LTH</v>
          </cell>
          <cell r="B200" t="str">
            <v>VAR_fin</v>
          </cell>
          <cell r="C200" t="str">
            <v>D-CHEAT</v>
          </cell>
        </row>
        <row r="201">
          <cell r="A201" t="str">
            <v>LNGA</v>
          </cell>
          <cell r="B201" t="str">
            <v>VAR_fin</v>
          </cell>
          <cell r="C201" t="str">
            <v>D-LNGA</v>
          </cell>
          <cell r="H201">
            <v>4.1564196226639268E-2</v>
          </cell>
        </row>
        <row r="202">
          <cell r="A202" t="str">
            <v>IH2</v>
          </cell>
          <cell r="B202" t="str">
            <v>VAR_fout</v>
          </cell>
          <cell r="C202" t="str">
            <v>D-INGA</v>
          </cell>
        </row>
        <row r="203">
          <cell r="A203" t="str">
            <v>WHEAT</v>
          </cell>
          <cell r="B203" t="str">
            <v>VAR_fin</v>
          </cell>
          <cell r="C203" t="str">
            <v>D-CHEAT</v>
          </cell>
        </row>
        <row r="204">
          <cell r="A204" t="str">
            <v>SOL</v>
          </cell>
          <cell r="B204" t="str">
            <v>VAR_fin</v>
          </cell>
          <cell r="C204" t="str">
            <v>ESOL-PV_A</v>
          </cell>
          <cell r="H204">
            <v>0.34130473341300771</v>
          </cell>
        </row>
        <row r="205">
          <cell r="A205" t="str">
            <v>SOL</v>
          </cell>
          <cell r="B205" t="str">
            <v>VAR_fin</v>
          </cell>
          <cell r="C205" t="str">
            <v>ESOL-PV_E</v>
          </cell>
          <cell r="H205">
            <v>1.7978556816269057E-4</v>
          </cell>
        </row>
        <row r="206">
          <cell r="A206" t="str">
            <v>TKER</v>
          </cell>
          <cell r="B206" t="str">
            <v>VAR_fout</v>
          </cell>
          <cell r="C206" t="str">
            <v>D-TBDS1</v>
          </cell>
          <cell r="E206">
            <v>3.18368798889021E-5</v>
          </cell>
          <cell r="F206">
            <v>1.16612611637865E-3</v>
          </cell>
          <cell r="G206">
            <v>2.0389632265815898E-2</v>
          </cell>
          <cell r="H206">
            <v>0.14069932564142101</v>
          </cell>
        </row>
        <row r="207">
          <cell r="A207" t="str">
            <v>BDS1</v>
          </cell>
          <cell r="B207" t="str">
            <v>VAR_fout</v>
          </cell>
          <cell r="C207" t="str">
            <v>IMPBDS1</v>
          </cell>
          <cell r="H207">
            <v>5.0110853059788303</v>
          </cell>
        </row>
        <row r="208">
          <cell r="A208" t="str">
            <v>BDS1</v>
          </cell>
          <cell r="B208" t="str">
            <v>VAR_fin</v>
          </cell>
          <cell r="C208" t="str">
            <v>D-TBDS1intl</v>
          </cell>
          <cell r="H208">
            <v>5.0110853059788303</v>
          </cell>
        </row>
        <row r="209">
          <cell r="A209" t="str">
            <v>CELC</v>
          </cell>
          <cell r="B209" t="str">
            <v>VAR_fout</v>
          </cell>
          <cell r="C209" t="str">
            <v>D-CELC</v>
          </cell>
          <cell r="E209">
            <v>2.473170227297925</v>
          </cell>
          <cell r="F209">
            <v>0.66636253521373456</v>
          </cell>
          <cell r="G209">
            <v>2.6356141308874887</v>
          </cell>
          <cell r="H209">
            <v>3.3820865877947677</v>
          </cell>
        </row>
        <row r="210">
          <cell r="A210" t="str">
            <v>CELC</v>
          </cell>
          <cell r="B210" t="str">
            <v>VAR_fin</v>
          </cell>
          <cell r="C210" t="str">
            <v>SUP_H2NGA</v>
          </cell>
        </row>
        <row r="211">
          <cell r="A211" t="str">
            <v>CELC</v>
          </cell>
          <cell r="B211" t="str">
            <v>VAR_fin</v>
          </cell>
          <cell r="C211" t="str">
            <v>SUP_ELCH2_SOEC</v>
          </cell>
        </row>
        <row r="212">
          <cell r="A212" t="str">
            <v>CELC</v>
          </cell>
          <cell r="B212" t="str">
            <v>VAR_fin</v>
          </cell>
          <cell r="C212" t="str">
            <v>SUP_ELCH2</v>
          </cell>
          <cell r="E212">
            <v>7.3349719996056804E-3</v>
          </cell>
          <cell r="F212">
            <v>2.9548521685575584E-2</v>
          </cell>
          <cell r="G212">
            <v>3.0094103811861984E-2</v>
          </cell>
          <cell r="H212">
            <v>0.12366651050639943</v>
          </cell>
        </row>
        <row r="213">
          <cell r="A213" t="str">
            <v>CELC</v>
          </cell>
          <cell r="B213" t="str">
            <v>VAR_fin</v>
          </cell>
          <cell r="C213" t="str">
            <v>CT_CWODBDS</v>
          </cell>
          <cell r="E213">
            <v>9.6747576444134228E-3</v>
          </cell>
          <cell r="F213">
            <v>8.3598961897167479E-2</v>
          </cell>
          <cell r="G213">
            <v>8.3486656035117041E-2</v>
          </cell>
          <cell r="H213">
            <v>1.3938386844045481E-3</v>
          </cell>
        </row>
        <row r="214">
          <cell r="A214" t="str">
            <v>CELC</v>
          </cell>
          <cell r="B214" t="str">
            <v>VAR_fin</v>
          </cell>
          <cell r="C214" t="str">
            <v>CT_CWODETH</v>
          </cell>
          <cell r="E214">
            <v>2.4561604976539053</v>
          </cell>
          <cell r="F214">
            <v>0.55321505163099161</v>
          </cell>
          <cell r="G214">
            <v>2.5220333710405085</v>
          </cell>
          <cell r="H214">
            <v>3.2570262386039661</v>
          </cell>
        </row>
        <row r="215">
          <cell r="A215" t="str">
            <v>CELC</v>
          </cell>
          <cell r="B215" t="str">
            <v>VAR_fin</v>
          </cell>
          <cell r="C215" t="str">
            <v>SUP_DAC</v>
          </cell>
        </row>
        <row r="216">
          <cell r="A216" t="str">
            <v>SBIO</v>
          </cell>
          <cell r="B216" t="str">
            <v>VAR_fout</v>
          </cell>
          <cell r="C216" t="str">
            <v>D-SBIO</v>
          </cell>
          <cell r="E216">
            <v>4.0479078015955148</v>
          </cell>
          <cell r="F216">
            <v>4.5874623138564417</v>
          </cell>
          <cell r="G216">
            <v>3.0613866770378437</v>
          </cell>
          <cell r="H216">
            <v>3.0405769708236456</v>
          </cell>
        </row>
        <row r="217">
          <cell r="A217" t="str">
            <v>INGA</v>
          </cell>
          <cell r="B217" t="str">
            <v>VAR_fout</v>
          </cell>
          <cell r="C217" t="str">
            <v>D-INGA</v>
          </cell>
          <cell r="E217">
            <v>37.653615154402253</v>
          </cell>
          <cell r="F217">
            <v>32.548930473134021</v>
          </cell>
          <cell r="G217">
            <v>36.221152998557265</v>
          </cell>
          <cell r="H217">
            <v>23.088687101288528</v>
          </cell>
        </row>
        <row r="218">
          <cell r="A218" t="str">
            <v>DSL</v>
          </cell>
          <cell r="B218" t="str">
            <v>VAR_fout</v>
          </cell>
          <cell r="C218" t="str">
            <v>SUP_H2DSL</v>
          </cell>
        </row>
        <row r="219">
          <cell r="A219" t="str">
            <v>WSTREN</v>
          </cell>
          <cell r="B219" t="str">
            <v>VAR_fin</v>
          </cell>
          <cell r="C219" t="str">
            <v>D-CWST</v>
          </cell>
          <cell r="E219">
            <v>9.6794575123593152</v>
          </cell>
          <cell r="F219">
            <v>10.991087717696651</v>
          </cell>
          <cell r="G219">
            <v>10.180845177470154</v>
          </cell>
          <cell r="H219">
            <v>11.900425334947096</v>
          </cell>
        </row>
        <row r="220">
          <cell r="A220" t="str">
            <v>SOLPVC</v>
          </cell>
          <cell r="B220" t="str">
            <v>VAR_fin</v>
          </cell>
          <cell r="C220" t="str">
            <v>ESOL-PV_A</v>
          </cell>
          <cell r="H220">
            <v>0.34130473341300799</v>
          </cell>
        </row>
        <row r="221">
          <cell r="A221" t="str">
            <v>SOLPVC</v>
          </cell>
          <cell r="B221" t="str">
            <v>VAR_fin</v>
          </cell>
          <cell r="C221" t="str">
            <v>ESOL-PV_E</v>
          </cell>
          <cell r="H221">
            <v>1.7978556816269001E-4</v>
          </cell>
        </row>
        <row r="222">
          <cell r="A222" t="str">
            <v>KERintl</v>
          </cell>
          <cell r="B222" t="str">
            <v>VAR_fout</v>
          </cell>
          <cell r="C222" t="str">
            <v>SUP_H2DSL</v>
          </cell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1.8024761143534799E-2</v>
          </cell>
          <cell r="E4">
            <v>1.8420303747621301E-2</v>
          </cell>
          <cell r="F4">
            <v>1.85468073786847E-2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4.4642222229811374E-3</v>
          </cell>
          <cell r="E5">
            <v>3.653685563001728E-3</v>
          </cell>
          <cell r="F5">
            <v>2.3066668016693188E-3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3.1958796353785218E-4</v>
          </cell>
          <cell r="E6">
            <v>3.2660113027697339E-4</v>
          </cell>
          <cell r="F6">
            <v>3.2884410245894943E-4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8.3575401730531503E-5</v>
          </cell>
          <cell r="E7">
            <v>6.6860321384425197E-5</v>
          </cell>
          <cell r="F7">
            <v>4.1662644241284291E-5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3.4042172393417203</v>
          </cell>
          <cell r="E8">
            <v>1.9862194594751681</v>
          </cell>
          <cell r="F8">
            <v>2.4323184082919402</v>
          </cell>
          <cell r="G8">
            <v>2.3666620365021656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6.2304209406257123E-3</v>
          </cell>
          <cell r="E9">
            <v>3.645189516297899E-3</v>
          </cell>
          <cell r="F9">
            <v>4.5115485211031144E-3</v>
          </cell>
          <cell r="G9">
            <v>4.6101467415647877E-3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6.0358461690455945E-2</v>
          </cell>
          <cell r="E10">
            <v>3.5216657082892962E-2</v>
          </cell>
          <cell r="F10">
            <v>4.3126212912977586E-2</v>
          </cell>
          <cell r="G10">
            <v>4.1962092845783096E-2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7.8394275018420104E-6</v>
          </cell>
          <cell r="F11">
            <v>2.41513183190115E-5</v>
          </cell>
          <cell r="G11">
            <v>6.09010372527935E-5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1.2121660906568509E-4</v>
          </cell>
          <cell r="E12">
            <v>8.6472780131976334E-5</v>
          </cell>
          <cell r="F12">
            <v>8.6836159198574699E-5</v>
          </cell>
          <cell r="G12">
            <v>8.7309140607052721E-5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2.7004314564777013E-4</v>
          </cell>
          <cell r="E13">
            <v>1.0488069241603934E-2</v>
          </cell>
          <cell r="F13">
            <v>1.3204893737117701E-2</v>
          </cell>
          <cell r="G13">
            <v>3.8855983269832618E-2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2.7004314564777013E-4</v>
          </cell>
          <cell r="E14">
            <v>1.0488069241603934E-2</v>
          </cell>
          <cell r="F14">
            <v>1.3204893737117701E-2</v>
          </cell>
          <cell r="G14">
            <v>3.8855983269832618E-2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1.1244011713525701E-3</v>
          </cell>
          <cell r="F15">
            <v>8.8086144536764395E-4</v>
          </cell>
          <cell r="G15">
            <v>4.2990255505166303E-3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2.5896952972139742E-5</v>
          </cell>
          <cell r="E16">
            <v>1.1351695119772092E-3</v>
          </cell>
          <cell r="F16">
            <v>1.9394645460583245E-3</v>
          </cell>
          <cell r="G16">
            <v>5.6970432944380076E-3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2.6312351418576866E-3</v>
          </cell>
          <cell r="E17">
            <v>1.0838929443188179E-2</v>
          </cell>
          <cell r="F17">
            <v>1.598971000549948E-2</v>
          </cell>
          <cell r="G17">
            <v>0.75365426834579996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9.7914525133997368E-3</v>
          </cell>
          <cell r="E18">
            <v>3.9914238527417281E-2</v>
          </cell>
          <cell r="F18">
            <v>5.8172239882340576E-2</v>
          </cell>
          <cell r="G18">
            <v>2.5762202347614376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9.1762928364311105E-5</v>
          </cell>
          <cell r="F19">
            <v>1.1109491548235499E-4</v>
          </cell>
          <cell r="G19">
            <v>1.4049513566408401E-2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5.1929607422899018E-5</v>
          </cell>
          <cell r="E20">
            <v>2.0365637277973964E-4</v>
          </cell>
          <cell r="F20">
            <v>3.0720462489112734E-4</v>
          </cell>
          <cell r="G20">
            <v>1.4180803239640509E-2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4.6888309295433465E-2</v>
          </cell>
          <cell r="E21">
            <v>0.10465728765346596</v>
          </cell>
          <cell r="F21">
            <v>0.10963711729267106</v>
          </cell>
          <cell r="G21">
            <v>0.14624126323797113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4.6888309295433465E-2</v>
          </cell>
          <cell r="E22">
            <v>0.10465728765346596</v>
          </cell>
          <cell r="F22">
            <v>0.10963711729267106</v>
          </cell>
          <cell r="G22">
            <v>0.14624126323797113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5.1293515601592799E-4</v>
          </cell>
          <cell r="F23">
            <v>1.1782705557176799E-3</v>
          </cell>
          <cell r="G23">
            <v>4.1021882856253598E-3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4.8571634819299363E-3</v>
          </cell>
          <cell r="E24">
            <v>7.9623017473377175E-3</v>
          </cell>
          <cell r="F24">
            <v>8.8333527742429901E-3</v>
          </cell>
          <cell r="G24">
            <v>1.1139370316629335E-2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10.988383055206198</v>
          </cell>
          <cell r="E25">
            <v>12.572098295302625</v>
          </cell>
          <cell r="F25">
            <v>15.962798992960657</v>
          </cell>
          <cell r="G25">
            <v>38.857566696762568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9.2279603317018857E-2</v>
          </cell>
          <cell r="E27">
            <v>0.17296537965807698</v>
          </cell>
          <cell r="F27">
            <v>0.26986434999146314</v>
          </cell>
          <cell r="G27">
            <v>2.0490199804503972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0.12009380659009229</v>
          </cell>
          <cell r="E28">
            <v>2.3993995881145803E-2</v>
          </cell>
          <cell r="F28">
            <v>2.9129142256958802E-2</v>
          </cell>
          <cell r="G28">
            <v>8.1395094044350608E-2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0.1103710399042092</v>
          </cell>
          <cell r="E29">
            <v>2.2415073185833412E-2</v>
          </cell>
          <cell r="F29">
            <v>2.6504656415501159E-2</v>
          </cell>
          <cell r="G29">
            <v>0.75303005964314351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10.665638605394875</v>
          </cell>
          <cell r="E30">
            <v>12.35304642969769</v>
          </cell>
          <cell r="F30">
            <v>15.637667288954495</v>
          </cell>
          <cell r="G30">
            <v>35.97432896002811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4.1842817498000041E-2</v>
          </cell>
          <cell r="E31">
            <v>0.37355714118959582</v>
          </cell>
          <cell r="F31">
            <v>1.0513792682706502</v>
          </cell>
          <cell r="G31">
            <v>4.9710062250111724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4.1842817498000041E-2</v>
          </cell>
          <cell r="E32">
            <v>0.37355714118959582</v>
          </cell>
          <cell r="F32">
            <v>1.0513792682706502</v>
          </cell>
          <cell r="G32">
            <v>4.9710062250111724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1.53539220529198E-2</v>
          </cell>
          <cell r="F33">
            <v>4.8786536552920999E-2</v>
          </cell>
          <cell r="G33">
            <v>0.29551064754124901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4.0402657902614322E-3</v>
          </cell>
          <cell r="E34">
            <v>2.5741393130315513E-2</v>
          </cell>
          <cell r="F34">
            <v>7.247214574647394E-2</v>
          </cell>
          <cell r="G34">
            <v>0.34190038780595772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2.3348766953231078E-5</v>
          </cell>
          <cell r="E35">
            <v>1.0345349101696327E-2</v>
          </cell>
          <cell r="F35">
            <v>1.3024419692660771E-2</v>
          </cell>
          <cell r="G35">
            <v>4.0019013166658339E-2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2.3348766953231078E-5</v>
          </cell>
          <cell r="E36">
            <v>1.0345349101696327E-2</v>
          </cell>
          <cell r="F36">
            <v>1.3024419692660771E-2</v>
          </cell>
          <cell r="G36">
            <v>4.0019013166658339E-2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1.13680007949305E-3</v>
          </cell>
          <cell r="F37">
            <v>8.7924119738218699E-4</v>
          </cell>
          <cell r="G37">
            <v>4.5134735333671201E-3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1.5069422569588742E-6</v>
          </cell>
          <cell r="E38">
            <v>1.123166914021443E-3</v>
          </cell>
          <cell r="F38">
            <v>1.9245346919758732E-3</v>
          </cell>
          <cell r="G38">
            <v>5.8909128185001287E-3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6.5129774928634143E-2</v>
          </cell>
          <cell r="E39">
            <v>0.19489914700311281</v>
          </cell>
          <cell r="F39">
            <v>0.21884058665307157</v>
          </cell>
          <cell r="G39">
            <v>0.24124625019774806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6.5129774928634143E-2</v>
          </cell>
          <cell r="E40">
            <v>0.19489914700311281</v>
          </cell>
          <cell r="F40">
            <v>0.21884058665307157</v>
          </cell>
          <cell r="G40">
            <v>0.24124625019774806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3.0318836744398E-3</v>
          </cell>
          <cell r="F41">
            <v>2.87303237055383E-3</v>
          </cell>
          <cell r="G41">
            <v>5.1656316952394697E-3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7.235117308671944E-3</v>
          </cell>
          <cell r="E42">
            <v>1.5439618163207299E-2</v>
          </cell>
          <cell r="F42">
            <v>1.7595795588699774E-2</v>
          </cell>
          <cell r="G42">
            <v>1.9194078800756235E-2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2.9019992042068946E-5</v>
          </cell>
          <cell r="E43">
            <v>8.8499277489182265E-3</v>
          </cell>
          <cell r="F43">
            <v>2.426225475064411E-2</v>
          </cell>
          <cell r="G43">
            <v>7.3677234667547289E-2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2.9019992042068946E-5</v>
          </cell>
          <cell r="E44">
            <v>8.8499277489182265E-3</v>
          </cell>
          <cell r="F44">
            <v>2.426225475064411E-2</v>
          </cell>
          <cell r="G44">
            <v>7.3677234667547289E-2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6.8165981705873397E-4</v>
          </cell>
          <cell r="F45">
            <v>1.3241344522857E-3</v>
          </cell>
          <cell r="G45">
            <v>4.1641228181132101E-3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6.7283509062103714E-4</v>
          </cell>
          <cell r="F46">
            <v>1.9407437403485151E-3</v>
          </cell>
          <cell r="G46">
            <v>5.6058465284343677E-3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4.40315267933853E-5</v>
          </cell>
          <cell r="E49">
            <v>5.40306035574096E-5</v>
          </cell>
          <cell r="F49">
            <v>8.1082402963010704E-5</v>
          </cell>
          <cell r="G49">
            <v>1.3511804005416801E-4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2.0938340246585653E-3</v>
          </cell>
          <cell r="E50">
            <v>2.1478646282159747E-3</v>
          </cell>
          <cell r="F50">
            <v>2.2289470311789858E-3</v>
          </cell>
          <cell r="G50">
            <v>2.3640650712331542E-3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2.1980876605530485E-4</v>
          </cell>
          <cell r="E51">
            <v>0.16813802396124963</v>
          </cell>
          <cell r="F51">
            <v>0.84726035832866553</v>
          </cell>
          <cell r="G51">
            <v>3.5162773971313337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2.1980876605530485E-4</v>
          </cell>
          <cell r="E52">
            <v>0.16813802396124963</v>
          </cell>
          <cell r="F52">
            <v>0.84726035832866553</v>
          </cell>
          <cell r="G52">
            <v>3.5162773971313337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1.17205678542446E-2</v>
          </cell>
          <cell r="F53">
            <v>4.8057431120459702E-2</v>
          </cell>
          <cell r="G53">
            <v>0.20184916740907299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4.013753844852821E-6</v>
          </cell>
          <cell r="E54">
            <v>1.156849404315257E-2</v>
          </cell>
          <cell r="F54">
            <v>5.8323733122126409E-2</v>
          </cell>
          <cell r="G54">
            <v>0.24182333836203476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3.1550796499823256E-3</v>
          </cell>
          <cell r="E55">
            <v>5.2250073941965958E-2</v>
          </cell>
          <cell r="F55">
            <v>8.7715512359107642E-2</v>
          </cell>
          <cell r="G55">
            <v>0.13704880371612743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3.1550796499823256E-3</v>
          </cell>
          <cell r="E56">
            <v>5.2250073941965958E-2</v>
          </cell>
          <cell r="F56">
            <v>8.7715512359107642E-2</v>
          </cell>
          <cell r="G56">
            <v>0.13704880371612743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3.5154114790280099E-3</v>
          </cell>
          <cell r="F57">
            <v>3.1827842165952701E-3</v>
          </cell>
          <cell r="G57">
            <v>5.2868389030913902E-3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2.5883004702203827E-4</v>
          </cell>
          <cell r="E58">
            <v>4.1482161396717955E-3</v>
          </cell>
          <cell r="F58">
            <v>7.0624102310165304E-3</v>
          </cell>
          <cell r="G58">
            <v>1.0902234661451097E-2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G59">
            <v>2.8263338012571438E-5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G60">
            <v>1.2057647434999166E-4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5.3291842188817103E-7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5.3291842188817103E-7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2.7037760691607846E-4</v>
          </cell>
          <cell r="E63">
            <v>9.4205086167477234E-3</v>
          </cell>
          <cell r="F63">
            <v>1.1556324504919335E-2</v>
          </cell>
          <cell r="G63">
            <v>3.1070018475215462E-2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2.7958753205819999E-2</v>
          </cell>
          <cell r="E64">
            <v>0.97414012385538096</v>
          </cell>
          <cell r="F64">
            <v>1.1949969839761749</v>
          </cell>
          <cell r="G64">
            <v>3.2128362572512978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3.7884489438780506E-4</v>
          </cell>
          <cell r="E65">
            <v>1.3199730675547194E-2</v>
          </cell>
          <cell r="F65">
            <v>1.6192371056587721E-2</v>
          </cell>
          <cell r="G65">
            <v>4.3534366629421332E-2</v>
          </cell>
        </row>
        <row r="66">
          <cell r="A66" t="str">
            <v>T_B_u-FCLH2O-S2</v>
          </cell>
          <cell r="B66" t="str">
            <v>VAR_fout</v>
          </cell>
          <cell r="C66" t="str">
            <v>TPBSu</v>
          </cell>
          <cell r="G66">
            <v>1.7651240878267877E-5</v>
          </cell>
        </row>
        <row r="67">
          <cell r="A67" t="str">
            <v>T_B_u-FCLH2O-S2</v>
          </cell>
          <cell r="B67" t="str">
            <v>VAR_fin</v>
          </cell>
          <cell r="C67" t="str">
            <v>TH2O</v>
          </cell>
          <cell r="G67">
            <v>1.043825120630263E-4</v>
          </cell>
        </row>
        <row r="68">
          <cell r="A68" t="str">
            <v>T_B_u-FCLH2O-S2</v>
          </cell>
          <cell r="B68" t="str">
            <v>VAR_ncap</v>
          </cell>
          <cell r="C68" t="str">
            <v>-</v>
          </cell>
          <cell r="G68">
            <v>2.2063892831637101E-7</v>
          </cell>
        </row>
        <row r="69">
          <cell r="A69" t="str">
            <v>T_B_u-FCLH2O-S2</v>
          </cell>
          <cell r="B69" t="str">
            <v>VAR_cap</v>
          </cell>
          <cell r="C69" t="str">
            <v>-</v>
          </cell>
          <cell r="G69">
            <v>2.2063892831637101E-7</v>
          </cell>
        </row>
        <row r="70">
          <cell r="A70" t="str">
            <v>T-Plg-GSL-mix_S2</v>
          </cell>
          <cell r="B70" t="str">
            <v>VAR_fout</v>
          </cell>
          <cell r="C70" t="str">
            <v>CO2_T</v>
          </cell>
          <cell r="D70">
            <v>5.2580846741960201</v>
          </cell>
          <cell r="E70">
            <v>11.58203171963078</v>
          </cell>
          <cell r="F70">
            <v>11.763821887056718</v>
          </cell>
          <cell r="G70">
            <v>14.104179790402931</v>
          </cell>
        </row>
        <row r="71">
          <cell r="A71" t="str">
            <v>T-Plg-GSL-mix_S2</v>
          </cell>
          <cell r="B71" t="str">
            <v>VAR_fout</v>
          </cell>
          <cell r="C71" t="str">
            <v>T-PEVmix-ELC_GSL_S2</v>
          </cell>
          <cell r="D71">
            <v>4.1752337135842393E-2</v>
          </cell>
          <cell r="E71">
            <v>9.1968258983958856E-2</v>
          </cell>
          <cell r="F71">
            <v>9.3411781640716021E-2</v>
          </cell>
          <cell r="G71">
            <v>0.11199562314455881</v>
          </cell>
        </row>
        <row r="72">
          <cell r="A72" t="str">
            <v>T-Plg-GSL-mix_S2</v>
          </cell>
          <cell r="B72" t="str">
            <v>VAR_fin</v>
          </cell>
          <cell r="C72" t="str">
            <v>TGSL</v>
          </cell>
          <cell r="D72">
            <v>7.1247759812954198E-2</v>
          </cell>
          <cell r="E72">
            <v>0.15693809918198898</v>
          </cell>
          <cell r="F72">
            <v>0.15940138058342432</v>
          </cell>
          <cell r="G72">
            <v>0.19111354729543278</v>
          </cell>
        </row>
        <row r="73">
          <cell r="A73" t="str">
            <v>T_B_u-FCLH2O-S3</v>
          </cell>
          <cell r="B73" t="str">
            <v>VAR_fout</v>
          </cell>
          <cell r="C73" t="str">
            <v>TPBSu</v>
          </cell>
          <cell r="G73">
            <v>1.8261361362408397E-5</v>
          </cell>
        </row>
        <row r="74">
          <cell r="A74" t="str">
            <v>T_B_u-FCLH2O-S3</v>
          </cell>
          <cell r="B74" t="str">
            <v>VAR_fin</v>
          </cell>
          <cell r="C74" t="str">
            <v>TH2O</v>
          </cell>
          <cell r="G74">
            <v>1.6145010233653467E-4</v>
          </cell>
        </row>
        <row r="75">
          <cell r="A75" t="str">
            <v>T_B_u-FCLH2O-S3</v>
          </cell>
          <cell r="B75" t="str">
            <v>VAR_ncap</v>
          </cell>
          <cell r="C75" t="str">
            <v>-</v>
          </cell>
          <cell r="G75">
            <v>2.3316454417053499E-7</v>
          </cell>
        </row>
        <row r="76">
          <cell r="A76" t="str">
            <v>T_B_u-FCLH2O-S3</v>
          </cell>
          <cell r="B76" t="str">
            <v>VAR_cap</v>
          </cell>
          <cell r="C76" t="str">
            <v>-</v>
          </cell>
          <cell r="G76">
            <v>2.3316454417053499E-7</v>
          </cell>
        </row>
        <row r="77">
          <cell r="A77" t="str">
            <v>T-PHEV-STG_S1</v>
          </cell>
          <cell r="B77" t="str">
            <v>VAR_fout</v>
          </cell>
          <cell r="C77" t="str">
            <v>T-ELC-car-PlgSTGAUXout_S1</v>
          </cell>
          <cell r="E77">
            <v>1.1750161281929127E-3</v>
          </cell>
          <cell r="F77">
            <v>1.8529873803534559E-3</v>
          </cell>
          <cell r="G77">
            <v>2.5364250162718312E-2</v>
          </cell>
        </row>
        <row r="78">
          <cell r="A78" t="str">
            <v>T-PHEV-STG_S1</v>
          </cell>
          <cell r="B78" t="str">
            <v>VAR_fout</v>
          </cell>
          <cell r="C78" t="str">
            <v>T-ELC-car-PlgSTGOut_S1</v>
          </cell>
          <cell r="E78">
            <v>1.1750161281929125E-3</v>
          </cell>
          <cell r="F78">
            <v>1.8529873803534559E-3</v>
          </cell>
          <cell r="G78">
            <v>2.5364250162718305E-2</v>
          </cell>
        </row>
        <row r="79">
          <cell r="A79" t="str">
            <v>T-PHEV-STG_S1</v>
          </cell>
          <cell r="B79" t="str">
            <v>VAR_fin</v>
          </cell>
          <cell r="C79" t="str">
            <v>T-ELC-car-PlgSTGAUXin_S1</v>
          </cell>
          <cell r="E79">
            <v>1.2128254333740741E-3</v>
          </cell>
          <cell r="F79">
            <v>1.9303635287773069E-3</v>
          </cell>
          <cell r="G79">
            <v>2.549071040190052E-2</v>
          </cell>
        </row>
        <row r="80">
          <cell r="A80" t="str">
            <v>T-PHEV-STG_S1</v>
          </cell>
          <cell r="B80" t="str">
            <v>VAR_fin</v>
          </cell>
          <cell r="C80" t="str">
            <v>T-ELC-car-PlgSTGin_S1</v>
          </cell>
          <cell r="E80">
            <v>1.2128254333740741E-3</v>
          </cell>
          <cell r="F80">
            <v>1.9303635287773069E-3</v>
          </cell>
          <cell r="G80">
            <v>2.549071040190052E-2</v>
          </cell>
        </row>
        <row r="81">
          <cell r="A81" t="str">
            <v>T-PHEV-STG_S1</v>
          </cell>
          <cell r="B81" t="str">
            <v>VAR_ncap</v>
          </cell>
          <cell r="C81" t="str">
            <v>-</v>
          </cell>
          <cell r="E81">
            <v>9.0829925383816401E-2</v>
          </cell>
          <cell r="F81">
            <v>5.7673680056318302E-2</v>
          </cell>
          <cell r="G81">
            <v>0.39859948091985198</v>
          </cell>
        </row>
        <row r="82">
          <cell r="A82" t="str">
            <v>T-PHEV-STG_S1</v>
          </cell>
          <cell r="B82" t="str">
            <v>VAR_cap</v>
          </cell>
          <cell r="C82" t="str">
            <v>-</v>
          </cell>
          <cell r="E82">
            <v>9.0829925383816401E-2</v>
          </cell>
          <cell r="F82">
            <v>0.14845843974048525</v>
          </cell>
          <cell r="G82">
            <v>0.54696062716602289</v>
          </cell>
        </row>
        <row r="83">
          <cell r="A83" t="str">
            <v>T-Plg-GSL-mix_S3</v>
          </cell>
          <cell r="B83" t="str">
            <v>VAR_fout</v>
          </cell>
          <cell r="C83" t="str">
            <v>CO2_T</v>
          </cell>
          <cell r="D83">
            <v>5.6604835703303698</v>
          </cell>
          <cell r="E83">
            <v>42.515039072476696</v>
          </cell>
          <cell r="F83">
            <v>114.93592353010041</v>
          </cell>
          <cell r="G83">
            <v>474.20182050413075</v>
          </cell>
        </row>
        <row r="84">
          <cell r="A84" t="str">
            <v>T-Plg-GSL-mix_S3</v>
          </cell>
          <cell r="B84" t="str">
            <v>VAR_fout</v>
          </cell>
          <cell r="C84" t="str">
            <v>T-PEVmix-ELC_GSL_S3</v>
          </cell>
          <cell r="D84">
            <v>4.1842826717428797E-2</v>
          </cell>
          <cell r="E84">
            <v>0.31427516583897319</v>
          </cell>
          <cell r="F84">
            <v>0.84961715233756141</v>
          </cell>
          <cell r="G84">
            <v>3.5053444388472261</v>
          </cell>
        </row>
        <row r="85">
          <cell r="A85" t="str">
            <v>T-Plg-GSL-mix_S3</v>
          </cell>
          <cell r="B85" t="str">
            <v>VAR_fin</v>
          </cell>
          <cell r="C85" t="str">
            <v>TGSL</v>
          </cell>
          <cell r="D85">
            <v>7.670031938117032E-2</v>
          </cell>
          <cell r="E85">
            <v>0.57608454027746359</v>
          </cell>
          <cell r="F85">
            <v>1.5573973378062411</v>
          </cell>
          <cell r="G85">
            <v>6.425498922820216</v>
          </cell>
        </row>
        <row r="86">
          <cell r="A86" t="str">
            <v>T_B_u-FCLH2O-S4</v>
          </cell>
          <cell r="B86" t="str">
            <v>VAR_fout</v>
          </cell>
          <cell r="C86" t="str">
            <v>TPBSu</v>
          </cell>
          <cell r="G86">
            <v>1.2420792818835754E-5</v>
          </cell>
        </row>
        <row r="87">
          <cell r="A87" t="str">
            <v>T_B_u-FCLH2O-S4</v>
          </cell>
          <cell r="B87" t="str">
            <v>VAR_fin</v>
          </cell>
          <cell r="C87" t="str">
            <v>TH2O</v>
          </cell>
          <cell r="G87">
            <v>1.6365403201133697E-4</v>
          </cell>
        </row>
        <row r="88">
          <cell r="A88" t="str">
            <v>T_B_u-FCLH2O-S4</v>
          </cell>
          <cell r="B88" t="str">
            <v>VAR_ncap</v>
          </cell>
          <cell r="C88" t="str">
            <v>-</v>
          </cell>
          <cell r="G88">
            <v>1.25182646828807E-7</v>
          </cell>
        </row>
        <row r="89">
          <cell r="A89" t="str">
            <v>T_B_u-FCLH2O-S4</v>
          </cell>
          <cell r="B89" t="str">
            <v>VAR_cap</v>
          </cell>
          <cell r="C89" t="str">
            <v>-</v>
          </cell>
          <cell r="G89">
            <v>1.25182646828807E-7</v>
          </cell>
        </row>
        <row r="90">
          <cell r="A90" t="str">
            <v>T-PHEV-STG_S2</v>
          </cell>
          <cell r="B90" t="str">
            <v>VAR_fout</v>
          </cell>
          <cell r="C90" t="str">
            <v>T-ELC-car-PlgSTGAUXout_S2</v>
          </cell>
          <cell r="D90">
            <v>3.3980694243485477E-3</v>
          </cell>
          <cell r="E90">
            <v>9.1616082487121549E-3</v>
          </cell>
          <cell r="F90">
            <v>1.3199671742255262E-2</v>
          </cell>
          <cell r="G90">
            <v>4.2181252212448825E-2</v>
          </cell>
        </row>
        <row r="91">
          <cell r="A91" t="str">
            <v>T-PHEV-STG_S2</v>
          </cell>
          <cell r="B91" t="str">
            <v>VAR_fout</v>
          </cell>
          <cell r="C91" t="str">
            <v>T-ELC-car-PlgSTGOut_S2</v>
          </cell>
          <cell r="D91">
            <v>3.3980694243485477E-3</v>
          </cell>
          <cell r="E91">
            <v>9.1616082487121532E-3</v>
          </cell>
          <cell r="F91">
            <v>1.3199671742255262E-2</v>
          </cell>
          <cell r="G91">
            <v>4.2181252212448818E-2</v>
          </cell>
        </row>
        <row r="92">
          <cell r="A92" t="str">
            <v>T-PHEV-STG_S2</v>
          </cell>
          <cell r="B92" t="str">
            <v>VAR_fin</v>
          </cell>
          <cell r="C92" t="str">
            <v>T-ELC-car-PlgSTGAUXin_S2</v>
          </cell>
          <cell r="D92">
            <v>3.4335120730159155E-3</v>
          </cell>
          <cell r="E92">
            <v>9.2396244126089575E-3</v>
          </cell>
          <cell r="F92">
            <v>1.334373578126003E-2</v>
          </cell>
          <cell r="G92">
            <v>4.2333124363522719E-2</v>
          </cell>
        </row>
        <row r="93">
          <cell r="A93" t="str">
            <v>T-PHEV-STG_S2</v>
          </cell>
          <cell r="B93" t="str">
            <v>VAR_fin</v>
          </cell>
          <cell r="C93" t="str">
            <v>T-ELC-car-PlgSTGin_S2</v>
          </cell>
          <cell r="D93">
            <v>3.4335120730159155E-3</v>
          </cell>
          <cell r="E93">
            <v>9.2396244126089575E-3</v>
          </cell>
          <cell r="F93">
            <v>1.334373578126003E-2</v>
          </cell>
          <cell r="G93">
            <v>4.2333124363522719E-2</v>
          </cell>
        </row>
        <row r="94">
          <cell r="A94" t="str">
            <v>T-PHEV-STG_S2</v>
          </cell>
          <cell r="B94" t="str">
            <v>VAR_ncap</v>
          </cell>
          <cell r="C94" t="str">
            <v>-</v>
          </cell>
          <cell r="D94">
            <v>0.265256718916137</v>
          </cell>
          <cell r="E94">
            <v>0.25835644852984901</v>
          </cell>
          <cell r="F94">
            <v>0.31526023422807398</v>
          </cell>
          <cell r="G94">
            <v>0.49291617174561803</v>
          </cell>
        </row>
        <row r="95">
          <cell r="A95" t="str">
            <v>T-PHEV-STG_S2</v>
          </cell>
          <cell r="B95" t="str">
            <v>VAR_cap</v>
          </cell>
          <cell r="C95" t="str">
            <v>-</v>
          </cell>
          <cell r="D95">
            <v>0.265256718916137</v>
          </cell>
          <cell r="E95">
            <v>0.52348880310322232</v>
          </cell>
          <cell r="F95">
            <v>0.83844125528826563</v>
          </cell>
          <cell r="G95">
            <v>1.3309345921549731</v>
          </cell>
        </row>
        <row r="96">
          <cell r="A96" t="str">
            <v>T-Plg-GSL-mix_S4</v>
          </cell>
          <cell r="B96" t="str">
            <v>VAR_fout</v>
          </cell>
          <cell r="C96" t="str">
            <v>CO2_T</v>
          </cell>
          <cell r="D96">
            <v>9.2477629988184091</v>
          </cell>
          <cell r="E96">
            <v>23.581040548970201</v>
          </cell>
          <cell r="F96">
            <v>25.52430803638148</v>
          </cell>
          <cell r="G96">
            <v>24.801032198685199</v>
          </cell>
        </row>
        <row r="97">
          <cell r="A97" t="str">
            <v>T-Plg-GSL-mix_S4</v>
          </cell>
          <cell r="B97" t="str">
            <v>VAR_fout</v>
          </cell>
          <cell r="C97" t="str">
            <v>T-PEVmix-ELC_GSL_S4</v>
          </cell>
          <cell r="D97">
            <v>6.5129774928634213E-2</v>
          </cell>
          <cell r="E97">
            <v>0.1660756080939424</v>
          </cell>
          <cell r="F97">
            <v>0.17976157453765423</v>
          </cell>
          <cell r="G97">
            <v>0.17466771643094253</v>
          </cell>
        </row>
        <row r="98">
          <cell r="A98" t="str">
            <v>T-Plg-GSL-mix_S4</v>
          </cell>
          <cell r="B98" t="str">
            <v>VAR_fin</v>
          </cell>
          <cell r="C98" t="str">
            <v>TGSL</v>
          </cell>
          <cell r="D98">
            <v>0.12530844171840649</v>
          </cell>
          <cell r="E98">
            <v>0.31952629470149346</v>
          </cell>
          <cell r="F98">
            <v>0.34585783247129392</v>
          </cell>
          <cell r="G98">
            <v>0.33605734686565342</v>
          </cell>
        </row>
        <row r="99">
          <cell r="A99" t="str">
            <v>T-PHEV-STG_S3</v>
          </cell>
          <cell r="B99" t="str">
            <v>VAR_fout</v>
          </cell>
          <cell r="C99" t="str">
            <v>T-ELC-car-PlgSTGAUXout_S3</v>
          </cell>
          <cell r="E99">
            <v>6.1269988963049783E-2</v>
          </cell>
          <cell r="F99">
            <v>0.25994820716762895</v>
          </cell>
          <cell r="G99">
            <v>1.7981830555992155</v>
          </cell>
        </row>
        <row r="100">
          <cell r="A100" t="str">
            <v>T-PHEV-STG_S3</v>
          </cell>
          <cell r="B100" t="str">
            <v>VAR_fout</v>
          </cell>
          <cell r="C100" t="str">
            <v>T-ELC-car-PlgSTGOut_S3</v>
          </cell>
          <cell r="E100">
            <v>6.1269988963049769E-2</v>
          </cell>
          <cell r="F100">
            <v>0.25994820716762895</v>
          </cell>
          <cell r="G100">
            <v>1.7981830555992151</v>
          </cell>
        </row>
        <row r="101">
          <cell r="A101" t="str">
            <v>T-PHEV-STG_S3</v>
          </cell>
          <cell r="B101" t="str">
            <v>VAR_fin</v>
          </cell>
          <cell r="C101" t="str">
            <v>T-ELC-car-PlgSTGAUXin_S3</v>
          </cell>
          <cell r="E101">
            <v>6.1322057508058643E-2</v>
          </cell>
          <cell r="F101">
            <v>0.26006021463081486</v>
          </cell>
          <cell r="G101">
            <v>1.7984872700473518</v>
          </cell>
        </row>
        <row r="102">
          <cell r="A102" t="str">
            <v>T-PHEV-STG_S3</v>
          </cell>
          <cell r="B102" t="str">
            <v>VAR_fin</v>
          </cell>
          <cell r="C102" t="str">
            <v>T-ELC-car-PlgSTGin_S3</v>
          </cell>
          <cell r="E102">
            <v>6.1322057508058643E-2</v>
          </cell>
          <cell r="F102">
            <v>0.26006021463081486</v>
          </cell>
          <cell r="G102">
            <v>1.7984872700473518</v>
          </cell>
        </row>
        <row r="103">
          <cell r="A103" t="str">
            <v>T-PHEV-STG_S3</v>
          </cell>
          <cell r="B103" t="str">
            <v>VAR_ncap</v>
          </cell>
          <cell r="C103" t="str">
            <v>-</v>
          </cell>
          <cell r="E103">
            <v>2.3754199303947399</v>
          </cell>
          <cell r="F103">
            <v>8.4801398001596109</v>
          </cell>
          <cell r="G103">
            <v>42.609226244831802</v>
          </cell>
        </row>
        <row r="104">
          <cell r="A104" t="str">
            <v>T-PHEV-STG_S3</v>
          </cell>
          <cell r="B104" t="str">
            <v>VAR_cap</v>
          </cell>
          <cell r="C104" t="str">
            <v>-</v>
          </cell>
          <cell r="E104">
            <v>2.3754199303947399</v>
          </cell>
          <cell r="F104">
            <v>10.854353439392606</v>
          </cell>
          <cell r="G104">
            <v>53.455409493013207</v>
          </cell>
        </row>
        <row r="105">
          <cell r="A105" t="str">
            <v>TFLGV-HYBDSL</v>
          </cell>
          <cell r="B105" t="str">
            <v>VAR_fout</v>
          </cell>
          <cell r="C105" t="str">
            <v>CO2_T</v>
          </cell>
          <cell r="E105">
            <v>15.269850457960199</v>
          </cell>
          <cell r="F105">
            <v>119.2123211919085</v>
          </cell>
          <cell r="G105">
            <v>88.028747222893358</v>
          </cell>
        </row>
        <row r="106">
          <cell r="A106" t="str">
            <v>TFLGV-HYBDSL</v>
          </cell>
          <cell r="B106" t="str">
            <v>VAR_fout</v>
          </cell>
          <cell r="C106" t="str">
            <v>TFLGV</v>
          </cell>
          <cell r="E106">
            <v>9.5987070062571622E-2</v>
          </cell>
          <cell r="F106">
            <v>0.74937481922780114</v>
          </cell>
          <cell r="G106">
            <v>0.55335325977599581</v>
          </cell>
        </row>
        <row r="107">
          <cell r="A107" t="str">
            <v>TFLGV-HYBDSL</v>
          </cell>
          <cell r="B107" t="str">
            <v>VAR_fin</v>
          </cell>
          <cell r="C107" t="str">
            <v>TDSL</v>
          </cell>
          <cell r="E107">
            <v>0.20831992439236316</v>
          </cell>
          <cell r="F107">
            <v>1.6263618170792393</v>
          </cell>
          <cell r="G107">
            <v>1.2009378884432929</v>
          </cell>
        </row>
        <row r="108">
          <cell r="A108" t="str">
            <v>TFLGV-HYBDSL</v>
          </cell>
          <cell r="B108" t="str">
            <v>VAR_ncap</v>
          </cell>
          <cell r="C108" t="str">
            <v>-</v>
          </cell>
          <cell r="E108">
            <v>6.7094236436467999E-3</v>
          </cell>
          <cell r="F108">
            <v>4.5751878065639899E-2</v>
          </cell>
          <cell r="G108">
            <v>3.4302271659534902E-3</v>
          </cell>
        </row>
        <row r="109">
          <cell r="A109" t="str">
            <v>TFLGV-HYBDSL</v>
          </cell>
          <cell r="B109" t="str">
            <v>VAR_cap</v>
          </cell>
          <cell r="C109" t="str">
            <v>-</v>
          </cell>
          <cell r="E109">
            <v>6.7094236436467999E-3</v>
          </cell>
          <cell r="F109">
            <v>5.2461006499486013E-2</v>
          </cell>
          <cell r="G109">
            <v>5.500213081329311E-2</v>
          </cell>
        </row>
        <row r="110">
          <cell r="A110" t="str">
            <v>TFHGV-FCLH2O</v>
          </cell>
          <cell r="B110" t="str">
            <v>VAR_fout</v>
          </cell>
          <cell r="C110" t="str">
            <v>TFHGV</v>
          </cell>
          <cell r="D110">
            <v>8.0404380388603451E-4</v>
          </cell>
          <cell r="E110">
            <v>2.4770105580335529E-3</v>
          </cell>
          <cell r="F110">
            <v>2.4925966819578241E-3</v>
          </cell>
          <cell r="G110">
            <v>9.455148011890094E-4</v>
          </cell>
        </row>
        <row r="111">
          <cell r="A111" t="str">
            <v>TFHGV-FCLH2O</v>
          </cell>
          <cell r="B111" t="str">
            <v>VAR_fin</v>
          </cell>
          <cell r="C111" t="str">
            <v>TH2O</v>
          </cell>
          <cell r="D111">
            <v>4.6087908476744157E-3</v>
          </cell>
          <cell r="E111">
            <v>1.4122655236471049E-2</v>
          </cell>
          <cell r="F111">
            <v>1.4181376923106181E-2</v>
          </cell>
          <cell r="G111">
            <v>5.2476662131087483E-3</v>
          </cell>
        </row>
        <row r="112">
          <cell r="A112" t="str">
            <v>TFHGV-FCLH2O</v>
          </cell>
          <cell r="B112" t="str">
            <v>VAR_ncap</v>
          </cell>
          <cell r="C112" t="str">
            <v>-</v>
          </cell>
          <cell r="E112">
            <v>4.0258976701460997E-6</v>
          </cell>
          <cell r="F112">
            <v>3.8834709868793699E-6</v>
          </cell>
          <cell r="G112">
            <v>6.7609010957936497E-6</v>
          </cell>
        </row>
        <row r="113">
          <cell r="A113" t="str">
            <v>TFHGV-FCLH2O</v>
          </cell>
          <cell r="B113" t="str">
            <v>VAR_cap</v>
          </cell>
          <cell r="C113" t="str">
            <v>-</v>
          </cell>
          <cell r="D113">
            <v>1.3980072444518664E-5</v>
          </cell>
          <cell r="E113">
            <v>4.7282724270338371E-5</v>
          </cell>
          <cell r="F113">
            <v>5.0748974402082048E-5</v>
          </cell>
          <cell r="G113">
            <v>1.7958340226225339E-5</v>
          </cell>
        </row>
        <row r="114">
          <cell r="A114" t="str">
            <v>T-PHEV-STG_S4</v>
          </cell>
          <cell r="B114" t="str">
            <v>VAR_fout</v>
          </cell>
          <cell r="C114" t="str">
            <v>T-ELC-car-PlgSTGAUXout_S4</v>
          </cell>
          <cell r="E114">
            <v>2.7274012477276833E-2</v>
          </cell>
          <cell r="F114">
            <v>4.0731468455580989E-2</v>
          </cell>
          <cell r="G114">
            <v>8.2847736877723829E-2</v>
          </cell>
        </row>
        <row r="115">
          <cell r="A115" t="str">
            <v>T-PHEV-STG_S4</v>
          </cell>
          <cell r="B115" t="str">
            <v>VAR_fout</v>
          </cell>
          <cell r="C115" t="str">
            <v>T-ELC-car-PlgSTGOut_S4</v>
          </cell>
          <cell r="E115">
            <v>2.7274012477276833E-2</v>
          </cell>
          <cell r="F115">
            <v>4.0731468455580983E-2</v>
          </cell>
          <cell r="G115">
            <v>8.2847736877723829E-2</v>
          </cell>
        </row>
        <row r="116">
          <cell r="A116" t="str">
            <v>T-PHEV-STG_S4</v>
          </cell>
          <cell r="B116" t="str">
            <v>VAR_fin</v>
          </cell>
          <cell r="C116" t="str">
            <v>T-ELC-car-PlgSTGAUXin_S4</v>
          </cell>
          <cell r="E116">
            <v>2.7324013260082432E-2</v>
          </cell>
          <cell r="F116">
            <v>4.0821552052504789E-2</v>
          </cell>
          <cell r="G116">
            <v>8.2980400639005844E-2</v>
          </cell>
        </row>
        <row r="117">
          <cell r="A117" t="str">
            <v>T-PHEV-STG_S4</v>
          </cell>
          <cell r="B117" t="str">
            <v>VAR_fin</v>
          </cell>
          <cell r="C117" t="str">
            <v>T-ELC-car-PlgSTGin_S4</v>
          </cell>
          <cell r="E117">
            <v>2.7324013260082432E-2</v>
          </cell>
          <cell r="F117">
            <v>4.0821552052504789E-2</v>
          </cell>
          <cell r="G117">
            <v>8.2980400639005844E-2</v>
          </cell>
        </row>
        <row r="118">
          <cell r="A118" t="str">
            <v>T-PHEV-STG_S4</v>
          </cell>
          <cell r="B118" t="str">
            <v>VAR_ncap</v>
          </cell>
          <cell r="C118" t="str">
            <v>-</v>
          </cell>
          <cell r="E118">
            <v>0.55878150993846998</v>
          </cell>
          <cell r="F118">
            <v>0.52799078838045299</v>
          </cell>
          <cell r="G118">
            <v>0.90164569678507001</v>
          </cell>
        </row>
        <row r="119">
          <cell r="A119" t="str">
            <v>T-PHEV-STG_S4</v>
          </cell>
          <cell r="B119" t="str">
            <v>VAR_cap</v>
          </cell>
          <cell r="C119" t="str">
            <v>-</v>
          </cell>
          <cell r="E119">
            <v>0.55878150993846998</v>
          </cell>
          <cell r="F119">
            <v>1.0866605076941445</v>
          </cell>
          <cell r="G119">
            <v>1.9879736970621327</v>
          </cell>
        </row>
        <row r="120">
          <cell r="A120" t="str">
            <v>TFLGV-ICEGSLExt</v>
          </cell>
          <cell r="B120" t="str">
            <v>VAR_fout</v>
          </cell>
          <cell r="C120" t="str">
            <v>CO2_T</v>
          </cell>
          <cell r="D120">
            <v>61.376655447472501</v>
          </cell>
          <cell r="E120">
            <v>128.43179679945999</v>
          </cell>
          <cell r="F120">
            <v>40.867610333111102</v>
          </cell>
          <cell r="G120">
            <v>20.040376359342801</v>
          </cell>
        </row>
        <row r="121">
          <cell r="A121" t="str">
            <v>TFLGV-ICEGSLExt</v>
          </cell>
          <cell r="B121" t="str">
            <v>VAR_fout</v>
          </cell>
          <cell r="C121" t="str">
            <v>TFLGV</v>
          </cell>
          <cell r="D121">
            <v>0.23085544539155137</v>
          </cell>
          <cell r="E121">
            <v>0.48757154799947011</v>
          </cell>
          <cell r="F121">
            <v>0.15729653438406543</v>
          </cell>
          <cell r="G121">
            <v>7.7133987609815685E-2</v>
          </cell>
        </row>
        <row r="122">
          <cell r="A122" t="str">
            <v>TFLGV-ICEGSLExt</v>
          </cell>
          <cell r="B122" t="str">
            <v>VAR_fin</v>
          </cell>
          <cell r="C122" t="str">
            <v>TGSL</v>
          </cell>
          <cell r="D122">
            <v>0.83166199793323137</v>
          </cell>
          <cell r="E122">
            <v>1.74026824931518</v>
          </cell>
          <cell r="F122">
            <v>0.55376165763023222</v>
          </cell>
          <cell r="G122">
            <v>0.27154981516724613</v>
          </cell>
        </row>
        <row r="123">
          <cell r="A123" t="str">
            <v>TFLGV-ICEGSLExt</v>
          </cell>
          <cell r="B123" t="str">
            <v>VAR_cap</v>
          </cell>
          <cell r="C123" t="str">
            <v>-</v>
          </cell>
          <cell r="D123">
            <v>4.5952E-2</v>
          </cell>
          <cell r="E123">
            <v>3.98250666666667E-2</v>
          </cell>
          <cell r="F123">
            <v>3.0634400681765206E-2</v>
          </cell>
          <cell r="G123">
            <v>1.5317247261841105E-2</v>
          </cell>
        </row>
        <row r="124">
          <cell r="A124" t="str">
            <v>TFRLFELCEXT</v>
          </cell>
          <cell r="B124" t="str">
            <v>VAR_fout</v>
          </cell>
          <cell r="C124" t="str">
            <v>TFRLF</v>
          </cell>
          <cell r="D124">
            <v>2.5094987379160001E-2</v>
          </cell>
          <cell r="E124">
            <v>2.6556501260762151E-2</v>
          </cell>
          <cell r="F124">
            <v>2.9125486040344664E-2</v>
          </cell>
          <cell r="G124">
            <v>3.1625136207197736E-2</v>
          </cell>
        </row>
        <row r="125">
          <cell r="A125" t="str">
            <v>TFRLFELCEXT</v>
          </cell>
          <cell r="B125" t="str">
            <v>VAR_fin</v>
          </cell>
          <cell r="C125" t="str">
            <v>TELC</v>
          </cell>
          <cell r="D125">
            <v>1.5023311167954285</v>
          </cell>
          <cell r="E125">
            <v>1.58982579247647</v>
          </cell>
          <cell r="F125">
            <v>1.7436200827316508</v>
          </cell>
          <cell r="G125">
            <v>1.893263601974257</v>
          </cell>
        </row>
        <row r="126">
          <cell r="A126" t="str">
            <v>TFRLFELCEXT</v>
          </cell>
          <cell r="B126" t="str">
            <v>VAR_ncap</v>
          </cell>
          <cell r="C126" t="str">
            <v>-</v>
          </cell>
          <cell r="D126">
            <v>2.6519457834630798E-6</v>
          </cell>
          <cell r="E126">
            <v>1.3316798355705799E-4</v>
          </cell>
          <cell r="F126">
            <v>2.3721675525588699E-4</v>
          </cell>
          <cell r="G126">
            <v>2.3026050916727801E-4</v>
          </cell>
        </row>
        <row r="127">
          <cell r="A127" t="str">
            <v>TFRLFELCEXT</v>
          </cell>
          <cell r="B127" t="str">
            <v>VAR_cap</v>
          </cell>
          <cell r="C127" t="str">
            <v>-</v>
          </cell>
          <cell r="D127">
            <v>2.3193164334666429E-3</v>
          </cell>
          <cell r="E127">
            <v>2.4524844170237007E-3</v>
          </cell>
          <cell r="F127">
            <v>2.6896673863221346E-3</v>
          </cell>
          <cell r="G127">
            <v>2.9199500178138131E-3</v>
          </cell>
        </row>
        <row r="128">
          <cell r="A128" t="str">
            <v>TFLGV-ICEDSLExt</v>
          </cell>
          <cell r="B128" t="str">
            <v>VAR_fout</v>
          </cell>
          <cell r="C128" t="str">
            <v>CO2_T</v>
          </cell>
          <cell r="D128">
            <v>814.07834168813599</v>
          </cell>
          <cell r="E128">
            <v>549.03626873974497</v>
          </cell>
          <cell r="F128">
            <v>400.840399473113</v>
          </cell>
          <cell r="G128">
            <v>199.81605967488801</v>
          </cell>
        </row>
        <row r="129">
          <cell r="A129" t="str">
            <v>TFLGV-ICEDSLExt</v>
          </cell>
          <cell r="B129" t="str">
            <v>VAR_fout</v>
          </cell>
          <cell r="C129" t="str">
            <v>TFLGV</v>
          </cell>
          <cell r="D129">
            <v>2.8768910679731654</v>
          </cell>
          <cell r="E129">
            <v>2.0069220302618147</v>
          </cell>
          <cell r="F129">
            <v>1.5382247735055503</v>
          </cell>
          <cell r="G129">
            <v>0.76679399965719586</v>
          </cell>
        </row>
        <row r="130">
          <cell r="A130" t="str">
            <v>TFLGV-ICEDSLExt</v>
          </cell>
          <cell r="B130" t="str">
            <v>VAR_fin</v>
          </cell>
          <cell r="C130" t="str">
            <v>TDSL</v>
          </cell>
          <cell r="D130">
            <v>11.106116530533903</v>
          </cell>
          <cell r="E130">
            <v>7.4902628750306288</v>
          </cell>
          <cell r="F130">
            <v>5.4684911251447881</v>
          </cell>
          <cell r="G130">
            <v>2.7260035426314948</v>
          </cell>
        </row>
        <row r="131">
          <cell r="A131" t="str">
            <v>TFLGV-ICEDSLExt</v>
          </cell>
          <cell r="B131" t="str">
            <v>VAR_cap</v>
          </cell>
          <cell r="C131" t="str">
            <v>-</v>
          </cell>
          <cell r="D131">
            <v>0.228993</v>
          </cell>
          <cell r="E131">
            <v>0.19846059999999999</v>
          </cell>
          <cell r="F131">
            <v>0.15264877060509788</v>
          </cell>
          <cell r="G131">
            <v>7.6330725922629725E-2</v>
          </cell>
        </row>
        <row r="132">
          <cell r="A132" t="str">
            <v>T_C-ICE-NGA-S1</v>
          </cell>
          <cell r="B132" t="str">
            <v>VAR_fout</v>
          </cell>
          <cell r="C132" t="str">
            <v>CO2_T</v>
          </cell>
          <cell r="D132">
            <v>0.20390290081791612</v>
          </cell>
          <cell r="E132">
            <v>0.2316648111686373</v>
          </cell>
          <cell r="F132">
            <v>0.24545930858055431</v>
          </cell>
          <cell r="G132">
            <v>0.16268456404881679</v>
          </cell>
        </row>
        <row r="133">
          <cell r="A133" t="str">
            <v>T_C-ICE-NGA-S1</v>
          </cell>
          <cell r="B133" t="str">
            <v>VAR_fout</v>
          </cell>
          <cell r="C133" t="str">
            <v>TPCAR</v>
          </cell>
          <cell r="D133">
            <v>2.2290503464519043E-3</v>
          </cell>
          <cell r="E133">
            <v>2.5046079326976616E-3</v>
          </cell>
          <cell r="F133">
            <v>2.6217632300642901E-3</v>
          </cell>
          <cell r="G133">
            <v>1.7179765053750777E-3</v>
          </cell>
        </row>
        <row r="134">
          <cell r="A134" t="str">
            <v>T_C-ICE-NGA-S1</v>
          </cell>
          <cell r="B134" t="str">
            <v>VAR_fin</v>
          </cell>
          <cell r="C134" t="str">
            <v>TNGA</v>
          </cell>
          <cell r="D134">
            <v>3.6152996598921281E-3</v>
          </cell>
          <cell r="E134">
            <v>4.1075321129190982E-3</v>
          </cell>
          <cell r="F134">
            <v>4.3521154003644449E-3</v>
          </cell>
          <cell r="G134">
            <v>2.8844780859719299E-3</v>
          </cell>
        </row>
        <row r="135">
          <cell r="A135" t="str">
            <v>T_C-ICE-NGA-S1</v>
          </cell>
          <cell r="B135" t="str">
            <v>VAR_ncap</v>
          </cell>
          <cell r="C135" t="str">
            <v>-</v>
          </cell>
          <cell r="E135">
            <v>4.5266687483208297E-5</v>
          </cell>
          <cell r="F135">
            <v>5.1571661629886503E-5</v>
          </cell>
          <cell r="G135">
            <v>3.7893429035077198E-5</v>
          </cell>
        </row>
        <row r="136">
          <cell r="A136" t="str">
            <v>T_C-ICE-NGA-S1</v>
          </cell>
          <cell r="B136" t="str">
            <v>VAR_cap</v>
          </cell>
          <cell r="C136" t="str">
            <v>-</v>
          </cell>
          <cell r="D136">
            <v>2.5616397081194245E-4</v>
          </cell>
          <cell r="E136">
            <v>2.9042783015163271E-4</v>
          </cell>
          <cell r="F136">
            <v>3.3952347085270681E-4</v>
          </cell>
          <cell r="G136">
            <v>2.0029133630795505E-4</v>
          </cell>
        </row>
        <row r="137">
          <cell r="A137" t="str">
            <v>D-T-ELC-car</v>
          </cell>
          <cell r="B137" t="str">
            <v>VAR_fout</v>
          </cell>
          <cell r="C137" t="str">
            <v>T-ELC-car</v>
          </cell>
          <cell r="D137">
            <v>0.75887279069156521</v>
          </cell>
          <cell r="E137">
            <v>1.7790897212910692</v>
          </cell>
          <cell r="F137">
            <v>4.4611062106630781</v>
          </cell>
          <cell r="G137">
            <v>18.547844650195096</v>
          </cell>
        </row>
        <row r="138">
          <cell r="A138" t="str">
            <v>D-T-ELC-car</v>
          </cell>
          <cell r="B138" t="str">
            <v>VAR_fin</v>
          </cell>
          <cell r="C138" t="str">
            <v>TELC</v>
          </cell>
          <cell r="D138">
            <v>0.75887279069156521</v>
          </cell>
          <cell r="E138">
            <v>1.7790897212910692</v>
          </cell>
          <cell r="F138">
            <v>4.4611062106630781</v>
          </cell>
          <cell r="G138">
            <v>18.547844650195096</v>
          </cell>
        </row>
        <row r="139">
          <cell r="A139" t="str">
            <v>D-T-ELC-car</v>
          </cell>
          <cell r="B139" t="str">
            <v>VAR_ncap</v>
          </cell>
          <cell r="C139" t="str">
            <v>-</v>
          </cell>
          <cell r="D139">
            <v>1.4228496410103101E-5</v>
          </cell>
          <cell r="E139">
            <v>7.9475407614687799E-6</v>
          </cell>
          <cell r="F139">
            <v>1.0254397935027399</v>
          </cell>
          <cell r="G139">
            <v>9.1559442141497698</v>
          </cell>
        </row>
        <row r="140">
          <cell r="A140" t="str">
            <v>D-T-ELC-car</v>
          </cell>
          <cell r="B140" t="str">
            <v>VAR_cap</v>
          </cell>
          <cell r="C140" t="str">
            <v>-</v>
          </cell>
          <cell r="D140">
            <v>1.2762721855544601</v>
          </cell>
          <cell r="E140">
            <v>1.2762801330952214</v>
          </cell>
          <cell r="F140">
            <v>2.30171992659796</v>
          </cell>
          <cell r="G140">
            <v>11.457664140747751</v>
          </cell>
        </row>
        <row r="141">
          <cell r="A141" t="str">
            <v>T_C-ICE-NGA-S2</v>
          </cell>
          <cell r="B141" t="str">
            <v>VAR_fout</v>
          </cell>
          <cell r="C141" t="str">
            <v>CO2_T</v>
          </cell>
          <cell r="D141">
            <v>2.876450800608024</v>
          </cell>
          <cell r="E141">
            <v>2.9409652180507839</v>
          </cell>
          <cell r="F141">
            <v>3.0550089185334501</v>
          </cell>
          <cell r="G141">
            <v>0.63165564159765664</v>
          </cell>
        </row>
        <row r="142">
          <cell r="A142" t="str">
            <v>T_C-ICE-NGA-S2</v>
          </cell>
          <cell r="B142" t="str">
            <v>VAR_fout</v>
          </cell>
          <cell r="C142" t="str">
            <v>TPCAR</v>
          </cell>
          <cell r="D142">
            <v>3.2207778514484517E-2</v>
          </cell>
          <cell r="E142">
            <v>3.3052267161579239E-2</v>
          </cell>
          <cell r="F142">
            <v>3.3799698204680866E-2</v>
          </cell>
          <cell r="G142">
            <v>6.1750877591011666E-3</v>
          </cell>
        </row>
        <row r="143">
          <cell r="A143" t="str">
            <v>T_C-ICE-NGA-S2</v>
          </cell>
          <cell r="B143" t="str">
            <v>VAR_fin</v>
          </cell>
          <cell r="C143" t="str">
            <v>TNGA</v>
          </cell>
          <cell r="D143">
            <v>5.1000900720000422E-2</v>
          </cell>
          <cell r="E143">
            <v>5.2144773369694718E-2</v>
          </cell>
          <cell r="F143">
            <v>5.4166824796692443E-2</v>
          </cell>
          <cell r="G143">
            <v>1.1199568113433638E-2</v>
          </cell>
        </row>
        <row r="144">
          <cell r="A144" t="str">
            <v>T_C-ICE-NGA-S2</v>
          </cell>
          <cell r="B144" t="str">
            <v>VAR_ncap</v>
          </cell>
          <cell r="C144" t="str">
            <v>-</v>
          </cell>
          <cell r="E144">
            <v>3.4153313293212902E-5</v>
          </cell>
          <cell r="F144">
            <v>5.2802614511805299E-5</v>
          </cell>
          <cell r="G144">
            <v>3.4823162589783002E-5</v>
          </cell>
        </row>
        <row r="145">
          <cell r="A145" t="str">
            <v>T_C-ICE-NGA-S2</v>
          </cell>
          <cell r="B145" t="str">
            <v>VAR_cap</v>
          </cell>
          <cell r="C145" t="str">
            <v>-</v>
          </cell>
          <cell r="D145">
            <v>2.6900174830049423E-3</v>
          </cell>
          <cell r="E145">
            <v>2.6527668725691506E-3</v>
          </cell>
          <cell r="F145">
            <v>2.6636941312835512E-3</v>
          </cell>
          <cell r="G145">
            <v>4.8233846230312212E-4</v>
          </cell>
        </row>
        <row r="146">
          <cell r="A146" t="str">
            <v>TFLGV-ICEDSL</v>
          </cell>
          <cell r="B146" t="str">
            <v>VAR_fout</v>
          </cell>
          <cell r="C146" t="str">
            <v>CO2_T</v>
          </cell>
          <cell r="D146">
            <v>322.44588117845615</v>
          </cell>
          <cell r="E146">
            <v>384.94909044842353</v>
          </cell>
          <cell r="F146">
            <v>377.67313175371953</v>
          </cell>
          <cell r="G146">
            <v>158.76415194422739</v>
          </cell>
        </row>
        <row r="147">
          <cell r="A147" t="str">
            <v>TFLGV-ICEDSL</v>
          </cell>
          <cell r="B147" t="str">
            <v>VAR_fout</v>
          </cell>
          <cell r="C147" t="str">
            <v>TFLGV</v>
          </cell>
          <cell r="D147">
            <v>1.5049579228836167</v>
          </cell>
          <cell r="E147">
            <v>1.7966803652752117</v>
          </cell>
          <cell r="F147">
            <v>1.7627211419657105</v>
          </cell>
          <cell r="G147">
            <v>0.7410030094511475</v>
          </cell>
        </row>
        <row r="148">
          <cell r="A148" t="str">
            <v>TFLGV-ICEDSL</v>
          </cell>
          <cell r="B148" t="str">
            <v>VAR_fin</v>
          </cell>
          <cell r="C148" t="str">
            <v>TDSL</v>
          </cell>
          <cell r="D148">
            <v>4.3989888291740282</v>
          </cell>
          <cell r="E148">
            <v>5.2516929119839455</v>
          </cell>
          <cell r="F148">
            <v>5.1524301739934444</v>
          </cell>
          <cell r="G148">
            <v>2.1659502311627272</v>
          </cell>
        </row>
        <row r="149">
          <cell r="A149" t="str">
            <v>TFLGV-ICEDSL</v>
          </cell>
          <cell r="B149" t="str">
            <v>VAR_ncap</v>
          </cell>
          <cell r="C149" t="str">
            <v>-</v>
          </cell>
          <cell r="E149">
            <v>3.52397960440414E-4</v>
          </cell>
          <cell r="F149">
            <v>1.6459100613071701E-3</v>
          </cell>
          <cell r="G149">
            <v>8.0739535086164803E-4</v>
          </cell>
        </row>
        <row r="150">
          <cell r="A150" t="str">
            <v>TFLGV-ICEDSL</v>
          </cell>
          <cell r="B150" t="str">
            <v>VAR_cap</v>
          </cell>
          <cell r="C150" t="str">
            <v>-</v>
          </cell>
          <cell r="D150">
            <v>0.10616067873160853</v>
          </cell>
          <cell r="E150">
            <v>0.1254968048311933</v>
          </cell>
          <cell r="F150">
            <v>0.12714439780081918</v>
          </cell>
          <cell r="G150">
            <v>7.3597664614263786E-2</v>
          </cell>
        </row>
        <row r="151">
          <cell r="A151" t="str">
            <v>T_C-ICE-NGA-S3</v>
          </cell>
          <cell r="B151" t="str">
            <v>VAR_fout</v>
          </cell>
          <cell r="C151" t="str">
            <v>CO2_T</v>
          </cell>
          <cell r="D151">
            <v>0.26947804419943011</v>
          </cell>
          <cell r="E151">
            <v>0.33455341521042203</v>
          </cell>
          <cell r="F151">
            <v>0.44261986393296776</v>
          </cell>
          <cell r="G151">
            <v>0.41356033242225088</v>
          </cell>
        </row>
        <row r="152">
          <cell r="A152" t="str">
            <v>T_C-ICE-NGA-S3</v>
          </cell>
          <cell r="B152" t="str">
            <v>VAR_fout</v>
          </cell>
          <cell r="C152" t="str">
            <v>TPCAR</v>
          </cell>
          <cell r="D152">
            <v>2.2483731975374813E-3</v>
          </cell>
          <cell r="E152">
            <v>2.8871316350043124E-3</v>
          </cell>
          <cell r="F152">
            <v>3.8279842977189593E-3</v>
          </cell>
          <cell r="G152">
            <v>3.5122311713715218E-3</v>
          </cell>
        </row>
        <row r="153">
          <cell r="A153" t="str">
            <v>T_C-ICE-NGA-S3</v>
          </cell>
          <cell r="B153" t="str">
            <v>VAR_fin</v>
          </cell>
          <cell r="C153" t="str">
            <v>TNGA</v>
          </cell>
          <cell r="D153">
            <v>4.7779795070820906E-3</v>
          </cell>
          <cell r="E153">
            <v>5.931798142028751E-3</v>
          </cell>
          <cell r="F153">
            <v>7.8478699278894878E-3</v>
          </cell>
          <cell r="G153">
            <v>7.3326300074867323E-3</v>
          </cell>
        </row>
        <row r="154">
          <cell r="A154" t="str">
            <v>T_C-ICE-NGA-S3</v>
          </cell>
          <cell r="B154" t="str">
            <v>VAR_ncap</v>
          </cell>
          <cell r="C154" t="str">
            <v>-</v>
          </cell>
          <cell r="E154">
            <v>4.2165185010571899E-5</v>
          </cell>
          <cell r="F154">
            <v>6.1600997243597399E-5</v>
          </cell>
          <cell r="G154">
            <v>3.5210872990832798E-5</v>
          </cell>
        </row>
        <row r="155">
          <cell r="A155" t="str">
            <v>T_C-ICE-NGA-S3</v>
          </cell>
          <cell r="B155" t="str">
            <v>VAR_cap</v>
          </cell>
          <cell r="C155" t="str">
            <v>-</v>
          </cell>
          <cell r="D155">
            <v>1.509914908466808E-4</v>
          </cell>
          <cell r="E155">
            <v>1.9639819204006779E-4</v>
          </cell>
          <cell r="F155">
            <v>2.5581643863092321E-4</v>
          </cell>
          <cell r="G155">
            <v>2.311601671746478E-4</v>
          </cell>
        </row>
        <row r="156">
          <cell r="A156" t="str">
            <v>T_C-ICE-NGA-S4</v>
          </cell>
          <cell r="B156" t="str">
            <v>VAR_fout</v>
          </cell>
          <cell r="C156" t="str">
            <v>CO2_T</v>
          </cell>
          <cell r="D156">
            <v>2.6858962576044787</v>
          </cell>
          <cell r="E156">
            <v>2.7010791647537404</v>
          </cell>
          <cell r="F156">
            <v>2.5950971442430544</v>
          </cell>
          <cell r="G156">
            <v>0.33213292940948486</v>
          </cell>
        </row>
        <row r="157">
          <cell r="A157" t="str">
            <v>T_C-ICE-NGA-S4</v>
          </cell>
          <cell r="B157" t="str">
            <v>VAR_fout</v>
          </cell>
          <cell r="C157" t="str">
            <v>TPCAR</v>
          </cell>
          <cell r="D157">
            <v>3.2513786746818991E-2</v>
          </cell>
          <cell r="E157">
            <v>3.241706271946581E-2</v>
          </cell>
          <cell r="F157">
            <v>3.0747016428521508E-2</v>
          </cell>
          <cell r="G157">
            <v>3.22424118941612E-3</v>
          </cell>
        </row>
        <row r="158">
          <cell r="A158" t="str">
            <v>T_C-ICE-NGA-S4</v>
          </cell>
          <cell r="B158" t="str">
            <v>VAR_fin</v>
          </cell>
          <cell r="C158" t="str">
            <v>TNGA</v>
          </cell>
          <cell r="D158">
            <v>4.7622274071001489E-2</v>
          </cell>
          <cell r="E158">
            <v>4.7891474552371319E-2</v>
          </cell>
          <cell r="F158">
            <v>4.6012360713529252E-2</v>
          </cell>
          <cell r="G158">
            <v>5.8888817271185246E-3</v>
          </cell>
        </row>
        <row r="159">
          <cell r="A159" t="str">
            <v>T_C-ICE-NGA-S4</v>
          </cell>
          <cell r="B159" t="str">
            <v>VAR_ncap</v>
          </cell>
          <cell r="C159" t="str">
            <v>-</v>
          </cell>
          <cell r="E159">
            <v>4.3208942843573597E-5</v>
          </cell>
          <cell r="F159">
            <v>6.3537765715635102E-5</v>
          </cell>
          <cell r="G159">
            <v>3.8038243543099198E-5</v>
          </cell>
        </row>
        <row r="160">
          <cell r="A160" t="str">
            <v>T_C-ICE-NGA-S4</v>
          </cell>
          <cell r="B160" t="str">
            <v>VAR_cap</v>
          </cell>
          <cell r="C160" t="str">
            <v>-</v>
          </cell>
          <cell r="D160">
            <v>2.60743625399938E-3</v>
          </cell>
          <cell r="E160">
            <v>2.570472494382167E-3</v>
          </cell>
          <cell r="F160">
            <v>2.4542331392227012E-3</v>
          </cell>
          <cell r="G160">
            <v>2.6048142752979207E-4</v>
          </cell>
        </row>
        <row r="161">
          <cell r="A161" t="str">
            <v>T_C-MHY-GSL-S1</v>
          </cell>
          <cell r="B161" t="str">
            <v>VAR_fout</v>
          </cell>
          <cell r="C161" t="str">
            <v>CO2_T</v>
          </cell>
          <cell r="E161">
            <v>0.38561874373514399</v>
          </cell>
          <cell r="F161">
            <v>0.7372752700693721</v>
          </cell>
          <cell r="G161">
            <v>1.0290069247189351</v>
          </cell>
        </row>
        <row r="162">
          <cell r="A162" t="str">
            <v>T_C-MHY-GSL-S1</v>
          </cell>
          <cell r="B162" t="str">
            <v>VAR_fout</v>
          </cell>
          <cell r="C162" t="str">
            <v>TPCAR</v>
          </cell>
          <cell r="E162">
            <v>2.7086125803752101E-3</v>
          </cell>
          <cell r="F162">
            <v>5.3843627285739461E-3</v>
          </cell>
          <cell r="G162">
            <v>7.8818516363841455E-3</v>
          </cell>
        </row>
        <row r="163">
          <cell r="A163" t="str">
            <v>T_C-MHY-GSL-S1</v>
          </cell>
          <cell r="B163" t="str">
            <v>VAR_fin</v>
          </cell>
          <cell r="C163" t="str">
            <v>TGSL</v>
          </cell>
          <cell r="E163">
            <v>5.2251862294734877E-3</v>
          </cell>
          <cell r="F163">
            <v>9.9901798112381063E-3</v>
          </cell>
          <cell r="G163">
            <v>1.3943183261774164E-2</v>
          </cell>
        </row>
        <row r="164">
          <cell r="A164" t="str">
            <v>T_C-MHY-GSL-S1</v>
          </cell>
          <cell r="B164" t="str">
            <v>VAR_ncap</v>
          </cell>
          <cell r="C164" t="str">
            <v>-</v>
          </cell>
          <cell r="E164">
            <v>3.1861209575087301E-4</v>
          </cell>
          <cell r="F164">
            <v>4.9356385671939305E-4</v>
          </cell>
          <cell r="G164">
            <v>4.6272560479405602E-4</v>
          </cell>
        </row>
        <row r="165">
          <cell r="A165" t="str">
            <v>T_C-MHY-GSL-S1</v>
          </cell>
          <cell r="B165" t="str">
            <v>VAR_cap</v>
          </cell>
          <cell r="C165" t="str">
            <v>-</v>
          </cell>
          <cell r="E165">
            <v>3.1437036483584802E-4</v>
          </cell>
          <cell r="F165">
            <v>7.8336918597091696E-4</v>
          </cell>
          <cell r="G165">
            <v>1.10480659379235E-3</v>
          </cell>
        </row>
        <row r="166">
          <cell r="A166" t="str">
            <v>T_TRLY_ELC</v>
          </cell>
          <cell r="B166" t="str">
            <v>VAR_fout</v>
          </cell>
          <cell r="C166" t="str">
            <v>TPTRLY</v>
          </cell>
          <cell r="D166">
            <v>2.7120999999999972E-2</v>
          </cell>
          <cell r="E166">
            <v>2.7782165745480814E-2</v>
          </cell>
          <cell r="F166">
            <v>2.8832315767707572E-2</v>
          </cell>
          <cell r="G166">
            <v>3.0543631535415186E-2</v>
          </cell>
        </row>
        <row r="167">
          <cell r="A167" t="str">
            <v>T_TRLY_ELC</v>
          </cell>
          <cell r="B167" t="str">
            <v>VAR_fin</v>
          </cell>
          <cell r="C167" t="str">
            <v>TELC</v>
          </cell>
          <cell r="D167">
            <v>0.2816422643485601</v>
          </cell>
          <cell r="E167">
            <v>0.30668648626079364</v>
          </cell>
          <cell r="F167">
            <v>0.35149986092475399</v>
          </cell>
          <cell r="G167">
            <v>0.45078090930791764</v>
          </cell>
        </row>
        <row r="168">
          <cell r="A168" t="str">
            <v>T_C-MHY-GSL-S2</v>
          </cell>
          <cell r="B168" t="str">
            <v>VAR_fout</v>
          </cell>
          <cell r="C168" t="str">
            <v>CO2_T</v>
          </cell>
          <cell r="E168">
            <v>0.34762369097276902</v>
          </cell>
          <cell r="F168">
            <v>0.99221408881808804</v>
          </cell>
          <cell r="G168">
            <v>1.3113231216905761</v>
          </cell>
        </row>
        <row r="169">
          <cell r="A169" t="str">
            <v>T_C-MHY-GSL-S2</v>
          </cell>
          <cell r="B169" t="str">
            <v>VAR_fout</v>
          </cell>
          <cell r="C169" t="str">
            <v>TPCAR</v>
          </cell>
          <cell r="E169">
            <v>1.9658030804223432E-3</v>
          </cell>
          <cell r="F169">
            <v>5.8776644292743464E-3</v>
          </cell>
          <cell r="G169">
            <v>8.1052224451632106E-3</v>
          </cell>
        </row>
        <row r="170">
          <cell r="A170" t="str">
            <v>T_C-MHY-GSL-S2</v>
          </cell>
          <cell r="B170" t="str">
            <v>VAR_fin</v>
          </cell>
          <cell r="C170" t="str">
            <v>TGSL</v>
          </cell>
          <cell r="E170">
            <v>4.710348116162175E-3</v>
          </cell>
          <cell r="F170">
            <v>1.3444635349838592E-2</v>
          </cell>
          <cell r="G170">
            <v>1.7768605984967153E-2</v>
          </cell>
        </row>
        <row r="171">
          <cell r="A171" t="str">
            <v>T_C-MHY-GSL-S2</v>
          </cell>
          <cell r="B171" t="str">
            <v>VAR_ncap</v>
          </cell>
          <cell r="C171" t="str">
            <v>-</v>
          </cell>
          <cell r="E171">
            <v>1.6310258839733201E-4</v>
          </cell>
          <cell r="F171">
            <v>3.6591970991256599E-4</v>
          </cell>
          <cell r="G171">
            <v>2.4338677524886099E-4</v>
          </cell>
        </row>
        <row r="172">
          <cell r="A172" t="str">
            <v>T_C-MHY-GSL-S2</v>
          </cell>
          <cell r="B172" t="str">
            <v>VAR_cap</v>
          </cell>
          <cell r="C172" t="str">
            <v>-</v>
          </cell>
          <cell r="E172">
            <v>1.6093117902288501E-4</v>
          </cell>
          <cell r="F172">
            <v>5.1276785596746002E-4</v>
          </cell>
          <cell r="G172">
            <v>6.6998433071625602E-4</v>
          </cell>
        </row>
        <row r="173">
          <cell r="A173" t="str">
            <v>T_C-MHY-DSL-S1</v>
          </cell>
          <cell r="B173" t="str">
            <v>VAR_fout</v>
          </cell>
          <cell r="C173" t="str">
            <v>CO2_T</v>
          </cell>
          <cell r="E173">
            <v>0.31274700323689503</v>
          </cell>
          <cell r="F173">
            <v>0.57160734107352806</v>
          </cell>
          <cell r="G173">
            <v>0.78368327088775902</v>
          </cell>
        </row>
        <row r="174">
          <cell r="A174" t="str">
            <v>T_C-MHY-DSL-S1</v>
          </cell>
          <cell r="B174" t="str">
            <v>VAR_fout</v>
          </cell>
          <cell r="C174" t="str">
            <v>TPCAR</v>
          </cell>
          <cell r="E174">
            <v>2.3980204899592336E-3</v>
          </cell>
          <cell r="F174">
            <v>4.5210762304691357E-3</v>
          </cell>
          <cell r="G174">
            <v>6.4430916944571218E-3</v>
          </cell>
        </row>
        <row r="175">
          <cell r="A175" t="str">
            <v>T_C-MHY-DSL-S1</v>
          </cell>
          <cell r="B175" t="str">
            <v>VAR_fin</v>
          </cell>
          <cell r="C175" t="str">
            <v>TDSL</v>
          </cell>
          <cell r="E175">
            <v>4.2666712583478142E-3</v>
          </cell>
          <cell r="F175">
            <v>7.7981901919990269E-3</v>
          </cell>
          <cell r="G175">
            <v>1.0691449807472823E-2</v>
          </cell>
        </row>
        <row r="176">
          <cell r="A176" t="str">
            <v>T_C-MHY-DSL-S1</v>
          </cell>
          <cell r="B176" t="str">
            <v>VAR_ncap</v>
          </cell>
          <cell r="C176" t="str">
            <v>-</v>
          </cell>
          <cell r="E176">
            <v>2.8117851035941303E-4</v>
          </cell>
          <cell r="F176">
            <v>3.9614217116034403E-4</v>
          </cell>
          <cell r="G176">
            <v>3.5707814689522199E-4</v>
          </cell>
        </row>
        <row r="177">
          <cell r="A177" t="str">
            <v>T_C-MHY-DSL-S1</v>
          </cell>
          <cell r="B177" t="str">
            <v>VAR_cap</v>
          </cell>
          <cell r="C177" t="str">
            <v>-</v>
          </cell>
          <cell r="E177">
            <v>2.77435138416105E-4</v>
          </cell>
          <cell r="F177">
            <v>6.5242338728946196E-4</v>
          </cell>
          <cell r="G177">
            <v>8.9217492029737804E-4</v>
          </cell>
        </row>
        <row r="178">
          <cell r="A178" t="str">
            <v>T_C-MHY-GSL-S3</v>
          </cell>
          <cell r="B178" t="str">
            <v>VAR_fout</v>
          </cell>
          <cell r="C178" t="str">
            <v>CO2_T</v>
          </cell>
          <cell r="E178">
            <v>0.456712635709624</v>
          </cell>
          <cell r="F178">
            <v>1.206169595071573</v>
          </cell>
          <cell r="G178">
            <v>1.439526932217934</v>
          </cell>
        </row>
        <row r="179">
          <cell r="A179" t="str">
            <v>T_C-MHY-GSL-S3</v>
          </cell>
          <cell r="B179" t="str">
            <v>VAR_fout</v>
          </cell>
          <cell r="C179" t="str">
            <v>TPCAR</v>
          </cell>
          <cell r="E179">
            <v>2.4009588096443098E-3</v>
          </cell>
          <cell r="F179">
            <v>6.6296719150267178E-3</v>
          </cell>
          <cell r="G179">
            <v>8.2192878022129597E-3</v>
          </cell>
        </row>
        <row r="180">
          <cell r="A180" t="str">
            <v>T_C-MHY-GSL-S3</v>
          </cell>
          <cell r="B180" t="str">
            <v>VAR_fin</v>
          </cell>
          <cell r="C180" t="str">
            <v>TGSL</v>
          </cell>
          <cell r="E180">
            <v>6.1885180990463983E-3</v>
          </cell>
          <cell r="F180">
            <v>1.634376145083432E-2</v>
          </cell>
          <cell r="G180">
            <v>1.9505784989402912E-2</v>
          </cell>
        </row>
        <row r="181">
          <cell r="A181" t="str">
            <v>T_C-MHY-GSL-S3</v>
          </cell>
          <cell r="B181" t="str">
            <v>VAR_ncap</v>
          </cell>
          <cell r="C181" t="str">
            <v>-</v>
          </cell>
          <cell r="E181">
            <v>1.77609523635485E-4</v>
          </cell>
          <cell r="F181">
            <v>3.3092130425557698E-4</v>
          </cell>
          <cell r="G181">
            <v>1.9483607305095801E-4</v>
          </cell>
        </row>
        <row r="182">
          <cell r="A182" t="str">
            <v>T_C-MHY-GSL-S3</v>
          </cell>
          <cell r="B182" t="str">
            <v>VAR_cap</v>
          </cell>
          <cell r="C182" t="str">
            <v>-</v>
          </cell>
          <cell r="E182">
            <v>1.75244981242855E-4</v>
          </cell>
          <cell r="F182">
            <v>4.9172988840748397E-4</v>
          </cell>
          <cell r="G182">
            <v>6.0442619453453901E-4</v>
          </cell>
        </row>
        <row r="183">
          <cell r="A183" t="str">
            <v>T_C-MHY-DSL-S2</v>
          </cell>
          <cell r="B183" t="str">
            <v>VAR_fout</v>
          </cell>
          <cell r="C183" t="str">
            <v>CO2_T</v>
          </cell>
          <cell r="E183">
            <v>0.296411804493034</v>
          </cell>
          <cell r="F183">
            <v>0.76687449452337597</v>
          </cell>
          <cell r="G183">
            <v>0.98678924777243004</v>
          </cell>
        </row>
        <row r="184">
          <cell r="A184" t="str">
            <v>T_C-MHY-DSL-S2</v>
          </cell>
          <cell r="B184" t="str">
            <v>VAR_fout</v>
          </cell>
          <cell r="C184" t="str">
            <v>TPCAR</v>
          </cell>
          <cell r="E184">
            <v>1.8282156736666552E-3</v>
          </cell>
          <cell r="F184">
            <v>4.9075163393193892E-3</v>
          </cell>
          <cell r="G184">
            <v>6.5452983153249707E-3</v>
          </cell>
        </row>
        <row r="185">
          <cell r="A185" t="str">
            <v>T_C-MHY-DSL-S2</v>
          </cell>
          <cell r="B185" t="str">
            <v>VAR_fin</v>
          </cell>
          <cell r="C185" t="str">
            <v>TDSL</v>
          </cell>
          <cell r="E185">
            <v>4.0438172509281601E-3</v>
          </cell>
          <cell r="F185">
            <v>1.0462134986676341E-2</v>
          </cell>
          <cell r="G185">
            <v>1.3462336258832605E-2</v>
          </cell>
        </row>
        <row r="186">
          <cell r="A186" t="str">
            <v>T_C-MHY-DSL-S2</v>
          </cell>
          <cell r="B186" t="str">
            <v>VAR_ncap</v>
          </cell>
          <cell r="C186" t="str">
            <v>-</v>
          </cell>
          <cell r="E186">
            <v>1.49505281852152E-4</v>
          </cell>
          <cell r="F186">
            <v>2.82748697735677E-4</v>
          </cell>
          <cell r="G186">
            <v>1.9282859071547201E-4</v>
          </cell>
        </row>
        <row r="187">
          <cell r="A187" t="str">
            <v>T_C-MHY-DSL-S2</v>
          </cell>
          <cell r="B187" t="str">
            <v>VAR_cap</v>
          </cell>
          <cell r="C187" t="str">
            <v>-</v>
          </cell>
          <cell r="E187">
            <v>1.4751489547181899E-4</v>
          </cell>
          <cell r="F187">
            <v>4.1805575886992699E-4</v>
          </cell>
          <cell r="G187">
            <v>5.3974750101408995E-4</v>
          </cell>
        </row>
        <row r="188">
          <cell r="A188" t="str">
            <v>T_C-MHY-GSL-S4</v>
          </cell>
          <cell r="B188" t="str">
            <v>VAR_fout</v>
          </cell>
          <cell r="C188" t="str">
            <v>CO2_T</v>
          </cell>
          <cell r="E188">
            <v>0.53808486304684999</v>
          </cell>
          <cell r="F188">
            <v>1.5067854801159162</v>
          </cell>
          <cell r="G188">
            <v>1.7712340731783911</v>
          </cell>
        </row>
        <row r="189">
          <cell r="A189" t="str">
            <v>T_C-MHY-GSL-S4</v>
          </cell>
          <cell r="B189" t="str">
            <v>VAR_fout</v>
          </cell>
          <cell r="C189" t="str">
            <v>TPCAR</v>
          </cell>
          <cell r="E189">
            <v>2.8677778697233256E-3</v>
          </cell>
          <cell r="F189">
            <v>8.39998395522892E-3</v>
          </cell>
          <cell r="G189">
            <v>1.0223917124167717E-2</v>
          </cell>
        </row>
        <row r="190">
          <cell r="A190" t="str">
            <v>T_C-MHY-GSL-S4</v>
          </cell>
          <cell r="B190" t="str">
            <v>VAR_fin</v>
          </cell>
          <cell r="C190" t="str">
            <v>TGSL</v>
          </cell>
          <cell r="E190">
            <v>7.2911228055128627E-3</v>
          </cell>
          <cell r="F190">
            <v>2.0417147427044927E-2</v>
          </cell>
          <cell r="G190">
            <v>2.4000461696184167E-2</v>
          </cell>
        </row>
        <row r="191">
          <cell r="A191" t="str">
            <v>T_C-MHY-GSL-S4</v>
          </cell>
          <cell r="B191" t="str">
            <v>VAR_ncap</v>
          </cell>
          <cell r="C191" t="str">
            <v>-</v>
          </cell>
          <cell r="E191">
            <v>2.4193715345735599E-4</v>
          </cell>
          <cell r="F191">
            <v>5.0507953656970801E-4</v>
          </cell>
          <cell r="G191">
            <v>2.6739176910912102E-4</v>
          </cell>
        </row>
        <row r="192">
          <cell r="A192" t="str">
            <v>T_C-MHY-GSL-S4</v>
          </cell>
          <cell r="B192" t="str">
            <v>VAR_cap</v>
          </cell>
          <cell r="C192" t="str">
            <v>-</v>
          </cell>
          <cell r="E192">
            <v>2.38716207620712E-4</v>
          </cell>
          <cell r="F192">
            <v>7.2340774290020795E-4</v>
          </cell>
          <cell r="G192">
            <v>8.7233148999211303E-4</v>
          </cell>
        </row>
        <row r="193">
          <cell r="A193" t="str">
            <v>T_C-MHY-DSL-S3</v>
          </cell>
          <cell r="B193" t="str">
            <v>VAR_fout</v>
          </cell>
          <cell r="C193" t="str">
            <v>CO2_T</v>
          </cell>
          <cell r="E193">
            <v>0.37182087476796299</v>
          </cell>
          <cell r="F193">
            <v>0.88750535720073798</v>
          </cell>
          <cell r="G193">
            <v>1.0536645418289581</v>
          </cell>
        </row>
        <row r="194">
          <cell r="A194" t="str">
            <v>T_C-MHY-DSL-S3</v>
          </cell>
          <cell r="B194" t="str">
            <v>VAR_fout</v>
          </cell>
          <cell r="C194" t="str">
            <v>TPCAR</v>
          </cell>
          <cell r="E194">
            <v>2.1319158746760086E-3</v>
          </cell>
          <cell r="F194">
            <v>5.2703143471622719E-3</v>
          </cell>
          <cell r="G194">
            <v>6.4650101546145505E-3</v>
          </cell>
        </row>
        <row r="195">
          <cell r="A195" t="str">
            <v>T_C-MHY-DSL-S3</v>
          </cell>
          <cell r="B195" t="str">
            <v>VAR_fin</v>
          </cell>
          <cell r="C195" t="str">
            <v>TDSL</v>
          </cell>
          <cell r="E195">
            <v>5.07259037882623E-3</v>
          </cell>
          <cell r="F195">
            <v>1.2107849347895468E-2</v>
          </cell>
          <cell r="G195">
            <v>1.4374686791663833E-2</v>
          </cell>
        </row>
        <row r="196">
          <cell r="A196" t="str">
            <v>T_C-MHY-DSL-S3</v>
          </cell>
          <cell r="B196" t="str">
            <v>VAR_ncap</v>
          </cell>
          <cell r="C196" t="str">
            <v>-</v>
          </cell>
          <cell r="E196">
            <v>1.5651154429672701E-4</v>
          </cell>
          <cell r="F196">
            <v>2.4726582929399202E-4</v>
          </cell>
          <cell r="G196">
            <v>1.5233443295633599E-4</v>
          </cell>
        </row>
        <row r="197">
          <cell r="A197" t="str">
            <v>T_C-MHY-DSL-S3</v>
          </cell>
          <cell r="B197" t="str">
            <v>VAR_cap</v>
          </cell>
          <cell r="C197" t="str">
            <v>-</v>
          </cell>
          <cell r="E197">
            <v>1.54427882487099E-4</v>
          </cell>
          <cell r="F197">
            <v>3.89562575957813E-4</v>
          </cell>
          <cell r="G197">
            <v>4.7580632677896202E-4</v>
          </cell>
        </row>
        <row r="198">
          <cell r="A198" t="str">
            <v>T_B_c-HYBDSL-S1</v>
          </cell>
          <cell r="B198" t="str">
            <v>VAR_fout</v>
          </cell>
          <cell r="C198" t="str">
            <v>CO2_T</v>
          </cell>
          <cell r="E198">
            <v>1.5751141594673099</v>
          </cell>
          <cell r="F198">
            <v>1.906196197373067</v>
          </cell>
          <cell r="G198">
            <v>1.575576605956016E-2</v>
          </cell>
        </row>
        <row r="199">
          <cell r="A199" t="str">
            <v>T_B_c-HYBDSL-S1</v>
          </cell>
          <cell r="B199" t="str">
            <v>VAR_fout</v>
          </cell>
          <cell r="C199" t="str">
            <v>TPBSc</v>
          </cell>
          <cell r="E199">
            <v>3.4921913981897272E-3</v>
          </cell>
          <cell r="F199">
            <v>4.2665476513924008E-3</v>
          </cell>
          <cell r="G199">
            <v>3.7116658101557219E-5</v>
          </cell>
        </row>
        <row r="200">
          <cell r="A200" t="str">
            <v>T_B_c-HYBDSL-S1</v>
          </cell>
          <cell r="B200" t="str">
            <v>VAR_fin</v>
          </cell>
          <cell r="C200" t="str">
            <v>TDSL</v>
          </cell>
          <cell r="E200">
            <v>2.1488596991368427E-2</v>
          </cell>
          <cell r="F200">
            <v>2.6005405148336505E-2</v>
          </cell>
          <cell r="G200">
            <v>2.1494905947558231E-4</v>
          </cell>
        </row>
        <row r="201">
          <cell r="A201" t="str">
            <v>T_B_c-HYBDSL-S1</v>
          </cell>
          <cell r="B201" t="str">
            <v>VAR_ncap</v>
          </cell>
          <cell r="C201" t="str">
            <v>-</v>
          </cell>
          <cell r="E201">
            <v>7.7768263973979006E-5</v>
          </cell>
          <cell r="F201">
            <v>1.95870801698104E-5</v>
          </cell>
          <cell r="G201">
            <v>2.5439386161630998E-7</v>
          </cell>
        </row>
        <row r="202">
          <cell r="A202" t="str">
            <v>T_B_c-HYBDSL-S1</v>
          </cell>
          <cell r="B202" t="str">
            <v>VAR_cap</v>
          </cell>
          <cell r="C202" t="str">
            <v>-</v>
          </cell>
          <cell r="E202">
            <v>7.7768263973979006E-5</v>
          </cell>
          <cell r="F202">
            <v>9.6442351246080042E-5</v>
          </cell>
          <cell r="G202">
            <v>6.0730231772940626E-7</v>
          </cell>
        </row>
        <row r="203">
          <cell r="A203" t="str">
            <v>T_C-MHY-DSL-S4</v>
          </cell>
          <cell r="B203" t="str">
            <v>VAR_fout</v>
          </cell>
          <cell r="C203" t="str">
            <v>CO2_T</v>
          </cell>
          <cell r="E203">
            <v>0.29127231288781302</v>
          </cell>
          <cell r="F203">
            <v>0.66316429566392809</v>
          </cell>
          <cell r="G203">
            <v>0.79679900769849099</v>
          </cell>
        </row>
        <row r="204">
          <cell r="A204" t="str">
            <v>T_C-MHY-DSL-S4</v>
          </cell>
          <cell r="B204" t="str">
            <v>VAR_fout</v>
          </cell>
          <cell r="C204" t="str">
            <v>TPCAR</v>
          </cell>
          <cell r="E204">
            <v>1.5872316024544359E-3</v>
          </cell>
          <cell r="F204">
            <v>3.737431508930016E-3</v>
          </cell>
          <cell r="G204">
            <v>4.6453621391426836E-3</v>
          </cell>
        </row>
        <row r="205">
          <cell r="A205" t="str">
            <v>T_C-MHY-DSL-S4</v>
          </cell>
          <cell r="B205" t="str">
            <v>VAR_fin</v>
          </cell>
          <cell r="C205" t="str">
            <v>TDSL</v>
          </cell>
          <cell r="E205">
            <v>3.9737014036536587E-3</v>
          </cell>
          <cell r="F205">
            <v>9.047261878089052E-3</v>
          </cell>
          <cell r="G205">
            <v>1.0870382096841612E-2</v>
          </cell>
        </row>
        <row r="206">
          <cell r="A206" t="str">
            <v>T_C-MHY-DSL-S4</v>
          </cell>
          <cell r="B206" t="str">
            <v>VAR_ncap</v>
          </cell>
          <cell r="C206" t="str">
            <v>-</v>
          </cell>
          <cell r="E206">
            <v>1.3500130498491801E-4</v>
          </cell>
          <cell r="F206">
            <v>2.0120875051613099E-4</v>
          </cell>
          <cell r="G206">
            <v>1.34880904344834E-4</v>
          </cell>
        </row>
        <row r="207">
          <cell r="A207" t="str">
            <v>T_C-MHY-DSL-S4</v>
          </cell>
          <cell r="B207" t="str">
            <v>VAR_cap</v>
          </cell>
          <cell r="C207" t="str">
            <v>-</v>
          </cell>
          <cell r="E207">
            <v>1.3320401223752999E-4</v>
          </cell>
          <cell r="F207">
            <v>3.2410961813973303E-4</v>
          </cell>
          <cell r="G207">
            <v>4.0324216068371102E-4</v>
          </cell>
        </row>
        <row r="208">
          <cell r="A208" t="str">
            <v>T_B_c-HYBDSL-S2</v>
          </cell>
          <cell r="B208" t="str">
            <v>VAR_fout</v>
          </cell>
          <cell r="C208" t="str">
            <v>CO2_T</v>
          </cell>
          <cell r="E208">
            <v>0.206802213298168</v>
          </cell>
          <cell r="F208">
            <v>0.37488457603200598</v>
          </cell>
          <cell r="G208">
            <v>2.6939995053107957E-2</v>
          </cell>
        </row>
        <row r="209">
          <cell r="A209" t="str">
            <v>T_B_c-HYBDSL-S2</v>
          </cell>
          <cell r="B209" t="str">
            <v>VAR_fout</v>
          </cell>
          <cell r="C209" t="str">
            <v>TPBSc</v>
          </cell>
          <cell r="E209">
            <v>3.2866580437831353E-4</v>
          </cell>
          <cell r="F209">
            <v>6.0898841034704246E-4</v>
          </cell>
          <cell r="G209">
            <v>4.5340612464173049E-5</v>
          </cell>
        </row>
        <row r="210">
          <cell r="A210" t="str">
            <v>T_B_c-HYBDSL-S2</v>
          </cell>
          <cell r="B210" t="str">
            <v>VAR_fin</v>
          </cell>
          <cell r="C210" t="str">
            <v>TDSL</v>
          </cell>
          <cell r="E210">
            <v>2.82131259615509E-3</v>
          </cell>
          <cell r="F210">
            <v>5.1143871218554829E-3</v>
          </cell>
          <cell r="G210">
            <v>3.6753062828250987E-4</v>
          </cell>
        </row>
        <row r="211">
          <cell r="A211" t="str">
            <v>T_B_c-HYBDSL-S2</v>
          </cell>
          <cell r="B211" t="str">
            <v>VAR_ncap</v>
          </cell>
          <cell r="C211" t="str">
            <v>-</v>
          </cell>
          <cell r="E211">
            <v>7.6129508442832501E-6</v>
          </cell>
          <cell r="F211">
            <v>6.1795812980324403E-6</v>
          </cell>
          <cell r="G211">
            <v>2.26784418669213E-7</v>
          </cell>
        </row>
        <row r="212">
          <cell r="A212" t="str">
            <v>T_B_c-HYBDSL-S2</v>
          </cell>
          <cell r="B212" t="str">
            <v>VAR_cap</v>
          </cell>
          <cell r="C212" t="str">
            <v>-</v>
          </cell>
          <cell r="E212">
            <v>7.6129508442832501E-6</v>
          </cell>
          <cell r="F212">
            <v>1.3742378178404533E-5</v>
          </cell>
          <cell r="G212">
            <v>6.1570014628680132E-7</v>
          </cell>
        </row>
        <row r="213">
          <cell r="A213" t="str">
            <v>T_C-BATELCEXT</v>
          </cell>
          <cell r="B213" t="str">
            <v>VAR_fout</v>
          </cell>
          <cell r="C213" t="str">
            <v>TPCAR</v>
          </cell>
          <cell r="D213">
            <v>0.41607209159050434</v>
          </cell>
          <cell r="E213">
            <v>0.36072601065105986</v>
          </cell>
          <cell r="F213">
            <v>0.2772929438843833</v>
          </cell>
          <cell r="G213">
            <v>0.13873048884991923</v>
          </cell>
        </row>
        <row r="214">
          <cell r="A214" t="str">
            <v>T_C-BATELCEXT</v>
          </cell>
          <cell r="B214" t="str">
            <v>VAR_fin</v>
          </cell>
          <cell r="C214" t="str">
            <v>T-ELC-car</v>
          </cell>
          <cell r="D214">
            <v>0.46775321103068807</v>
          </cell>
          <cell r="E214">
            <v>0.37695569892784792</v>
          </cell>
          <cell r="F214">
            <v>0.26206799058819863</v>
          </cell>
          <cell r="G214">
            <v>0.11309438201948849</v>
          </cell>
        </row>
        <row r="215">
          <cell r="A215" t="str">
            <v>T_C-BATELCEXT</v>
          </cell>
          <cell r="B215" t="str">
            <v>VAR_cap</v>
          </cell>
          <cell r="C215" t="str">
            <v>-</v>
          </cell>
          <cell r="D215">
            <v>4.2040000000000001E-2</v>
          </cell>
          <cell r="E215">
            <v>3.6434666666666699E-2</v>
          </cell>
          <cell r="F215">
            <v>2.801066841291143E-2</v>
          </cell>
          <cell r="G215">
            <v>1.4013021769846845E-2</v>
          </cell>
        </row>
        <row r="216">
          <cell r="A216" t="str">
            <v>D-TDSL</v>
          </cell>
          <cell r="B216" t="str">
            <v>VAR_fout</v>
          </cell>
          <cell r="C216" t="str">
            <v>CO2</v>
          </cell>
          <cell r="D216">
            <v>8934.8483903432807</v>
          </cell>
          <cell r="E216">
            <v>8259.86546306114</v>
          </cell>
          <cell r="F216">
            <v>6998.8545337887799</v>
          </cell>
          <cell r="G216">
            <v>4163.9431963346597</v>
          </cell>
        </row>
        <row r="217">
          <cell r="A217" t="str">
            <v>D-TDSL</v>
          </cell>
          <cell r="B217" t="str">
            <v>VAR_fout</v>
          </cell>
          <cell r="C217" t="str">
            <v>TDSL</v>
          </cell>
          <cell r="D217">
            <v>120.10287752597347</v>
          </cell>
          <cell r="E217">
            <v>111.02970825596023</v>
          </cell>
          <cell r="F217">
            <v>94.079108247906248</v>
          </cell>
          <cell r="G217">
            <v>55.972025252828871</v>
          </cell>
        </row>
        <row r="218">
          <cell r="A218" t="str">
            <v>D-TDSL</v>
          </cell>
          <cell r="B218" t="str">
            <v>VAR_fin</v>
          </cell>
          <cell r="C218" t="str">
            <v>DSL</v>
          </cell>
          <cell r="D218">
            <v>121.89424816293706</v>
          </cell>
          <cell r="E218">
            <v>112.68574983712354</v>
          </cell>
          <cell r="F218">
            <v>95.48232651826433</v>
          </cell>
          <cell r="G218">
            <v>56.806864888603791</v>
          </cell>
        </row>
        <row r="219">
          <cell r="A219" t="str">
            <v>T_B_c-HYBDSL-S3</v>
          </cell>
          <cell r="B219" t="str">
            <v>VAR_fout</v>
          </cell>
          <cell r="C219" t="str">
            <v>CO2_T</v>
          </cell>
          <cell r="E219">
            <v>0.113960591784332</v>
          </cell>
          <cell r="F219">
            <v>0.2083914515819914</v>
          </cell>
          <cell r="G219">
            <v>6.4865680326531505E-2</v>
          </cell>
        </row>
        <row r="220">
          <cell r="A220" t="str">
            <v>T_B_c-HYBDSL-S3</v>
          </cell>
          <cell r="B220" t="str">
            <v>VAR_fout</v>
          </cell>
          <cell r="C220" t="str">
            <v>TPBSc</v>
          </cell>
          <cell r="E220">
            <v>1.2163439667629872E-4</v>
          </cell>
          <cell r="F220">
            <v>2.2729354479545004E-4</v>
          </cell>
          <cell r="G220">
            <v>7.2757052675112625E-5</v>
          </cell>
        </row>
        <row r="221">
          <cell r="A221" t="str">
            <v>T_B_c-HYBDSL-S3</v>
          </cell>
          <cell r="B221" t="str">
            <v>VAR_fin</v>
          </cell>
          <cell r="C221" t="str">
            <v>TDSL</v>
          </cell>
          <cell r="E221">
            <v>1.554714758312847E-3</v>
          </cell>
          <cell r="F221">
            <v>2.8429938824282531E-3</v>
          </cell>
          <cell r="G221">
            <v>8.8493424729238132E-4</v>
          </cell>
        </row>
        <row r="222">
          <cell r="A222" t="str">
            <v>T_B_c-HYBDSL-S3</v>
          </cell>
          <cell r="B222" t="str">
            <v>VAR_ncap</v>
          </cell>
          <cell r="C222" t="str">
            <v>-</v>
          </cell>
          <cell r="E222">
            <v>2.8996349118833099E-6</v>
          </cell>
          <cell r="F222">
            <v>2.32158455479767E-6</v>
          </cell>
          <cell r="G222">
            <v>3.82704102885978E-7</v>
          </cell>
        </row>
        <row r="223">
          <cell r="A223" t="str">
            <v>T_B_c-HYBDSL-S3</v>
          </cell>
          <cell r="B223" t="str">
            <v>VAR_cap</v>
          </cell>
          <cell r="C223" t="str">
            <v>-</v>
          </cell>
          <cell r="E223">
            <v>2.8996349118833099E-6</v>
          </cell>
          <cell r="F223">
            <v>5.2098346965093719E-6</v>
          </cell>
          <cell r="G223">
            <v>1.4777193708819405E-6</v>
          </cell>
        </row>
        <row r="224">
          <cell r="A224" t="str">
            <v>T-Bat-Car-STG_S1</v>
          </cell>
          <cell r="B224" t="str">
            <v>VAR_fout</v>
          </cell>
          <cell r="C224" t="str">
            <v>T-ELC-car-BatSTGAUXout_S1</v>
          </cell>
          <cell r="D224">
            <v>1.1753588908782205E-2</v>
          </cell>
          <cell r="E224">
            <v>2.2074972550568058E-2</v>
          </cell>
          <cell r="F224">
            <v>2.1027797554929083E-2</v>
          </cell>
          <cell r="G224">
            <v>0.51125589063957178</v>
          </cell>
        </row>
        <row r="225">
          <cell r="A225" t="str">
            <v>T-Bat-Car-STG_S1</v>
          </cell>
          <cell r="B225" t="str">
            <v>VAR_fout</v>
          </cell>
          <cell r="C225" t="str">
            <v>T-ELC-car-BatSTGOut_S1</v>
          </cell>
          <cell r="D225">
            <v>1.1753588908782205E-2</v>
          </cell>
          <cell r="E225">
            <v>2.2074972550568058E-2</v>
          </cell>
          <cell r="F225">
            <v>2.1027797554929076E-2</v>
          </cell>
          <cell r="G225">
            <v>0.51125589063957166</v>
          </cell>
        </row>
        <row r="226">
          <cell r="A226" t="str">
            <v>T-Bat-Car-STG_S1</v>
          </cell>
          <cell r="B226" t="str">
            <v>VAR_fin</v>
          </cell>
          <cell r="C226" t="str">
            <v>T-ELC-car-BatSTGAUXin_S1</v>
          </cell>
          <cell r="D226">
            <v>1.1799275483505988E-2</v>
          </cell>
          <cell r="E226">
            <v>2.2262838310076773E-2</v>
          </cell>
          <cell r="F226">
            <v>2.1481862407959382E-2</v>
          </cell>
          <cell r="G226">
            <v>0.51166015348336291</v>
          </cell>
        </row>
        <row r="227">
          <cell r="A227" t="str">
            <v>T-Bat-Car-STG_S1</v>
          </cell>
          <cell r="B227" t="str">
            <v>VAR_fin</v>
          </cell>
          <cell r="C227" t="str">
            <v>T-ELC-car-BatSTGin_S1</v>
          </cell>
          <cell r="D227">
            <v>1.1799275483505988E-2</v>
          </cell>
          <cell r="E227">
            <v>2.2262838310076773E-2</v>
          </cell>
          <cell r="F227">
            <v>2.1481862407959382E-2</v>
          </cell>
          <cell r="G227">
            <v>0.51166015348336291</v>
          </cell>
        </row>
        <row r="228">
          <cell r="A228" t="str">
            <v>T-Bat-Car-STG_S1</v>
          </cell>
          <cell r="B228" t="str">
            <v>VAR_ncap</v>
          </cell>
          <cell r="C228" t="str">
            <v>-</v>
          </cell>
          <cell r="D228">
            <v>7.6355191919675103E-2</v>
          </cell>
          <cell r="E228">
            <v>0.12056681920074</v>
          </cell>
          <cell r="F228">
            <v>0.11987445088455501</v>
          </cell>
          <cell r="G228">
            <v>10.133629458616101</v>
          </cell>
        </row>
        <row r="229">
          <cell r="A229" t="str">
            <v>T-Bat-Car-STG_S1</v>
          </cell>
          <cell r="B229" t="str">
            <v>VAR_cap</v>
          </cell>
          <cell r="C229" t="str">
            <v>-</v>
          </cell>
          <cell r="D229">
            <v>7.6355191919675103E-2</v>
          </cell>
          <cell r="E229">
            <v>0.19308511577208123</v>
          </cell>
          <cell r="F229">
            <v>0.29930444072305035</v>
          </cell>
          <cell r="G229">
            <v>9.8551533639452629</v>
          </cell>
        </row>
        <row r="230">
          <cell r="A230" t="str">
            <v>T_B_c-HYBDSL-S4</v>
          </cell>
          <cell r="B230" t="str">
            <v>VAR_fout</v>
          </cell>
          <cell r="C230" t="str">
            <v>CO2_T</v>
          </cell>
          <cell r="E230">
            <v>3.9840710948780299E-2</v>
          </cell>
          <cell r="F230">
            <v>7.6386181334697795E-2</v>
          </cell>
          <cell r="G230">
            <v>3.2740662305095869E-2</v>
          </cell>
        </row>
        <row r="231">
          <cell r="A231" t="str">
            <v>T_B_c-HYBDSL-S4</v>
          </cell>
          <cell r="B231" t="str">
            <v>VAR_fout</v>
          </cell>
          <cell r="C231" t="str">
            <v>TPBSc</v>
          </cell>
          <cell r="E231">
            <v>2.8671962706941855E-5</v>
          </cell>
          <cell r="F231">
            <v>5.6218296179336661E-5</v>
          </cell>
          <cell r="G231">
            <v>2.4933549467175264E-5</v>
          </cell>
        </row>
        <row r="232">
          <cell r="A232" t="str">
            <v>T_B_c-HYBDSL-S4</v>
          </cell>
          <cell r="B232" t="str">
            <v>VAR_fin</v>
          </cell>
          <cell r="C232" t="str">
            <v>TDSL</v>
          </cell>
          <cell r="E232">
            <v>5.4352948088376993E-4</v>
          </cell>
          <cell r="F232">
            <v>1.0421034288499009E-3</v>
          </cell>
          <cell r="G232">
            <v>4.4666660716365488E-4</v>
          </cell>
        </row>
        <row r="233">
          <cell r="A233" t="str">
            <v>T_B_c-HYBDSL-S4</v>
          </cell>
          <cell r="B233" t="str">
            <v>VAR_ncap</v>
          </cell>
          <cell r="C233" t="str">
            <v>-</v>
          </cell>
          <cell r="E233">
            <v>4.54080254360338E-7</v>
          </cell>
          <cell r="F233">
            <v>4.7034541450022803E-7</v>
          </cell>
          <cell r="G233">
            <v>1.1666575134763301E-7</v>
          </cell>
        </row>
        <row r="234">
          <cell r="A234" t="str">
            <v>T_B_c-HYBDSL-S4</v>
          </cell>
          <cell r="B234" t="str">
            <v>VAR_cap</v>
          </cell>
          <cell r="C234" t="str">
            <v>-</v>
          </cell>
          <cell r="E234">
            <v>4.54080254360338E-7</v>
          </cell>
          <cell r="F234">
            <v>9.2442566886056603E-7</v>
          </cell>
          <cell r="G234">
            <v>1.6740735706076501E-7</v>
          </cell>
        </row>
        <row r="235">
          <cell r="A235" t="str">
            <v>TFHGV-ICEDSLExt</v>
          </cell>
          <cell r="B235" t="str">
            <v>VAR_fout</v>
          </cell>
          <cell r="C235" t="str">
            <v>CO2_T</v>
          </cell>
          <cell r="D235">
            <v>1405.0523126144401</v>
          </cell>
          <cell r="E235">
            <v>1141.8993864582501</v>
          </cell>
          <cell r="F235">
            <v>843.91626587571602</v>
          </cell>
          <cell r="G235">
            <v>363.51056458708501</v>
          </cell>
        </row>
        <row r="236">
          <cell r="A236" t="str">
            <v>TFHGV-ICEDSLExt</v>
          </cell>
          <cell r="B236" t="str">
            <v>VAR_fout</v>
          </cell>
          <cell r="C236" t="str">
            <v>TFHGV</v>
          </cell>
          <cell r="D236">
            <v>1.5709301792634554</v>
          </cell>
          <cell r="E236">
            <v>1.3085296230128249</v>
          </cell>
          <cell r="F236">
            <v>1.0023380432991076</v>
          </cell>
          <cell r="G236">
            <v>0.43174954999674281</v>
          </cell>
        </row>
        <row r="237">
          <cell r="A237" t="str">
            <v>TFHGV-ICEDSLExt</v>
          </cell>
          <cell r="B237" t="str">
            <v>VAR_fin</v>
          </cell>
          <cell r="C237" t="str">
            <v>TDSL</v>
          </cell>
          <cell r="D237">
            <v>19.168517225299297</v>
          </cell>
          <cell r="E237">
            <v>15.578436377329401</v>
          </cell>
          <cell r="F237">
            <v>11.513182344825596</v>
          </cell>
          <cell r="G237">
            <v>4.9592164336573603</v>
          </cell>
        </row>
        <row r="238">
          <cell r="A238" t="str">
            <v>TFHGV-ICEDSLExt</v>
          </cell>
          <cell r="B238" t="str">
            <v>VAR_cap</v>
          </cell>
          <cell r="C238" t="str">
            <v>-</v>
          </cell>
          <cell r="D238">
            <v>2.9662000000000001E-2</v>
          </cell>
          <cell r="E238">
            <v>2.5707066666666702E-2</v>
          </cell>
          <cell r="F238">
            <v>1.977451412834683E-2</v>
          </cell>
          <cell r="G238">
            <v>9.8872306349368933E-3</v>
          </cell>
        </row>
        <row r="239">
          <cell r="A239" t="str">
            <v>TPSHPGSLEXT</v>
          </cell>
          <cell r="B239" t="str">
            <v>VAR_fout</v>
          </cell>
          <cell r="C239" t="str">
            <v>TPSHP</v>
          </cell>
          <cell r="D239">
            <v>1.5951113482171899</v>
          </cell>
          <cell r="E239">
            <v>0.63186703180042403</v>
          </cell>
          <cell r="F239">
            <v>5.44345240705707E-2</v>
          </cell>
          <cell r="G239">
            <v>5.4023509506064701E-2</v>
          </cell>
        </row>
        <row r="240">
          <cell r="A240" t="str">
            <v>TPSHPGSLEXT</v>
          </cell>
          <cell r="B240" t="str">
            <v>VAR_fout</v>
          </cell>
          <cell r="C240" t="str">
            <v>CO2_T</v>
          </cell>
          <cell r="D240">
            <v>129.873812963153</v>
          </cell>
          <cell r="E240">
            <v>51.446553118282601</v>
          </cell>
          <cell r="F240">
            <v>4.4320537282748704</v>
          </cell>
          <cell r="G240">
            <v>4.3985889618587404</v>
          </cell>
        </row>
        <row r="241">
          <cell r="A241" t="str">
            <v>TPSHPGSLEXT</v>
          </cell>
          <cell r="B241" t="str">
            <v>VAR_fin</v>
          </cell>
          <cell r="C241" t="str">
            <v>TGSL</v>
          </cell>
          <cell r="D241">
            <v>1.759807763728358</v>
          </cell>
          <cell r="E241">
            <v>0.69710776583038736</v>
          </cell>
          <cell r="F241">
            <v>6.0054928567409849E-2</v>
          </cell>
          <cell r="G241">
            <v>5.9601476447950767E-2</v>
          </cell>
        </row>
        <row r="242">
          <cell r="A242" t="str">
            <v>TPSHPGSLEXT</v>
          </cell>
          <cell r="B242" t="str">
            <v>VAR_ncap</v>
          </cell>
          <cell r="C242" t="str">
            <v>-</v>
          </cell>
          <cell r="D242">
            <v>3.3701703354292697E-5</v>
          </cell>
          <cell r="E242">
            <v>8.6727092614388203E-5</v>
          </cell>
          <cell r="F242">
            <v>1.08262597367601E-4</v>
          </cell>
          <cell r="G242">
            <v>1.94344436130508E-4</v>
          </cell>
        </row>
        <row r="243">
          <cell r="A243" t="str">
            <v>TPSHPGSLEXT</v>
          </cell>
          <cell r="B243" t="str">
            <v>VAR_cap</v>
          </cell>
          <cell r="C243" t="str">
            <v>-</v>
          </cell>
          <cell r="D243">
            <v>1.5951450499205442</v>
          </cell>
          <cell r="E243">
            <v>1.5952317770131585</v>
          </cell>
          <cell r="F243">
            <v>5.4582978696596118E-2</v>
          </cell>
          <cell r="G243">
            <v>5.402499382704673E-2</v>
          </cell>
        </row>
        <row r="244">
          <cell r="A244" t="str">
            <v>T-Bat-Car-STG_S2</v>
          </cell>
          <cell r="B244" t="str">
            <v>VAR_fout</v>
          </cell>
          <cell r="C244" t="str">
            <v>T-ELC-car-BatSTGAUXout_S2</v>
          </cell>
          <cell r="D244">
            <v>6.6747486115301055E-2</v>
          </cell>
          <cell r="E244">
            <v>0.12320552603735056</v>
          </cell>
          <cell r="F244">
            <v>0.16294982078493675</v>
          </cell>
          <cell r="G244">
            <v>5.1513156040677508</v>
          </cell>
        </row>
        <row r="245">
          <cell r="A245" t="str">
            <v>T-Bat-Car-STG_S2</v>
          </cell>
          <cell r="B245" t="str">
            <v>VAR_fout</v>
          </cell>
          <cell r="C245" t="str">
            <v>T-ELC-car-BatSTGOut_S2</v>
          </cell>
          <cell r="D245">
            <v>6.6747486115301041E-2</v>
          </cell>
          <cell r="E245">
            <v>0.12320552603735054</v>
          </cell>
          <cell r="F245">
            <v>0.16294982078493675</v>
          </cell>
          <cell r="G245">
            <v>5.1513156040677499</v>
          </cell>
        </row>
        <row r="246">
          <cell r="A246" t="str">
            <v>T-Bat-Car-STG_S2</v>
          </cell>
          <cell r="B246" t="str">
            <v>VAR_fin</v>
          </cell>
          <cell r="C246" t="str">
            <v>T-ELC-car-BatSTGAUXin_S2</v>
          </cell>
          <cell r="D246">
            <v>6.6782751358078957E-2</v>
          </cell>
          <cell r="E246">
            <v>0.12332040525149054</v>
          </cell>
          <cell r="F246">
            <v>0.16328879143644312</v>
          </cell>
          <cell r="G246">
            <v>5.1520440847803872</v>
          </cell>
        </row>
        <row r="247">
          <cell r="A247" t="str">
            <v>T-Bat-Car-STG_S2</v>
          </cell>
          <cell r="B247" t="str">
            <v>VAR_fin</v>
          </cell>
          <cell r="C247" t="str">
            <v>T-ELC-car-BatSTGin_S2</v>
          </cell>
          <cell r="D247">
            <v>6.6782751358078957E-2</v>
          </cell>
          <cell r="E247">
            <v>0.12332040525149054</v>
          </cell>
          <cell r="F247">
            <v>0.16328879143644312</v>
          </cell>
          <cell r="G247">
            <v>5.1520440847803872</v>
          </cell>
        </row>
        <row r="248">
          <cell r="A248" t="str">
            <v>T-Bat-Car-STG_S2</v>
          </cell>
          <cell r="B248" t="str">
            <v>VAR_ncap</v>
          </cell>
          <cell r="C248" t="str">
            <v>-</v>
          </cell>
          <cell r="D248">
            <v>7.5606601181869001E-2</v>
          </cell>
          <cell r="E248">
            <v>0.29134728426079398</v>
          </cell>
          <cell r="F248">
            <v>0.72664828538130599</v>
          </cell>
          <cell r="G248">
            <v>79.621622991245502</v>
          </cell>
        </row>
        <row r="249">
          <cell r="A249" t="str">
            <v>T-Bat-Car-STG_S2</v>
          </cell>
          <cell r="B249" t="str">
            <v>VAR_cap</v>
          </cell>
          <cell r="C249" t="str">
            <v>-</v>
          </cell>
          <cell r="D249">
            <v>7.5606601181869001E-2</v>
          </cell>
          <cell r="E249">
            <v>0.3608750178504368</v>
          </cell>
          <cell r="F249">
            <v>1.0561328125015892</v>
          </cell>
          <cell r="G249">
            <v>76.392382381047923</v>
          </cell>
        </row>
        <row r="250">
          <cell r="A250" t="str">
            <v>T_TW-ICEGSL-S1</v>
          </cell>
          <cell r="B250" t="str">
            <v>VAR_fout</v>
          </cell>
          <cell r="C250" t="str">
            <v>CO2_T</v>
          </cell>
          <cell r="D250">
            <v>3.2670351869359369</v>
          </cell>
          <cell r="E250">
            <v>3.7891440337412492</v>
          </cell>
          <cell r="F250">
            <v>15.285327259128964</v>
          </cell>
          <cell r="G250">
            <v>34.050471758626351</v>
          </cell>
        </row>
        <row r="251">
          <cell r="A251" t="str">
            <v>T_TW-ICEGSL-S1</v>
          </cell>
          <cell r="B251" t="str">
            <v>VAR_fout</v>
          </cell>
          <cell r="C251" t="str">
            <v>TPTWL</v>
          </cell>
          <cell r="D251">
            <v>8.445966074435253E-2</v>
          </cell>
          <cell r="E251">
            <v>9.803757735508474E-2</v>
          </cell>
          <cell r="F251">
            <v>0.40227520123712857</v>
          </cell>
          <cell r="G251">
            <v>0.91358307970479191</v>
          </cell>
        </row>
        <row r="252">
          <cell r="A252" t="str">
            <v>T_TW-ICEGSL-S1</v>
          </cell>
          <cell r="B252" t="str">
            <v>VAR_fin</v>
          </cell>
          <cell r="C252" t="str">
            <v>TGSL</v>
          </cell>
          <cell r="D252">
            <v>4.4268769470676712E-2</v>
          </cell>
          <cell r="E252">
            <v>5.1343415091344866E-2</v>
          </cell>
          <cell r="F252">
            <v>0.20711825554375268</v>
          </cell>
          <cell r="G252">
            <v>0.46138850621444927</v>
          </cell>
        </row>
        <row r="253">
          <cell r="A253" t="str">
            <v>T_TW-ICEGSL-S1</v>
          </cell>
          <cell r="B253" t="str">
            <v>VAR_ncap</v>
          </cell>
          <cell r="C253" t="str">
            <v>-</v>
          </cell>
          <cell r="E253">
            <v>1.1066679274347199E-3</v>
          </cell>
          <cell r="F253">
            <v>0.10602714801337899</v>
          </cell>
          <cell r="G253">
            <v>0.24292845012547901</v>
          </cell>
        </row>
        <row r="254">
          <cell r="A254" t="str">
            <v>T_TW-ICEGSL-S1</v>
          </cell>
          <cell r="B254" t="str">
            <v>VAR_cap</v>
          </cell>
          <cell r="C254" t="str">
            <v>-</v>
          </cell>
          <cell r="D254">
            <v>2.9118439404639228E-2</v>
          </cell>
          <cell r="E254">
            <v>3.3906888880995786E-2</v>
          </cell>
          <cell r="F254">
            <v>0.13995324024580286</v>
          </cell>
          <cell r="G254">
            <v>0.36769697060282647</v>
          </cell>
        </row>
        <row r="255">
          <cell r="A255" t="str">
            <v>TPSHPDSLEXT</v>
          </cell>
          <cell r="B255" t="str">
            <v>VAR_fout</v>
          </cell>
          <cell r="C255" t="str">
            <v>TPSHP</v>
          </cell>
          <cell r="D255">
            <v>17.176521919007701</v>
          </cell>
          <cell r="E255">
            <v>17.1772175096601</v>
          </cell>
          <cell r="F255">
            <v>16.7996446516999</v>
          </cell>
          <cell r="G255">
            <v>13.1401965793</v>
          </cell>
        </row>
        <row r="256">
          <cell r="A256" t="str">
            <v>TPSHPDSLEXT</v>
          </cell>
          <cell r="B256" t="str">
            <v>VAR_fout</v>
          </cell>
          <cell r="C256" t="str">
            <v>CO2_T</v>
          </cell>
          <cell r="D256">
            <v>1273.9831592043399</v>
          </cell>
          <cell r="E256">
            <v>1274.03475118443</v>
          </cell>
          <cell r="F256">
            <v>1246.0301606927001</v>
          </cell>
          <cell r="G256">
            <v>974.60878457224806</v>
          </cell>
        </row>
        <row r="257">
          <cell r="A257" t="str">
            <v>TPSHPDSLEXT</v>
          </cell>
          <cell r="B257" t="str">
            <v>VAR_fin</v>
          </cell>
          <cell r="C257" t="str">
            <v>TDSL</v>
          </cell>
          <cell r="D257">
            <v>17.38039780633471</v>
          </cell>
          <cell r="E257">
            <v>17.381101653266395</v>
          </cell>
          <cell r="F257">
            <v>16.999047212724442</v>
          </cell>
          <cell r="G257">
            <v>13.296163500303484</v>
          </cell>
        </row>
        <row r="258">
          <cell r="A258" t="str">
            <v>TPSHPDSLEXT</v>
          </cell>
          <cell r="B258" t="str">
            <v>VAR_ncap</v>
          </cell>
          <cell r="C258" t="str">
            <v>-</v>
          </cell>
          <cell r="D258">
            <v>6.2022357220430899E-5</v>
          </cell>
          <cell r="E258">
            <v>6.8233528510697303E-4</v>
          </cell>
          <cell r="F258">
            <v>1.29024857482846E-4</v>
          </cell>
          <cell r="G258">
            <v>1.54966148470393E-4</v>
          </cell>
        </row>
        <row r="259">
          <cell r="A259" t="str">
            <v>TPSHPDSLEXT</v>
          </cell>
          <cell r="B259" t="str">
            <v>VAR_cap</v>
          </cell>
          <cell r="C259" t="str">
            <v>-</v>
          </cell>
          <cell r="D259">
            <v>17.176583941364921</v>
          </cell>
          <cell r="E259">
            <v>17.17726627665003</v>
          </cell>
          <cell r="F259">
            <v>16.799678988056627</v>
          </cell>
          <cell r="G259">
            <v>13.140105802891691</v>
          </cell>
        </row>
        <row r="260">
          <cell r="A260" t="str">
            <v>T-Bat-Car-STG_S3</v>
          </cell>
          <cell r="B260" t="str">
            <v>VAR_fout</v>
          </cell>
          <cell r="C260" t="str">
            <v>T-ELC-car-BatSTGAUXout_S3</v>
          </cell>
          <cell r="D260">
            <v>5.0569751806782762E-2</v>
          </cell>
          <cell r="E260">
            <v>0.25767685509137106</v>
          </cell>
          <cell r="F260">
            <v>0.83989474353535898</v>
          </cell>
          <cell r="G260">
            <v>0.90168934008573387</v>
          </cell>
        </row>
        <row r="261">
          <cell r="A261" t="str">
            <v>T-Bat-Car-STG_S3</v>
          </cell>
          <cell r="B261" t="str">
            <v>VAR_fout</v>
          </cell>
          <cell r="C261" t="str">
            <v>T-ELC-car-BatSTGOut_S3</v>
          </cell>
          <cell r="D261">
            <v>5.0569751806782755E-2</v>
          </cell>
          <cell r="E261">
            <v>0.25767685509137106</v>
          </cell>
          <cell r="F261">
            <v>0.83989474353535898</v>
          </cell>
          <cell r="G261">
            <v>0.90168934008573365</v>
          </cell>
        </row>
        <row r="262">
          <cell r="A262" t="str">
            <v>T-Bat-Car-STG_S3</v>
          </cell>
          <cell r="B262" t="str">
            <v>VAR_fin</v>
          </cell>
          <cell r="C262" t="str">
            <v>T-ELC-car-BatSTGAUXin_S3</v>
          </cell>
          <cell r="D262">
            <v>5.0596646055424667E-2</v>
          </cell>
          <cell r="E262">
            <v>0.25780245519208322</v>
          </cell>
          <cell r="F262">
            <v>0.84029759682189908</v>
          </cell>
          <cell r="G262">
            <v>0.90198917888124974</v>
          </cell>
        </row>
        <row r="263">
          <cell r="A263" t="str">
            <v>T-Bat-Car-STG_S3</v>
          </cell>
          <cell r="B263" t="str">
            <v>VAR_fin</v>
          </cell>
          <cell r="C263" t="str">
            <v>T-ELC-car-BatSTGin_S3</v>
          </cell>
          <cell r="D263">
            <v>5.0596646055424667E-2</v>
          </cell>
          <cell r="E263">
            <v>0.25780245519208322</v>
          </cell>
          <cell r="F263">
            <v>0.84029759682189908</v>
          </cell>
          <cell r="G263">
            <v>0.90198917888124974</v>
          </cell>
        </row>
        <row r="264">
          <cell r="A264" t="str">
            <v>T-Bat-Car-STG_S3</v>
          </cell>
          <cell r="B264" t="str">
            <v>VAR_ncap</v>
          </cell>
          <cell r="C264" t="str">
            <v>-</v>
          </cell>
          <cell r="D264">
            <v>0.13087563631535801</v>
          </cell>
          <cell r="E264">
            <v>2.7964818984264701</v>
          </cell>
          <cell r="F264">
            <v>8.9597158497664395</v>
          </cell>
          <cell r="G264">
            <v>2.4705945667377902</v>
          </cell>
        </row>
        <row r="265">
          <cell r="A265" t="str">
            <v>T-Bat-Car-STG_S3</v>
          </cell>
          <cell r="B265" t="str">
            <v>VAR_cap</v>
          </cell>
          <cell r="C265" t="str">
            <v>-</v>
          </cell>
          <cell r="D265">
            <v>0.13087563631535801</v>
          </cell>
          <cell r="E265">
            <v>2.8863152801163219</v>
          </cell>
          <cell r="F265">
            <v>11.558374882857619</v>
          </cell>
          <cell r="G265">
            <v>12.286204448318292</v>
          </cell>
        </row>
        <row r="266">
          <cell r="A266" t="str">
            <v>T_TW-ICEGSL-S2</v>
          </cell>
          <cell r="B266" t="str">
            <v>VAR_fout</v>
          </cell>
          <cell r="C266" t="str">
            <v>CO2_T</v>
          </cell>
          <cell r="D266">
            <v>4.5354458074094932</v>
          </cell>
          <cell r="E266">
            <v>8.2237044535167723</v>
          </cell>
          <cell r="F266">
            <v>7.8303268598205058</v>
          </cell>
          <cell r="G266">
            <v>6.139456060877249</v>
          </cell>
        </row>
        <row r="267">
          <cell r="A267" t="str">
            <v>T_TW-ICEGSL-S2</v>
          </cell>
          <cell r="B267" t="str">
            <v>VAR_fout</v>
          </cell>
          <cell r="C267" t="str">
            <v>TPTWL</v>
          </cell>
          <cell r="D267">
            <v>6.7771297503233088E-2</v>
          </cell>
          <cell r="E267">
            <v>0.12313483993233861</v>
          </cell>
          <cell r="F267">
            <v>0.11731802480201163</v>
          </cell>
          <cell r="G267">
            <v>9.2133834685650076E-2</v>
          </cell>
        </row>
        <row r="268">
          <cell r="A268" t="str">
            <v>T_TW-ICEGSL-S2</v>
          </cell>
          <cell r="B268" t="str">
            <v>VAR_fin</v>
          </cell>
          <cell r="C268" t="str">
            <v>TGSL</v>
          </cell>
          <cell r="D268">
            <v>6.145590524945109E-2</v>
          </cell>
          <cell r="E268">
            <v>0.11143230966824884</v>
          </cell>
          <cell r="F268">
            <v>0.1061019899704676</v>
          </cell>
          <cell r="G268">
            <v>8.3190461529502047E-2</v>
          </cell>
        </row>
        <row r="269">
          <cell r="A269" t="str">
            <v>T_TW-ICEGSL-S2</v>
          </cell>
          <cell r="B269" t="str">
            <v>VAR_ncap</v>
          </cell>
          <cell r="C269" t="str">
            <v>-</v>
          </cell>
          <cell r="E269">
            <v>6.40510992276485E-4</v>
          </cell>
          <cell r="F269">
            <v>1.3877036595436199E-3</v>
          </cell>
          <cell r="G269">
            <v>1.2913093858710201E-3</v>
          </cell>
        </row>
        <row r="270">
          <cell r="A270" t="str">
            <v>T_TW-ICEGSL-S2</v>
          </cell>
          <cell r="B270" t="str">
            <v>VAR_cap</v>
          </cell>
          <cell r="C270" t="str">
            <v>-</v>
          </cell>
          <cell r="D270">
            <v>2.9227291598546701E-2</v>
          </cell>
          <cell r="E270">
            <v>4.287038904067518E-2</v>
          </cell>
          <cell r="F270">
            <v>4.4279489384124904E-2</v>
          </cell>
          <cell r="G270">
            <v>4.2047014563877522E-2</v>
          </cell>
        </row>
        <row r="271">
          <cell r="A271" t="str">
            <v>T-Bat-Car-STG_S4</v>
          </cell>
          <cell r="B271" t="str">
            <v>VAR_fout</v>
          </cell>
          <cell r="C271" t="str">
            <v>T-ELC-car-BatSTGAUXout_S4</v>
          </cell>
          <cell r="D271">
            <v>0.15882112619722885</v>
          </cell>
          <cell r="E271">
            <v>0.90086895880728812</v>
          </cell>
          <cell r="F271">
            <v>2.8601770073321102</v>
          </cell>
          <cell r="G271">
            <v>9.9215138018830196</v>
          </cell>
        </row>
        <row r="272">
          <cell r="A272" t="str">
            <v>T-Bat-Car-STG_S4</v>
          </cell>
          <cell r="B272" t="str">
            <v>VAR_fout</v>
          </cell>
          <cell r="C272" t="str">
            <v>T-ELC-car-BatSTGOut_S4</v>
          </cell>
          <cell r="D272">
            <v>0.15882112619722885</v>
          </cell>
          <cell r="E272">
            <v>0.9008689588072879</v>
          </cell>
          <cell r="F272">
            <v>2.8601770073321102</v>
          </cell>
          <cell r="G272">
            <v>9.9215138018830178</v>
          </cell>
        </row>
        <row r="273">
          <cell r="A273" t="str">
            <v>T-Bat-Car-STG_S4</v>
          </cell>
          <cell r="B273" t="str">
            <v>VAR_fin</v>
          </cell>
          <cell r="C273" t="str">
            <v>T-ELC-car-BatSTGAUXin_S4</v>
          </cell>
          <cell r="D273">
            <v>0.15885651415722085</v>
          </cell>
          <cell r="E273">
            <v>0.90105906639041244</v>
          </cell>
          <cell r="F273">
            <v>2.8607835456059303</v>
          </cell>
          <cell r="G273">
            <v>9.9227200774803759</v>
          </cell>
        </row>
        <row r="274">
          <cell r="A274" t="str">
            <v>T-Bat-Car-STG_S4</v>
          </cell>
          <cell r="B274" t="str">
            <v>VAR_fin</v>
          </cell>
          <cell r="C274" t="str">
            <v>T-ELC-car-BatSTGin_S4</v>
          </cell>
          <cell r="D274">
            <v>0.15885651415722085</v>
          </cell>
          <cell r="E274">
            <v>0.90105906639041244</v>
          </cell>
          <cell r="F274">
            <v>2.8607835456059303</v>
          </cell>
          <cell r="G274">
            <v>9.9227200774803759</v>
          </cell>
        </row>
        <row r="275">
          <cell r="A275" t="str">
            <v>T-Bat-Car-STG_S4</v>
          </cell>
          <cell r="B275" t="str">
            <v>VAR_ncap</v>
          </cell>
          <cell r="C275" t="str">
            <v>-</v>
          </cell>
          <cell r="D275">
            <v>0.197545739450847</v>
          </cell>
          <cell r="E275">
            <v>10.178512011513</v>
          </cell>
          <cell r="F275">
            <v>32.676379330707597</v>
          </cell>
          <cell r="G275">
            <v>122.97878039026</v>
          </cell>
        </row>
        <row r="276">
          <cell r="A276" t="str">
            <v>T-Bat-Car-STG_S4</v>
          </cell>
          <cell r="B276" t="str">
            <v>VAR_cap</v>
          </cell>
          <cell r="C276" t="str">
            <v>-</v>
          </cell>
          <cell r="D276">
            <v>0.197545739450847</v>
          </cell>
          <cell r="E276">
            <v>10.234798472407711</v>
          </cell>
          <cell r="F276">
            <v>41.882752917081831</v>
          </cell>
          <cell r="G276">
            <v>152.65622127286977</v>
          </cell>
        </row>
        <row r="277">
          <cell r="A277" t="str">
            <v>T_TW-ICEGSL-S3</v>
          </cell>
          <cell r="B277" t="str">
            <v>VAR_fout</v>
          </cell>
          <cell r="C277" t="str">
            <v>CO2_T</v>
          </cell>
          <cell r="D277">
            <v>4.6545948678413342</v>
          </cell>
          <cell r="E277">
            <v>2.792859903781475</v>
          </cell>
          <cell r="F277">
            <v>2.9425022339760201</v>
          </cell>
          <cell r="G277">
            <v>2.8273326092135136</v>
          </cell>
        </row>
        <row r="278">
          <cell r="A278" t="str">
            <v>T_TW-ICEGSL-S3</v>
          </cell>
          <cell r="B278" t="str">
            <v>VAR_fout</v>
          </cell>
          <cell r="C278" t="str">
            <v>TPTWL</v>
          </cell>
          <cell r="D278">
            <v>4.600524498108579E-2</v>
          </cell>
          <cell r="E278">
            <v>2.7645619962151022E-2</v>
          </cell>
          <cell r="F278">
            <v>2.9157475847169538E-2</v>
          </cell>
          <cell r="G278">
            <v>2.8074850558285722E-2</v>
          </cell>
        </row>
        <row r="279">
          <cell r="A279" t="str">
            <v>T_TW-ICEGSL-S3</v>
          </cell>
          <cell r="B279" t="str">
            <v>VAR_fin</v>
          </cell>
          <cell r="C279" t="str">
            <v>TGSL</v>
          </cell>
          <cell r="D279">
            <v>6.3070391163161738E-2</v>
          </cell>
          <cell r="E279">
            <v>3.7843630132540322E-2</v>
          </cell>
          <cell r="F279">
            <v>3.9871303983414819E-2</v>
          </cell>
          <cell r="G279">
            <v>3.8310739962242629E-2</v>
          </cell>
        </row>
        <row r="280">
          <cell r="A280" t="str">
            <v>T_TW-ICEGSL-S3</v>
          </cell>
          <cell r="B280" t="str">
            <v>VAR_ncap</v>
          </cell>
          <cell r="C280" t="str">
            <v>-</v>
          </cell>
          <cell r="E280">
            <v>4.1190333960884E-4</v>
          </cell>
          <cell r="F280">
            <v>5.8548283718594504E-4</v>
          </cell>
          <cell r="G280">
            <v>5.83882153508847E-4</v>
          </cell>
        </row>
        <row r="281">
          <cell r="A281" t="str">
            <v>T_TW-ICEGSL-S3</v>
          </cell>
          <cell r="B281" t="str">
            <v>VAR_cap</v>
          </cell>
          <cell r="C281" t="str">
            <v>-</v>
          </cell>
          <cell r="D281">
            <v>2.1262231752497099E-2</v>
          </cell>
          <cell r="E281">
            <v>1.1181518243884345E-2</v>
          </cell>
          <cell r="F281">
            <v>1.179073799444369E-2</v>
          </cell>
          <cell r="G281">
            <v>1.2391823429624325E-2</v>
          </cell>
        </row>
        <row r="282">
          <cell r="A282" t="str">
            <v>T_C-ICEGSLEXT</v>
          </cell>
          <cell r="B282" t="str">
            <v>VAR_fout</v>
          </cell>
          <cell r="C282" t="str">
            <v>CO2_T</v>
          </cell>
          <cell r="D282">
            <v>4722.2922433225003</v>
          </cell>
          <cell r="E282">
            <v>3936.6197371253902</v>
          </cell>
          <cell r="F282">
            <v>3142.65624055642</v>
          </cell>
          <cell r="G282">
            <v>967.89240731566997</v>
          </cell>
        </row>
        <row r="283">
          <cell r="A283" t="str">
            <v>T_C-ICEGSLEXT</v>
          </cell>
          <cell r="B283" t="str">
            <v>VAR_fout</v>
          </cell>
          <cell r="C283" t="str">
            <v>TPCAR</v>
          </cell>
          <cell r="D283">
            <v>18.303003603260866</v>
          </cell>
          <cell r="E283">
            <v>15.605046012512398</v>
          </cell>
          <cell r="F283">
            <v>12.873489581415408</v>
          </cell>
          <cell r="G283">
            <v>4.1782672913611361</v>
          </cell>
        </row>
        <row r="284">
          <cell r="A284" t="str">
            <v>T_C-ICEGSLEXT</v>
          </cell>
          <cell r="B284" t="str">
            <v>VAR_fin</v>
          </cell>
          <cell r="C284" t="str">
            <v>TGSL</v>
          </cell>
          <cell r="D284">
            <v>63.987699774017699</v>
          </cell>
          <cell r="E284">
            <v>53.341730855357618</v>
          </cell>
          <cell r="F284">
            <v>42.583417893718476</v>
          </cell>
          <cell r="G284">
            <v>13.115073269860021</v>
          </cell>
        </row>
        <row r="285">
          <cell r="A285" t="str">
            <v>T_C-ICEGSLEXT</v>
          </cell>
          <cell r="B285" t="str">
            <v>VAR_cap</v>
          </cell>
          <cell r="C285" t="str">
            <v>-</v>
          </cell>
          <cell r="D285">
            <v>2.4943270000000002</v>
          </cell>
          <cell r="E285">
            <v>2.16175006666667</v>
          </cell>
          <cell r="F285">
            <v>1.6628831723417365</v>
          </cell>
          <cell r="G285">
            <v>0.83140870666471711</v>
          </cell>
        </row>
        <row r="286">
          <cell r="A286" t="str">
            <v>T_TW-ICEGSL-S4</v>
          </cell>
          <cell r="B286" t="str">
            <v>VAR_fout</v>
          </cell>
          <cell r="C286" t="str">
            <v>CO2_T</v>
          </cell>
          <cell r="D286">
            <v>3.0645906158321168</v>
          </cell>
          <cell r="E286">
            <v>2.4163859788710123</v>
          </cell>
          <cell r="F286">
            <v>2.5641590884102534</v>
          </cell>
          <cell r="G286">
            <v>2.4359988842438791</v>
          </cell>
        </row>
        <row r="287">
          <cell r="A287" t="str">
            <v>T_TW-ICEGSL-S4</v>
          </cell>
          <cell r="B287" t="str">
            <v>VAR_fout</v>
          </cell>
          <cell r="C287" t="str">
            <v>TPTWL</v>
          </cell>
          <cell r="D287">
            <v>2.8063081863278171E-2</v>
          </cell>
          <cell r="E287">
            <v>2.215983086626961E-2</v>
          </cell>
          <cell r="F287">
            <v>2.3534437889995648E-2</v>
          </cell>
          <cell r="G287">
            <v>2.2390303320734085E-2</v>
          </cell>
        </row>
        <row r="288">
          <cell r="A288" t="str">
            <v>T_TW-ICEGSL-S4</v>
          </cell>
          <cell r="B288" t="str">
            <v>VAR_fin</v>
          </cell>
          <cell r="C288" t="str">
            <v>TGSL</v>
          </cell>
          <cell r="D288">
            <v>4.1525618100706159E-2</v>
          </cell>
          <cell r="E288">
            <v>3.2742357437276597E-2</v>
          </cell>
          <cell r="F288">
            <v>3.4744703094989879E-2</v>
          </cell>
          <cell r="G288">
            <v>3.3008114962654225E-2</v>
          </cell>
        </row>
        <row r="289">
          <cell r="A289" t="str">
            <v>T_TW-ICEGSL-S4</v>
          </cell>
          <cell r="B289" t="str">
            <v>VAR_ncap</v>
          </cell>
          <cell r="C289" t="str">
            <v>-</v>
          </cell>
          <cell r="E289">
            <v>2.7554196038720799E-4</v>
          </cell>
          <cell r="F289">
            <v>3.59167396195719E-4</v>
          </cell>
          <cell r="G289">
            <v>2.9774298597118603E-4</v>
          </cell>
        </row>
        <row r="290">
          <cell r="A290" t="str">
            <v>T_TW-ICEGSL-S4</v>
          </cell>
          <cell r="B290" t="str">
            <v>VAR_cap</v>
          </cell>
          <cell r="C290" t="str">
            <v>-</v>
          </cell>
          <cell r="D290">
            <v>1.2888283208703503E-2</v>
          </cell>
          <cell r="E290">
            <v>9.1276851779107174E-3</v>
          </cell>
          <cell r="F290">
            <v>9.5107989059867309E-3</v>
          </cell>
          <cell r="G290">
            <v>9.8275356835162142E-3</v>
          </cell>
        </row>
        <row r="291">
          <cell r="A291" t="str">
            <v>T_C-ICEDSLEXT</v>
          </cell>
          <cell r="B291" t="str">
            <v>VAR_fout</v>
          </cell>
          <cell r="C291" t="str">
            <v>CO2_T</v>
          </cell>
          <cell r="D291">
            <v>4168.0090186930302</v>
          </cell>
          <cell r="E291">
            <v>3569.7839899390901</v>
          </cell>
          <cell r="F291">
            <v>2519.1008492471201</v>
          </cell>
          <cell r="G291">
            <v>1108.66067808456</v>
          </cell>
        </row>
        <row r="292">
          <cell r="A292" t="str">
            <v>T_C-ICEDSLEXT</v>
          </cell>
          <cell r="B292" t="str">
            <v>VAR_fout</v>
          </cell>
          <cell r="C292" t="str">
            <v>TPCAR</v>
          </cell>
          <cell r="D292">
            <v>19.277382899149952</v>
          </cell>
          <cell r="E292">
            <v>17.235982275638197</v>
          </cell>
          <cell r="F292">
            <v>12.930854952052627</v>
          </cell>
          <cell r="G292">
            <v>6.254137252445382</v>
          </cell>
        </row>
        <row r="293">
          <cell r="A293" t="str">
            <v>T_C-ICEDSLEXT</v>
          </cell>
          <cell r="B293" t="str">
            <v>VAR_fin</v>
          </cell>
          <cell r="C293" t="str">
            <v>TDSL</v>
          </cell>
          <cell r="D293">
            <v>56.862333133602064</v>
          </cell>
          <cell r="E293">
            <v>48.701009412538738</v>
          </cell>
          <cell r="F293">
            <v>34.366996579087619</v>
          </cell>
          <cell r="G293">
            <v>15.124975144400606</v>
          </cell>
        </row>
        <row r="294">
          <cell r="A294" t="str">
            <v>T_C-ICEDSLEXT</v>
          </cell>
          <cell r="B294" t="str">
            <v>VAR_cap</v>
          </cell>
          <cell r="C294" t="str">
            <v>-</v>
          </cell>
          <cell r="D294">
            <v>1.059558</v>
          </cell>
          <cell r="E294">
            <v>0.91828359999999998</v>
          </cell>
          <cell r="F294">
            <v>0.70636159731272663</v>
          </cell>
          <cell r="G294">
            <v>0.35318452728045824</v>
          </cell>
        </row>
        <row r="295">
          <cell r="A295" t="str">
            <v>T-Plg-ELC-GSL_S1</v>
          </cell>
          <cell r="B295" t="str">
            <v>VAR_fout</v>
          </cell>
          <cell r="C295" t="str">
            <v>T-PEVmix-ELC_GSL_S1</v>
          </cell>
          <cell r="E295">
            <v>1.0757720586759671E-3</v>
          </cell>
          <cell r="F295">
            <v>1.6550175959095734E-3</v>
          </cell>
          <cell r="G295">
            <v>7.812796857924343E-3</v>
          </cell>
        </row>
        <row r="296">
          <cell r="A296" t="str">
            <v>T-Plg-ELC-GSL_S1</v>
          </cell>
          <cell r="B296" t="str">
            <v>VAR_fin</v>
          </cell>
          <cell r="C296" t="str">
            <v>T-ELC-car-PlgSTGOut_S1</v>
          </cell>
          <cell r="E296">
            <v>5.9062578061176599E-4</v>
          </cell>
          <cell r="F296">
            <v>9.0864607574338491E-4</v>
          </cell>
          <cell r="G296">
            <v>4.2894209844528356E-3</v>
          </cell>
        </row>
        <row r="297">
          <cell r="A297" t="str">
            <v>T-Plg-ELC-GSL_S2</v>
          </cell>
          <cell r="B297" t="str">
            <v>VAR_fout</v>
          </cell>
          <cell r="C297" t="str">
            <v>T-PEVmix-ELC_GSL_S2</v>
          </cell>
          <cell r="D297">
            <v>5.0814008139580431E-3</v>
          </cell>
          <cell r="E297">
            <v>1.2680942498075099E-2</v>
          </cell>
          <cell r="F297">
            <v>1.6205768742515166E-2</v>
          </cell>
          <cell r="G297">
            <v>3.4214699454699876E-2</v>
          </cell>
        </row>
        <row r="298">
          <cell r="A298" t="str">
            <v>T-Plg-ELC-GSL_S2</v>
          </cell>
          <cell r="B298" t="str">
            <v>VAR_fin</v>
          </cell>
          <cell r="C298" t="str">
            <v>T-ELC-car-PlgSTGOut_S2</v>
          </cell>
          <cell r="D298">
            <v>3.3805307952949662E-3</v>
          </cell>
          <cell r="E298">
            <v>8.4363186840827678E-3</v>
          </cell>
          <cell r="F298">
            <v>1.0781298760179536E-2</v>
          </cell>
          <cell r="G298">
            <v>2.2762196762880653E-2</v>
          </cell>
        </row>
        <row r="299">
          <cell r="A299" t="str">
            <v>T-Plg-ELC-DSL_S1</v>
          </cell>
          <cell r="B299" t="str">
            <v>VAR_fout</v>
          </cell>
          <cell r="C299" t="str">
            <v>T-PEVmix-ELC_DSL_S1</v>
          </cell>
          <cell r="E299">
            <v>1.0644147748453548E-3</v>
          </cell>
          <cell r="F299">
            <v>1.6359446313481362E-3</v>
          </cell>
          <cell r="G299">
            <v>8.0513327109602798E-3</v>
          </cell>
        </row>
        <row r="300">
          <cell r="A300" t="str">
            <v>T-Plg-ELC-DSL_S1</v>
          </cell>
          <cell r="B300" t="str">
            <v>VAR_fin</v>
          </cell>
          <cell r="C300" t="str">
            <v>T-ELC-car-PlgSTGOut_S1</v>
          </cell>
          <cell r="E300">
            <v>5.8439034758114719E-4</v>
          </cell>
          <cell r="F300">
            <v>8.981745409123497E-4</v>
          </cell>
          <cell r="G300">
            <v>4.4203831369525369E-3</v>
          </cell>
        </row>
        <row r="301">
          <cell r="A301" t="str">
            <v>T_TRM_ELC</v>
          </cell>
          <cell r="B301" t="str">
            <v>VAR_fout</v>
          </cell>
          <cell r="C301" t="str">
            <v>TPTRM</v>
          </cell>
          <cell r="D301">
            <v>3.3477999999999994E-2</v>
          </cell>
          <cell r="E301">
            <v>3.4238693943285006E-2</v>
          </cell>
          <cell r="F301">
            <v>3.5370833501607003E-2</v>
          </cell>
          <cell r="G301">
            <v>3.726366700321395E-2</v>
          </cell>
        </row>
        <row r="302">
          <cell r="A302" t="str">
            <v>T_TRM_ELC</v>
          </cell>
          <cell r="B302" t="str">
            <v>VAR_fin</v>
          </cell>
          <cell r="C302" t="str">
            <v>TELC</v>
          </cell>
          <cell r="D302">
            <v>0.58772895164057959</v>
          </cell>
          <cell r="E302">
            <v>0.61504030570008339</v>
          </cell>
          <cell r="F302">
            <v>0.65830556959273911</v>
          </cell>
          <cell r="G302">
            <v>0.7379148962536346</v>
          </cell>
        </row>
        <row r="303">
          <cell r="A303" t="str">
            <v>T-Plg-ELC-GSL_S3</v>
          </cell>
          <cell r="B303" t="str">
            <v>VAR_fout</v>
          </cell>
          <cell r="C303" t="str">
            <v>T-PEVmix-ELC_GSL_S3</v>
          </cell>
          <cell r="E303">
            <v>5.9209317144476969E-2</v>
          </cell>
          <cell r="F303">
            <v>0.20166771654934057</v>
          </cell>
          <cell r="G303">
            <v>1.4655373942564514</v>
          </cell>
        </row>
        <row r="304">
          <cell r="A304" t="str">
            <v>T-Plg-ELC-GSL_S3</v>
          </cell>
          <cell r="B304" t="str">
            <v>VAR_fin</v>
          </cell>
          <cell r="C304" t="str">
            <v>T-ELC-car-PlgSTGOut_S3</v>
          </cell>
          <cell r="E304">
            <v>4.2257203478147223E-2</v>
          </cell>
          <cell r="F304">
            <v>0.14392859340708863</v>
          </cell>
          <cell r="G304">
            <v>1.0459420047492505</v>
          </cell>
        </row>
        <row r="305">
          <cell r="A305" t="str">
            <v>T-Plg-ELC-DSL_S2</v>
          </cell>
          <cell r="B305" t="str">
            <v>VAR_fout</v>
          </cell>
          <cell r="C305" t="str">
            <v>T-PEVmix-ELC_DSL_S2</v>
          </cell>
          <cell r="D305">
            <v>2.6362961719682484E-5</v>
          </cell>
          <cell r="E305">
            <v>1.0772218405773418E-3</v>
          </cell>
          <cell r="F305">
            <v>3.5834232120381644E-3</v>
          </cell>
          <cell r="G305">
            <v>1.7245813665665508E-2</v>
          </cell>
        </row>
        <row r="306">
          <cell r="A306" t="str">
            <v>T-Plg-ELC-DSL_S2</v>
          </cell>
          <cell r="B306" t="str">
            <v>VAR_fin</v>
          </cell>
          <cell r="C306" t="str">
            <v>T-ELC-car-PlgSTGOut_S2</v>
          </cell>
          <cell r="D306">
            <v>1.753862905357987E-5</v>
          </cell>
          <cell r="E306">
            <v>7.1664915616044447E-4</v>
          </cell>
          <cell r="F306">
            <v>2.3839631952658324E-3</v>
          </cell>
          <cell r="G306">
            <v>1.1473215028926158E-2</v>
          </cell>
        </row>
        <row r="307">
          <cell r="A307" t="str">
            <v>T_TW-ICEGSLEXT</v>
          </cell>
          <cell r="B307" t="str">
            <v>VAR_fout</v>
          </cell>
          <cell r="C307" t="str">
            <v>CO2_T</v>
          </cell>
          <cell r="D307">
            <v>110.95518214881901</v>
          </cell>
          <cell r="E307">
            <v>103.272240835547</v>
          </cell>
          <cell r="F307">
            <v>70.184337389865803</v>
          </cell>
          <cell r="G307">
            <v>33.234076652798102</v>
          </cell>
        </row>
        <row r="308">
          <cell r="A308" t="str">
            <v>T_TW-ICEGSLEXT</v>
          </cell>
          <cell r="B308" t="str">
            <v>VAR_fout</v>
          </cell>
          <cell r="C308" t="str">
            <v>TPTWL</v>
          </cell>
          <cell r="D308">
            <v>1.1594141562392106</v>
          </cell>
          <cell r="E308">
            <v>1.1016242060617709</v>
          </cell>
          <cell r="F308">
            <v>0.77159801471995959</v>
          </cell>
          <cell r="G308">
            <v>0.38346685797662039</v>
          </cell>
        </row>
        <row r="309">
          <cell r="A309" t="str">
            <v>T_TW-ICEGSLEXT</v>
          </cell>
          <cell r="B309" t="str">
            <v>VAR_fin</v>
          </cell>
          <cell r="C309" t="str">
            <v>TGSL</v>
          </cell>
          <cell r="D309">
            <v>1.5034577526940216</v>
          </cell>
          <cell r="E309">
            <v>1.3993528568502263</v>
          </cell>
          <cell r="F309">
            <v>0.95100728170549897</v>
          </cell>
          <cell r="G309">
            <v>0.45032624190783321</v>
          </cell>
        </row>
        <row r="310">
          <cell r="A310" t="str">
            <v>T_TW-ICEGSLEXT</v>
          </cell>
          <cell r="B310" t="str">
            <v>VAR_cap</v>
          </cell>
          <cell r="C310" t="str">
            <v>-</v>
          </cell>
          <cell r="D310">
            <v>0.55779800000000002</v>
          </cell>
          <cell r="E310">
            <v>0.48342493333333297</v>
          </cell>
          <cell r="F310">
            <v>0.3668968759596607</v>
          </cell>
          <cell r="G310">
            <v>0.18437641182701023</v>
          </cell>
        </row>
        <row r="311">
          <cell r="A311" t="str">
            <v>T-Plg-ELC-GSL_S4</v>
          </cell>
          <cell r="B311" t="str">
            <v>VAR_fout</v>
          </cell>
          <cell r="C311" t="str">
            <v>T-PEVmix-ELC_GSL_S4</v>
          </cell>
          <cell r="E311">
            <v>2.8813875849072225E-2</v>
          </cell>
          <cell r="F311">
            <v>3.9056693935354547E-2</v>
          </cell>
          <cell r="G311">
            <v>6.6547356831063165E-2</v>
          </cell>
        </row>
        <row r="312">
          <cell r="A312" t="str">
            <v>T-Plg-ELC-GSL_S4</v>
          </cell>
          <cell r="B312" t="str">
            <v>VAR_fin</v>
          </cell>
          <cell r="C312" t="str">
            <v>T-ELC-car-PlgSTGOut_S4</v>
          </cell>
          <cell r="E312">
            <v>2.1512532490701893E-2</v>
          </cell>
          <cell r="F312">
            <v>2.9159853456187105E-2</v>
          </cell>
          <cell r="G312">
            <v>4.9684470895111313E-2</v>
          </cell>
        </row>
        <row r="313">
          <cell r="A313" t="str">
            <v>T-Plg-ELC-DSL_S3</v>
          </cell>
          <cell r="B313" t="str">
            <v>VAR_fout</v>
          </cell>
          <cell r="C313" t="str">
            <v>T-PEVmix-ELC_DSL_S3</v>
          </cell>
          <cell r="E313">
            <v>2.6640050758627798E-2</v>
          </cell>
          <cell r="F313">
            <v>0.16251655920287567</v>
          </cell>
          <cell r="G313">
            <v>1.0366640228552877</v>
          </cell>
        </row>
        <row r="314">
          <cell r="A314" t="str">
            <v>T-Plg-ELC-DSL_S3</v>
          </cell>
          <cell r="B314" t="str">
            <v>VAR_fin</v>
          </cell>
          <cell r="C314" t="str">
            <v>T-ELC-car-PlgSTGOut_S3</v>
          </cell>
          <cell r="E314">
            <v>1.901278548490257E-2</v>
          </cell>
          <cell r="F314">
            <v>0.11598673387917731</v>
          </cell>
          <cell r="G314">
            <v>0.73985860106067414</v>
          </cell>
        </row>
        <row r="315">
          <cell r="A315" t="str">
            <v>T-Plg-ELC-DSL_S4</v>
          </cell>
          <cell r="B315" t="str">
            <v>VAR_fout</v>
          </cell>
          <cell r="C315" t="str">
            <v>T-PEVmix-ELC_DSL_S4</v>
          </cell>
          <cell r="E315">
            <v>7.716923570566925E-3</v>
          </cell>
          <cell r="F315">
            <v>1.5455883497394168E-2</v>
          </cell>
          <cell r="G315">
            <v>3.7797970542508399E-2</v>
          </cell>
        </row>
        <row r="316">
          <cell r="A316" t="str">
            <v>T-Plg-ELC-DSL_S4</v>
          </cell>
          <cell r="B316" t="str">
            <v>VAR_fin</v>
          </cell>
          <cell r="C316" t="str">
            <v>T-ELC-car-PlgSTGOut_S4</v>
          </cell>
          <cell r="E316">
            <v>5.7614799865749241E-3</v>
          </cell>
          <cell r="F316">
            <v>1.1539412387691706E-2</v>
          </cell>
          <cell r="G316">
            <v>2.8220086517950566E-2</v>
          </cell>
        </row>
        <row r="317">
          <cell r="A317" t="str">
            <v>TFLGV-ICENGA</v>
          </cell>
          <cell r="B317" t="str">
            <v>VAR_fout</v>
          </cell>
          <cell r="C317" t="str">
            <v>CO2_T</v>
          </cell>
          <cell r="D317">
            <v>1.393826297542462</v>
          </cell>
          <cell r="E317">
            <v>1.5110679938616918</v>
          </cell>
          <cell r="F317">
            <v>1.9063093946908405</v>
          </cell>
          <cell r="G317">
            <v>0.25595120939034577</v>
          </cell>
        </row>
        <row r="318">
          <cell r="A318" t="str">
            <v>TFLGV-ICENGA</v>
          </cell>
          <cell r="B318" t="str">
            <v>VAR_fout</v>
          </cell>
          <cell r="C318" t="str">
            <v>TFLGV</v>
          </cell>
          <cell r="D318">
            <v>7.9224920539807727E-3</v>
          </cell>
          <cell r="E318">
            <v>8.5888924577628162E-3</v>
          </cell>
          <cell r="F318">
            <v>1.0835439866858306E-2</v>
          </cell>
          <cell r="G318">
            <v>1.4548236219800634E-3</v>
          </cell>
        </row>
        <row r="319">
          <cell r="A319" t="str">
            <v>TFLGV-ICENGA</v>
          </cell>
          <cell r="B319" t="str">
            <v>VAR_fin</v>
          </cell>
          <cell r="C319" t="str">
            <v>TNGA</v>
          </cell>
          <cell r="D319">
            <v>2.4713232225930182E-2</v>
          </cell>
          <cell r="E319">
            <v>2.6791985706767552E-2</v>
          </cell>
          <cell r="F319">
            <v>3.3799811962603565E-2</v>
          </cell>
          <cell r="G319">
            <v>4.5381420104671309E-3</v>
          </cell>
        </row>
        <row r="320">
          <cell r="A320" t="str">
            <v>TFLGV-ICENGA</v>
          </cell>
          <cell r="B320" t="str">
            <v>VAR_ncap</v>
          </cell>
          <cell r="C320" t="str">
            <v>-</v>
          </cell>
          <cell r="D320">
            <v>1.8443633626890098E-5</v>
          </cell>
          <cell r="E320">
            <v>4.36303469727423E-5</v>
          </cell>
          <cell r="F320">
            <v>3.06290166665955E-5</v>
          </cell>
          <cell r="G320">
            <v>3.5326015450105903E-5</v>
          </cell>
        </row>
        <row r="321">
          <cell r="A321" t="str">
            <v>TFLGV-ICENGA</v>
          </cell>
          <cell r="B321" t="str">
            <v>VAR_cap</v>
          </cell>
          <cell r="C321" t="str">
            <v>-</v>
          </cell>
          <cell r="D321">
            <v>5.9968350378086484E-4</v>
          </cell>
          <cell r="E321">
            <v>7.6784045871339398E-4</v>
          </cell>
          <cell r="F321">
            <v>7.9978267164797711E-4</v>
          </cell>
          <cell r="G321">
            <v>1.0676421736358104E-4</v>
          </cell>
        </row>
        <row r="322">
          <cell r="A322" t="str">
            <v>TFLGV-BEVELC</v>
          </cell>
          <cell r="B322" t="str">
            <v>VAR_fout</v>
          </cell>
          <cell r="C322" t="str">
            <v>TFLGV</v>
          </cell>
          <cell r="D322">
            <v>2.3310932083846735E-2</v>
          </cell>
          <cell r="E322">
            <v>8.8739856544527054E-2</v>
          </cell>
          <cell r="F322">
            <v>0.12865528017552175</v>
          </cell>
          <cell r="G322">
            <v>1.9700503006695596</v>
          </cell>
        </row>
        <row r="323">
          <cell r="A323" t="str">
            <v>TFLGV-BEVELC</v>
          </cell>
          <cell r="B323" t="str">
            <v>VAR_fin</v>
          </cell>
          <cell r="C323" t="str">
            <v>T-ELC-LGV_BatSTGout</v>
          </cell>
          <cell r="D323">
            <v>3.4212479778317061E-2</v>
          </cell>
          <cell r="E323">
            <v>0.13023977491076785</v>
          </cell>
          <cell r="F323">
            <v>0.18882197226377082</v>
          </cell>
          <cell r="G323">
            <v>2.8913604068466117</v>
          </cell>
        </row>
        <row r="324">
          <cell r="A324" t="str">
            <v>TFLGV-BEVELC</v>
          </cell>
          <cell r="B324" t="str">
            <v>VAR_ncap</v>
          </cell>
          <cell r="C324" t="str">
            <v>-</v>
          </cell>
          <cell r="E324">
            <v>3.6409147471264101E-3</v>
          </cell>
          <cell r="F324">
            <v>2.90338983637267E-3</v>
          </cell>
          <cell r="G324">
            <v>0.13717751973106601</v>
          </cell>
        </row>
        <row r="325">
          <cell r="A325" t="str">
            <v>TFLGV-BEVELC</v>
          </cell>
          <cell r="B325" t="str">
            <v>VAR_cap</v>
          </cell>
          <cell r="C325" t="str">
            <v>-</v>
          </cell>
          <cell r="D325">
            <v>1.6973488371809123E-3</v>
          </cell>
          <cell r="E325">
            <v>6.2323728735079204E-3</v>
          </cell>
          <cell r="F325">
            <v>9.1356317991614939E-3</v>
          </cell>
          <cell r="G325">
            <v>0.14502022408433934</v>
          </cell>
        </row>
        <row r="326">
          <cell r="A326" t="str">
            <v>T_B_c-BEVELC-S1</v>
          </cell>
          <cell r="B326" t="str">
            <v>VAR_fout</v>
          </cell>
          <cell r="C326" t="str">
            <v>TPBSc</v>
          </cell>
          <cell r="D326">
            <v>2.9388554062264894E-4</v>
          </cell>
          <cell r="E326">
            <v>1.8922742822499346E-3</v>
          </cell>
          <cell r="F326">
            <v>3.5947591062320981E-3</v>
          </cell>
          <cell r="G326">
            <v>6.4518332748812454E-2</v>
          </cell>
        </row>
        <row r="327">
          <cell r="A327" t="str">
            <v>T_B_c-BEVELC-S1</v>
          </cell>
          <cell r="B327" t="str">
            <v>VAR_fin</v>
          </cell>
          <cell r="C327" t="str">
            <v>T-ELC-Bus_c_BatSTGout_S1</v>
          </cell>
          <cell r="D327">
            <v>7.7605176806777251E-4</v>
          </cell>
          <cell r="E327">
            <v>4.8493922540366078E-3</v>
          </cell>
          <cell r="F327">
            <v>8.9666266559661045E-3</v>
          </cell>
          <cell r="G327">
            <v>0.14441192451366688</v>
          </cell>
        </row>
        <row r="328">
          <cell r="A328" t="str">
            <v>T_B_c-BEVELC-S1</v>
          </cell>
          <cell r="B328" t="str">
            <v>VAR_ncap</v>
          </cell>
          <cell r="C328" t="str">
            <v>-</v>
          </cell>
          <cell r="E328">
            <v>3.4795533847902599E-5</v>
          </cell>
          <cell r="F328">
            <v>4.0382270139361801E-5</v>
          </cell>
          <cell r="G328">
            <v>1.38828264679686E-3</v>
          </cell>
        </row>
        <row r="329">
          <cell r="A329" t="str">
            <v>T_B_c-BEVELC-S1</v>
          </cell>
          <cell r="B329" t="str">
            <v>VAR_cap</v>
          </cell>
          <cell r="C329" t="str">
            <v>-</v>
          </cell>
          <cell r="D329">
            <v>3.3518861090426929E-6</v>
          </cell>
          <cell r="E329">
            <v>4.1472429544573534E-5</v>
          </cell>
          <cell r="F329">
            <v>8.0330485173202109E-5</v>
          </cell>
          <cell r="G329">
            <v>1.4039108320665751E-3</v>
          </cell>
        </row>
        <row r="330">
          <cell r="A330" t="str">
            <v>T_B_c-BEVELC-S2</v>
          </cell>
          <cell r="B330" t="str">
            <v>VAR_fout</v>
          </cell>
          <cell r="C330" t="str">
            <v>TPBSc</v>
          </cell>
          <cell r="D330">
            <v>6.2735320001902596E-4</v>
          </cell>
          <cell r="E330">
            <v>1.5127908130867719E-3</v>
          </cell>
          <cell r="F330">
            <v>2.3457188862185613E-3</v>
          </cell>
          <cell r="G330">
            <v>5.7387157735929409E-2</v>
          </cell>
        </row>
        <row r="331">
          <cell r="A331" t="str">
            <v>T_B_c-BEVELC-S2</v>
          </cell>
          <cell r="B331" t="str">
            <v>VAR_fin</v>
          </cell>
          <cell r="C331" t="str">
            <v>T-ELC-Bus_c_BatSTGout_S2</v>
          </cell>
          <cell r="D331">
            <v>2.2797862956962425E-3</v>
          </cell>
          <cell r="E331">
            <v>5.4014622191960885E-3</v>
          </cell>
          <cell r="F331">
            <v>8.1850997088965538E-3</v>
          </cell>
          <cell r="G331">
            <v>0.17730714657358523</v>
          </cell>
        </row>
        <row r="332">
          <cell r="A332" t="str">
            <v>T_B_c-BEVELC-S2</v>
          </cell>
          <cell r="B332" t="str">
            <v>VAR_ncap</v>
          </cell>
          <cell r="C332" t="str">
            <v>-</v>
          </cell>
          <cell r="E332">
            <v>1.2083940085619401E-5</v>
          </cell>
          <cell r="F332">
            <v>1.8752707353731001E-5</v>
          </cell>
          <cell r="G332">
            <v>1.2227157285663399E-3</v>
          </cell>
        </row>
        <row r="333">
          <cell r="A333" t="str">
            <v>T_B_c-BEVELC-S2</v>
          </cell>
          <cell r="B333" t="str">
            <v>VAR_cap</v>
          </cell>
          <cell r="C333" t="str">
            <v>-</v>
          </cell>
          <cell r="D333">
            <v>1.0868309168130718E-5</v>
          </cell>
          <cell r="E333">
            <v>3.3740361822773056E-5</v>
          </cell>
          <cell r="F333">
            <v>5.2308625271395459E-5</v>
          </cell>
          <cell r="G333">
            <v>1.2470974897116659E-3</v>
          </cell>
        </row>
        <row r="334">
          <cell r="A334" t="str">
            <v>T_B_c-BEVELC-S3</v>
          </cell>
          <cell r="B334" t="str">
            <v>VAR_fout</v>
          </cell>
          <cell r="C334" t="str">
            <v>TPBSc</v>
          </cell>
          <cell r="D334">
            <v>2.6219367354665565E-4</v>
          </cell>
          <cell r="E334">
            <v>5.5589078785311886E-4</v>
          </cell>
          <cell r="F334">
            <v>8.6570836953777112E-4</v>
          </cell>
          <cell r="G334">
            <v>1.2194006584594366E-2</v>
          </cell>
        </row>
        <row r="335">
          <cell r="A335" t="str">
            <v>T_B_c-BEVELC-S3</v>
          </cell>
          <cell r="B335" t="str">
            <v>VAR_fin</v>
          </cell>
          <cell r="C335" t="str">
            <v>T-ELC-Bus_c_BatSTGout_S3</v>
          </cell>
          <cell r="D335">
            <v>1.4329840418077231E-3</v>
          </cell>
          <cell r="E335">
            <v>2.9856676865509242E-3</v>
          </cell>
          <cell r="F335">
            <v>4.5414946749020501E-3</v>
          </cell>
          <cell r="G335">
            <v>5.6761723069708468E-2</v>
          </cell>
        </row>
        <row r="336">
          <cell r="A336" t="str">
            <v>T_B_c-BEVELC-S3</v>
          </cell>
          <cell r="B336" t="str">
            <v>VAR_ncap</v>
          </cell>
          <cell r="C336" t="str">
            <v>-</v>
          </cell>
          <cell r="E336">
            <v>5.41825113763563E-6</v>
          </cell>
          <cell r="F336">
            <v>7.1780910227926998E-6</v>
          </cell>
          <cell r="G336">
            <v>2.5490845542920502E-4</v>
          </cell>
        </row>
        <row r="337">
          <cell r="A337" t="str">
            <v>T_B_c-BEVELC-S3</v>
          </cell>
          <cell r="B337" t="str">
            <v>VAR_cap</v>
          </cell>
          <cell r="C337" t="str">
            <v>-</v>
          </cell>
          <cell r="D337">
            <v>2.2012400815327492E-6</v>
          </cell>
          <cell r="E337">
            <v>9.8352419257369269E-6</v>
          </cell>
          <cell r="F337">
            <v>1.6831806149670441E-5</v>
          </cell>
          <cell r="G337">
            <v>2.6705083904713528E-4</v>
          </cell>
        </row>
        <row r="338">
          <cell r="A338" t="str">
            <v>T_B_c-BEVELC-S4</v>
          </cell>
          <cell r="B338" t="str">
            <v>VAR_fout</v>
          </cell>
          <cell r="C338" t="str">
            <v>TPBSc</v>
          </cell>
          <cell r="E338">
            <v>1.3437324189129353E-4</v>
          </cell>
          <cell r="F338">
            <v>2.2259116902714863E-4</v>
          </cell>
          <cell r="G338">
            <v>1.5214388766451322E-4</v>
          </cell>
        </row>
        <row r="339">
          <cell r="A339" t="str">
            <v>T_B_c-BEVELC-S4</v>
          </cell>
          <cell r="B339" t="str">
            <v>VAR_fin</v>
          </cell>
          <cell r="C339" t="str">
            <v>T-ELC-Bus_c_BatSTGout_S4</v>
          </cell>
          <cell r="E339">
            <v>1.0627911211982919E-3</v>
          </cell>
          <cell r="F339">
            <v>1.717344954885097E-3</v>
          </cell>
          <cell r="G339">
            <v>1.0936948487897124E-3</v>
          </cell>
        </row>
        <row r="340">
          <cell r="A340" t="str">
            <v>T_B_c-BEVELC-S4</v>
          </cell>
          <cell r="B340" t="str">
            <v>VAR_ncap</v>
          </cell>
          <cell r="C340" t="str">
            <v>-</v>
          </cell>
          <cell r="E340">
            <v>3.1037136138987199E-6</v>
          </cell>
          <cell r="F340">
            <v>2.6866503474644701E-6</v>
          </cell>
          <cell r="G340">
            <v>2.6357402782433799E-6</v>
          </cell>
        </row>
        <row r="341">
          <cell r="A341" t="str">
            <v>T_B_c-BEVELC-S4</v>
          </cell>
          <cell r="B341" t="str">
            <v>VAR_cap</v>
          </cell>
          <cell r="C341" t="str">
            <v>-</v>
          </cell>
          <cell r="E341">
            <v>3.1037136138987199E-6</v>
          </cell>
          <cell r="F341">
            <v>5.3288663525052872E-6</v>
          </cell>
          <cell r="G341">
            <v>3.7400583738887202E-6</v>
          </cell>
        </row>
        <row r="342">
          <cell r="A342" t="str">
            <v>T_C-BAT-ELC-S1</v>
          </cell>
          <cell r="B342" t="str">
            <v>VAR_fout</v>
          </cell>
          <cell r="C342" t="str">
            <v>TPCAR</v>
          </cell>
          <cell r="D342">
            <v>2.1293432707779118E-2</v>
          </cell>
          <cell r="E342">
            <v>3.9843895738932503E-2</v>
          </cell>
          <cell r="F342">
            <v>3.7862782131930714E-2</v>
          </cell>
          <cell r="G342">
            <v>0.87232245505684225</v>
          </cell>
        </row>
        <row r="343">
          <cell r="A343" t="str">
            <v>T_C-BAT-ELC-S1</v>
          </cell>
          <cell r="B343" t="str">
            <v>VAR_fin</v>
          </cell>
          <cell r="C343" t="str">
            <v>T-ELC-car-BatSTGOut_S1</v>
          </cell>
          <cell r="D343">
            <v>1.1753470285554044E-2</v>
          </cell>
          <cell r="E343">
            <v>2.1992886307014767E-2</v>
          </cell>
          <cell r="F343">
            <v>2.0899358540414026E-2</v>
          </cell>
          <cell r="G343">
            <v>0.48150132464017859</v>
          </cell>
        </row>
        <row r="344">
          <cell r="A344" t="str">
            <v>T_C-BAT-ELC-S1</v>
          </cell>
          <cell r="B344" t="str">
            <v>VAR_ncap</v>
          </cell>
          <cell r="C344" t="str">
            <v>-</v>
          </cell>
          <cell r="D344">
            <v>9.4895089848303195E-4</v>
          </cell>
          <cell r="E344">
            <v>1.5139383780664499E-3</v>
          </cell>
          <cell r="F344">
            <v>1.52900018633736E-3</v>
          </cell>
          <cell r="G344">
            <v>0.13274624474909699</v>
          </cell>
        </row>
        <row r="345">
          <cell r="A345" t="str">
            <v>T_C-BAT-ELC-S1</v>
          </cell>
          <cell r="B345" t="str">
            <v>VAR_cap</v>
          </cell>
          <cell r="C345" t="str">
            <v>-</v>
          </cell>
          <cell r="D345">
            <v>2.4198384931383926E-3</v>
          </cell>
          <cell r="E345">
            <v>4.3310014059226428E-3</v>
          </cell>
          <cell r="F345">
            <v>5.5780900361345111E-3</v>
          </cell>
          <cell r="G345">
            <v>0.13048795164583002</v>
          </cell>
        </row>
        <row r="346">
          <cell r="A346" t="str">
            <v>D-TNGA</v>
          </cell>
          <cell r="B346" t="str">
            <v>VAR_fout</v>
          </cell>
          <cell r="C346" t="str">
            <v>CO2</v>
          </cell>
          <cell r="D346">
            <v>15.3266526020894</v>
          </cell>
          <cell r="E346">
            <v>10.8603436332081</v>
          </cell>
          <cell r="F346">
            <v>14.877501349025</v>
          </cell>
          <cell r="G346">
            <v>3.4697702695636101</v>
          </cell>
        </row>
        <row r="347">
          <cell r="A347" t="str">
            <v>D-TNGA</v>
          </cell>
          <cell r="B347" t="str">
            <v>VAR_fout</v>
          </cell>
          <cell r="C347" t="str">
            <v>TNGA</v>
          </cell>
          <cell r="D347">
            <v>0.29459975544247907</v>
          </cell>
          <cell r="E347">
            <v>0.21484073599650791</v>
          </cell>
          <cell r="F347">
            <v>0.29195931596873653</v>
          </cell>
          <cell r="G347">
            <v>7.4326327389226982E-2</v>
          </cell>
        </row>
        <row r="348">
          <cell r="A348" t="str">
            <v>D-TNGA</v>
          </cell>
          <cell r="B348" t="str">
            <v>VAR_fin</v>
          </cell>
          <cell r="C348" t="str">
            <v>NGA</v>
          </cell>
          <cell r="D348">
            <v>0.27174915961151475</v>
          </cell>
          <cell r="E348">
            <v>0.19255928427673985</v>
          </cell>
          <cell r="F348">
            <v>0.26378548491179105</v>
          </cell>
          <cell r="G348">
            <v>6.152074946034769E-2</v>
          </cell>
        </row>
        <row r="349">
          <cell r="A349" t="str">
            <v>D-TNGA</v>
          </cell>
          <cell r="B349" t="str">
            <v>VAR_fin</v>
          </cell>
          <cell r="C349" t="str">
            <v>BNGA</v>
          </cell>
          <cell r="D349">
            <v>2.3790307969536788E-2</v>
          </cell>
          <cell r="E349">
            <v>2.0808875239340906E-2</v>
          </cell>
          <cell r="F349">
            <v>2.7220217970123292E-2</v>
          </cell>
          <cell r="G349">
            <v>1.2361840836107522E-2</v>
          </cell>
        </row>
        <row r="350">
          <cell r="A350" t="str">
            <v>D-TNGA</v>
          </cell>
          <cell r="B350" t="str">
            <v>VAR_fin</v>
          </cell>
          <cell r="C350" t="str">
            <v>H2</v>
          </cell>
          <cell r="E350">
            <v>2.1578738839249396E-3</v>
          </cell>
          <cell r="F350">
            <v>1.8849027709331799E-3</v>
          </cell>
          <cell r="G350">
            <v>1.9525443601306315E-3</v>
          </cell>
        </row>
        <row r="351">
          <cell r="A351" t="str">
            <v>D-TNGA</v>
          </cell>
          <cell r="B351" t="str">
            <v>VAR_ncap</v>
          </cell>
          <cell r="C351" t="str">
            <v>-</v>
          </cell>
          <cell r="D351">
            <v>3.2050705670831E-5</v>
          </cell>
          <cell r="E351">
            <v>3.5470059228738299E-6</v>
          </cell>
          <cell r="F351">
            <v>4.1024593838111601E-6</v>
          </cell>
          <cell r="G351">
            <v>4.7589460780098196E-6</v>
          </cell>
        </row>
        <row r="352">
          <cell r="A352" t="str">
            <v>D-TNGA</v>
          </cell>
          <cell r="B352" t="str">
            <v>VAR_cap</v>
          </cell>
          <cell r="C352" t="str">
            <v>-</v>
          </cell>
          <cell r="D352">
            <v>0.95964974378731482</v>
          </cell>
          <cell r="E352">
            <v>0.95965329079323769</v>
          </cell>
          <cell r="F352">
            <v>0.95965739325262156</v>
          </cell>
          <cell r="G352">
            <v>0.95966215219869955</v>
          </cell>
        </row>
        <row r="353">
          <cell r="A353" t="str">
            <v>T_C-BAT-ELC-S2</v>
          </cell>
          <cell r="B353" t="str">
            <v>VAR_fout</v>
          </cell>
          <cell r="C353" t="str">
            <v>TPCAR</v>
          </cell>
          <cell r="D353">
            <v>9.7704854510058434E-2</v>
          </cell>
          <cell r="E353">
            <v>0.1801618451461148</v>
          </cell>
          <cell r="F353">
            <v>0.23821184453865535</v>
          </cell>
          <cell r="G353">
            <v>7.5174324295340993</v>
          </cell>
        </row>
        <row r="354">
          <cell r="A354" t="str">
            <v>T_C-BAT-ELC-S2</v>
          </cell>
          <cell r="B354" t="str">
            <v>VAR_fin</v>
          </cell>
          <cell r="C354" t="str">
            <v>T-ELC-car-BatSTGOut_S2</v>
          </cell>
          <cell r="D354">
            <v>6.6747486115301083E-2</v>
          </cell>
          <cell r="E354">
            <v>0.12307832929795047</v>
          </cell>
          <cell r="F354">
            <v>0.16273543280500249</v>
          </cell>
          <cell r="G354">
            <v>5.1355658757097356</v>
          </cell>
        </row>
        <row r="355">
          <cell r="A355" t="str">
            <v>T_C-BAT-ELC-S2</v>
          </cell>
          <cell r="B355" t="str">
            <v>VAR_ncap</v>
          </cell>
          <cell r="C355" t="str">
            <v>-</v>
          </cell>
          <cell r="D355">
            <v>5.2628818581012897E-4</v>
          </cell>
          <cell r="E355">
            <v>2.0499909564197102E-3</v>
          </cell>
          <cell r="F355">
            <v>5.1972863012349196E-3</v>
          </cell>
          <cell r="G355">
            <v>0.58559968210585001</v>
          </cell>
        </row>
        <row r="356">
          <cell r="A356" t="str">
            <v>T_C-BAT-ELC-S2</v>
          </cell>
          <cell r="B356" t="str">
            <v>VAR_cap</v>
          </cell>
          <cell r="C356" t="str">
            <v>-</v>
          </cell>
          <cell r="D356">
            <v>7.8075998491253544E-3</v>
          </cell>
          <cell r="E356">
            <v>1.3672975628669938E-2</v>
          </cell>
          <cell r="F356">
            <v>1.8215287595082352E-2</v>
          </cell>
          <cell r="G356">
            <v>0.57038143366586347</v>
          </cell>
        </row>
        <row r="357">
          <cell r="A357" t="str">
            <v>TFLGV-BeVELCExt</v>
          </cell>
          <cell r="B357" t="str">
            <v>VAR_fout</v>
          </cell>
          <cell r="C357" t="str">
            <v>TFLGV</v>
          </cell>
          <cell r="D357">
            <v>2.7237543907744723E-2</v>
          </cell>
          <cell r="E357">
            <v>2.4053218470938761E-2</v>
          </cell>
          <cell r="F357">
            <v>1.8182701675714088E-2</v>
          </cell>
          <cell r="G357">
            <v>8.7347022263688911E-3</v>
          </cell>
        </row>
        <row r="358">
          <cell r="A358" t="str">
            <v>TFLGV-BeVELCExt</v>
          </cell>
          <cell r="B358" t="str">
            <v>VAR_fin</v>
          </cell>
          <cell r="C358" t="str">
            <v>TELC</v>
          </cell>
          <cell r="D358">
            <v>3.9519211782301972E-2</v>
          </cell>
          <cell r="E358">
            <v>3.4576786983343169E-2</v>
          </cell>
          <cell r="F358">
            <v>2.5780761281755226E-2</v>
          </cell>
          <cell r="G358">
            <v>1.2384698213797668E-2</v>
          </cell>
        </row>
        <row r="359">
          <cell r="A359" t="str">
            <v>TFLGV-BeVELCExt</v>
          </cell>
          <cell r="B359" t="str">
            <v>VAR_cap</v>
          </cell>
          <cell r="C359" t="str">
            <v>-</v>
          </cell>
          <cell r="D359">
            <v>1.9499999999999999E-3</v>
          </cell>
          <cell r="E359">
            <v>1.6900000000000001E-3</v>
          </cell>
          <cell r="F359">
            <v>1.2999221587943475E-3</v>
          </cell>
          <cell r="G359">
            <v>6.4995158468443884E-4</v>
          </cell>
        </row>
        <row r="360">
          <cell r="A360" t="str">
            <v>T_C-BAT-ELC-S3</v>
          </cell>
          <cell r="B360" t="str">
            <v>VAR_fout</v>
          </cell>
          <cell r="C360" t="str">
            <v>TPCAR</v>
          </cell>
          <cell r="D360">
            <v>6.7634652364100198E-2</v>
          </cell>
          <cell r="E360">
            <v>0.3445216291107594</v>
          </cell>
          <cell r="F360">
            <v>1.1230997299616892</v>
          </cell>
          <cell r="G360">
            <v>1.1811467051227369</v>
          </cell>
        </row>
        <row r="361">
          <cell r="A361" t="str">
            <v>T_C-BAT-ELC-S3</v>
          </cell>
          <cell r="B361" t="str">
            <v>VAR_fin</v>
          </cell>
          <cell r="C361" t="str">
            <v>T-ELC-car-BatSTGOut_S3</v>
          </cell>
          <cell r="D361">
            <v>5.0569751806782734E-2</v>
          </cell>
          <cell r="E361">
            <v>0.25759536963994467</v>
          </cell>
          <cell r="F361">
            <v>0.83973041352650502</v>
          </cell>
          <cell r="G361">
            <v>0.88313155516653929</v>
          </cell>
        </row>
        <row r="362">
          <cell r="A362" t="str">
            <v>T_C-BAT-ELC-S3</v>
          </cell>
          <cell r="B362" t="str">
            <v>VAR_ncap</v>
          </cell>
          <cell r="C362" t="str">
            <v>-</v>
          </cell>
          <cell r="D362">
            <v>7.90774924322943E-4</v>
          </cell>
          <cell r="E362">
            <v>1.7076925098765201E-2</v>
          </cell>
          <cell r="F362">
            <v>5.5601956747644898E-2</v>
          </cell>
          <cell r="G362">
            <v>1.5758596419597402E-2</v>
          </cell>
        </row>
        <row r="363">
          <cell r="A363" t="str">
            <v>T_C-BAT-ELC-S3</v>
          </cell>
          <cell r="B363" t="str">
            <v>VAR_cap</v>
          </cell>
          <cell r="C363" t="str">
            <v>-</v>
          </cell>
          <cell r="D363">
            <v>5.0070995158856962E-3</v>
          </cell>
          <cell r="E363">
            <v>2.3739012591040397E-2</v>
          </cell>
          <cell r="F363">
            <v>7.7396536904448643E-2</v>
          </cell>
          <cell r="G363">
            <v>8.1312508161985347E-2</v>
          </cell>
        </row>
        <row r="364">
          <cell r="A364" t="str">
            <v>T_C-BAT-ELC-S4</v>
          </cell>
          <cell r="B364" t="str">
            <v>VAR_fout</v>
          </cell>
          <cell r="C364" t="str">
            <v>TPCAR</v>
          </cell>
          <cell r="D364">
            <v>0.20566905811202962</v>
          </cell>
          <cell r="E364">
            <v>1.166441124893274</v>
          </cell>
          <cell r="F364">
            <v>3.7035806647945315</v>
          </cell>
          <cell r="G364">
            <v>12.830236035830476</v>
          </cell>
        </row>
        <row r="365">
          <cell r="A365" t="str">
            <v>T_C-BAT-ELC-S4</v>
          </cell>
          <cell r="B365" t="str">
            <v>VAR_fin</v>
          </cell>
          <cell r="C365" t="str">
            <v>T-ELC-car-BatSTGOut_S4</v>
          </cell>
          <cell r="D365">
            <v>0.15882112619722877</v>
          </cell>
          <cell r="E365">
            <v>0.90074557057290427</v>
          </cell>
          <cell r="F365">
            <v>2.8599676467840207</v>
          </cell>
          <cell r="G365">
            <v>9.907725329674534</v>
          </cell>
        </row>
        <row r="366">
          <cell r="A366" t="str">
            <v>T_C-BAT-ELC-S4</v>
          </cell>
          <cell r="B366" t="str">
            <v>VAR_ncap</v>
          </cell>
          <cell r="C366" t="str">
            <v>-</v>
          </cell>
          <cell r="D366">
            <v>1.2244687320786701E-3</v>
          </cell>
          <cell r="E366">
            <v>6.3712446320510596E-2</v>
          </cell>
          <cell r="F366">
            <v>0.20760759458165901</v>
          </cell>
          <cell r="G366">
            <v>0.80138380440179702</v>
          </cell>
        </row>
        <row r="367">
          <cell r="A367" t="str">
            <v>T_C-BAT-ELC-S4</v>
          </cell>
          <cell r="B367" t="str">
            <v>VAR_cap</v>
          </cell>
          <cell r="C367" t="str">
            <v>-</v>
          </cell>
          <cell r="D367">
            <v>1.6424914539134985E-2</v>
          </cell>
          <cell r="E367">
            <v>9.1926390101677607E-2</v>
          </cell>
          <cell r="F367">
            <v>0.29194670110932724</v>
          </cell>
          <cell r="G367">
            <v>1.0104067736591091</v>
          </cell>
        </row>
        <row r="368">
          <cell r="A368" t="str">
            <v>T_B_c-ICENGA-S1</v>
          </cell>
          <cell r="B368" t="str">
            <v>VAR_fout</v>
          </cell>
          <cell r="C368" t="str">
            <v>CO2_T</v>
          </cell>
          <cell r="E368">
            <v>0.110787386585197</v>
          </cell>
          <cell r="F368">
            <v>0.2208265556992727</v>
          </cell>
          <cell r="G368">
            <v>1.124604458097174E-2</v>
          </cell>
        </row>
        <row r="369">
          <cell r="A369" t="str">
            <v>T_B_c-ICENGA-S1</v>
          </cell>
          <cell r="B369" t="str">
            <v>VAR_fout</v>
          </cell>
          <cell r="C369" t="str">
            <v>TPBSc</v>
          </cell>
          <cell r="E369">
            <v>2.3618440748970272E-4</v>
          </cell>
          <cell r="F369">
            <v>4.8180878759464105E-4</v>
          </cell>
          <cell r="G369">
            <v>2.5681956875642466E-5</v>
          </cell>
        </row>
        <row r="370">
          <cell r="A370" t="str">
            <v>T_B_c-ICENGA-S1</v>
          </cell>
          <cell r="B370" t="str">
            <v>VAR_fin</v>
          </cell>
          <cell r="C370" t="str">
            <v>TNGA</v>
          </cell>
          <cell r="E370">
            <v>1.9643153649857598E-3</v>
          </cell>
          <cell r="F370">
            <v>3.9153644627530695E-3</v>
          </cell>
          <cell r="G370">
            <v>1.993979535633284E-4</v>
          </cell>
        </row>
        <row r="371">
          <cell r="A371" t="str">
            <v>T_B_c-ICENGA-S1</v>
          </cell>
          <cell r="B371" t="str">
            <v>VAR_ncap</v>
          </cell>
          <cell r="C371" t="str">
            <v>-</v>
          </cell>
          <cell r="E371">
            <v>6.19252912558567E-6</v>
          </cell>
          <cell r="F371">
            <v>4.8771289840161897E-6</v>
          </cell>
          <cell r="G371">
            <v>1.74750640659034E-7</v>
          </cell>
        </row>
        <row r="372">
          <cell r="A372" t="str">
            <v>T_B_c-ICENGA-S1</v>
          </cell>
          <cell r="B372" t="str">
            <v>VAR_cap</v>
          </cell>
          <cell r="C372" t="str">
            <v>-</v>
          </cell>
          <cell r="E372">
            <v>6.19252912558567E-6</v>
          </cell>
          <cell r="F372">
            <v>1.0978638740556517E-5</v>
          </cell>
          <cell r="G372">
            <v>3.204973580417008E-7</v>
          </cell>
        </row>
        <row r="373">
          <cell r="A373" t="str">
            <v>TFLGV-FCLH2O</v>
          </cell>
          <cell r="B373" t="str">
            <v>VAR_fout</v>
          </cell>
          <cell r="C373" t="str">
            <v>TFLGV</v>
          </cell>
          <cell r="E373">
            <v>3.986184500137294E-4</v>
          </cell>
          <cell r="F373">
            <v>6.0023490627610608E-4</v>
          </cell>
          <cell r="G373">
            <v>1.9825360342799568E-4</v>
          </cell>
        </row>
        <row r="374">
          <cell r="A374" t="str">
            <v>TFLGV-FCLH2O</v>
          </cell>
          <cell r="B374" t="str">
            <v>VAR_fin</v>
          </cell>
          <cell r="C374" t="str">
            <v>TH2O</v>
          </cell>
          <cell r="E374">
            <v>8.5705334089631626E-4</v>
          </cell>
          <cell r="F374">
            <v>1.268651043729762E-3</v>
          </cell>
          <cell r="G374">
            <v>4.0119301108514343E-4</v>
          </cell>
        </row>
        <row r="375">
          <cell r="A375" t="str">
            <v>TFLGV-FCLH2O</v>
          </cell>
          <cell r="B375" t="str">
            <v>VAR_ncap</v>
          </cell>
          <cell r="C375" t="str">
            <v>-</v>
          </cell>
          <cell r="E375">
            <v>3.0327895704679199E-5</v>
          </cell>
          <cell r="F375">
            <v>1.6029146216927301E-5</v>
          </cell>
          <cell r="G375">
            <v>3.51891015236377E-6</v>
          </cell>
        </row>
        <row r="376">
          <cell r="A376" t="str">
            <v>TFLGV-FCLH2O</v>
          </cell>
          <cell r="B376" t="str">
            <v>VAR_cap</v>
          </cell>
          <cell r="C376" t="str">
            <v>-</v>
          </cell>
          <cell r="E376">
            <v>3.0327895704679199E-5</v>
          </cell>
          <cell r="F376">
            <v>4.6281098085736317E-5</v>
          </cell>
          <cell r="G376">
            <v>1.1130429089977705E-5</v>
          </cell>
        </row>
        <row r="377">
          <cell r="A377" t="str">
            <v>T_B_c-ICENGA-S2</v>
          </cell>
          <cell r="B377" t="str">
            <v>VAR_fout</v>
          </cell>
          <cell r="C377" t="str">
            <v>CO2_T</v>
          </cell>
          <cell r="E377">
            <v>8.1218587168048098E-2</v>
          </cell>
          <cell r="F377">
            <v>0.21893952163029862</v>
          </cell>
          <cell r="G377">
            <v>1.5961794898882359E-2</v>
          </cell>
        </row>
        <row r="378">
          <cell r="A378" t="str">
            <v>T_B_c-ICENGA-S2</v>
          </cell>
          <cell r="B378" t="str">
            <v>VAR_fout</v>
          </cell>
          <cell r="C378" t="str">
            <v>TPBSc</v>
          </cell>
          <cell r="E378">
            <v>1.2240112878893181E-4</v>
          </cell>
          <cell r="F378">
            <v>3.3960205140559245E-4</v>
          </cell>
          <cell r="G378">
            <v>2.5594388805992501E-5</v>
          </cell>
        </row>
        <row r="379">
          <cell r="A379" t="str">
            <v>T_B_c-ICENGA-S2</v>
          </cell>
          <cell r="B379" t="str">
            <v>VAR_fin</v>
          </cell>
          <cell r="C379" t="str">
            <v>TNGA</v>
          </cell>
          <cell r="E379">
            <v>1.4400458717739014E-3</v>
          </cell>
          <cell r="F379">
            <v>3.8819064118847287E-3</v>
          </cell>
          <cell r="G379">
            <v>2.8301054785252386E-4</v>
          </cell>
        </row>
        <row r="380">
          <cell r="A380" t="str">
            <v>T_B_c-ICENGA-S2</v>
          </cell>
          <cell r="B380" t="str">
            <v>VAR_ncap</v>
          </cell>
          <cell r="C380" t="str">
            <v>-</v>
          </cell>
          <cell r="E380">
            <v>3.0337087329467001E-6</v>
          </cell>
          <cell r="F380">
            <v>4.2068283311581399E-6</v>
          </cell>
          <cell r="G380">
            <v>9.7472314277058497E-8</v>
          </cell>
        </row>
        <row r="381">
          <cell r="A381" t="str">
            <v>T_B_c-ICENGA-S2</v>
          </cell>
          <cell r="B381" t="str">
            <v>VAR_cap</v>
          </cell>
          <cell r="C381" t="str">
            <v>-</v>
          </cell>
          <cell r="E381">
            <v>3.0337087329467001E-6</v>
          </cell>
          <cell r="F381">
            <v>7.24053706410484E-6</v>
          </cell>
          <cell r="G381">
            <v>1.9210793695783949E-7</v>
          </cell>
        </row>
        <row r="382">
          <cell r="A382" t="str">
            <v>T_B_u-ICEDSL-S1</v>
          </cell>
          <cell r="B382" t="str">
            <v>VAR_fout</v>
          </cell>
          <cell r="C382" t="str">
            <v>CO2_T</v>
          </cell>
          <cell r="D382">
            <v>5.8860143580549584E-2</v>
          </cell>
          <cell r="E382">
            <v>8.1895375189181507</v>
          </cell>
          <cell r="F382">
            <v>19.044907668835005</v>
          </cell>
          <cell r="G382">
            <v>1.0091964542891921E-2</v>
          </cell>
        </row>
        <row r="383">
          <cell r="A383" t="str">
            <v>T_B_u-ICEDSL-S1</v>
          </cell>
          <cell r="B383" t="str">
            <v>VAR_fout</v>
          </cell>
          <cell r="C383" t="str">
            <v>TPBSu</v>
          </cell>
          <cell r="D383">
            <v>9.9507503282491807E-5</v>
          </cell>
          <cell r="E383">
            <v>1.4355094916924624E-2</v>
          </cell>
          <cell r="F383">
            <v>3.4402343355592377E-2</v>
          </cell>
          <cell r="G383">
            <v>1.7568474188955871E-5</v>
          </cell>
        </row>
        <row r="384">
          <cell r="A384" t="str">
            <v>T_B_u-ICEDSL-S1</v>
          </cell>
          <cell r="B384" t="str">
            <v>VAR_fin</v>
          </cell>
          <cell r="C384" t="str">
            <v>TDSL</v>
          </cell>
          <cell r="D384">
            <v>8.0300332306343218E-4</v>
          </cell>
          <cell r="E384">
            <v>0.1117262963017483</v>
          </cell>
          <cell r="F384">
            <v>0.2598213870236698</v>
          </cell>
          <cell r="G384">
            <v>1.3768028025773447E-4</v>
          </cell>
        </row>
        <row r="385">
          <cell r="A385" t="str">
            <v>T_B_u-ICEDSL-S1</v>
          </cell>
          <cell r="B385" t="str">
            <v>VAR_ncap</v>
          </cell>
          <cell r="C385" t="str">
            <v>-</v>
          </cell>
          <cell r="E385">
            <v>2.73607307003089E-4</v>
          </cell>
          <cell r="F385">
            <v>3.7842408511320802E-4</v>
          </cell>
          <cell r="G385">
            <v>3.9788814822088701E-8</v>
          </cell>
        </row>
        <row r="386">
          <cell r="A386" t="str">
            <v>T_B_u-ICEDSL-S1</v>
          </cell>
          <cell r="B386" t="str">
            <v>VAR_cap</v>
          </cell>
          <cell r="C386" t="str">
            <v>-</v>
          </cell>
          <cell r="D386">
            <v>7.0464135021097004E-7</v>
          </cell>
          <cell r="E386">
            <v>2.7440867731463224E-4</v>
          </cell>
          <cell r="F386">
            <v>6.5279312099015467E-4</v>
          </cell>
          <cell r="G386">
            <v>-3.0944659718467552E-7</v>
          </cell>
        </row>
        <row r="387">
          <cell r="A387" t="str">
            <v>T_B_c-ICENGA-S3</v>
          </cell>
          <cell r="B387" t="str">
            <v>VAR_fout</v>
          </cell>
          <cell r="C387" t="str">
            <v>CO2_T</v>
          </cell>
          <cell r="E387">
            <v>7.05283275325298E-2</v>
          </cell>
          <cell r="F387">
            <v>0.20012715306198181</v>
          </cell>
          <cell r="G387">
            <v>1.5121312599620899E-2</v>
          </cell>
        </row>
        <row r="388">
          <cell r="A388" t="str">
            <v>T_B_c-ICENGA-S3</v>
          </cell>
          <cell r="B388" t="str">
            <v>VAR_fout</v>
          </cell>
          <cell r="C388" t="str">
            <v>TPBSc</v>
          </cell>
          <cell r="E388">
            <v>7.0556005475855426E-5</v>
          </cell>
          <cell r="F388">
            <v>2.0623028549097061E-4</v>
          </cell>
          <cell r="G388">
            <v>1.6095691406508236E-5</v>
          </cell>
        </row>
        <row r="389">
          <cell r="A389" t="str">
            <v>T_B_c-ICENGA-S3</v>
          </cell>
          <cell r="B389" t="str">
            <v>VAR_fin</v>
          </cell>
          <cell r="C389" t="str">
            <v>TNGA</v>
          </cell>
          <cell r="E389">
            <v>1.2505022612150673E-3</v>
          </cell>
          <cell r="F389">
            <v>3.5483537776947083E-3</v>
          </cell>
          <cell r="G389">
            <v>2.6810837942590251E-4</v>
          </cell>
        </row>
        <row r="390">
          <cell r="A390" t="str">
            <v>T_B_c-ICENGA-S3</v>
          </cell>
          <cell r="B390" t="str">
            <v>VAR_ncap</v>
          </cell>
          <cell r="C390" t="str">
            <v>-</v>
          </cell>
          <cell r="E390">
            <v>1.8196409797684899E-6</v>
          </cell>
          <cell r="F390">
            <v>2.73544396189934E-6</v>
          </cell>
          <cell r="G390">
            <v>9.6631523940386306E-8</v>
          </cell>
        </row>
        <row r="391">
          <cell r="A391" t="str">
            <v>T_B_c-ICENGA-S3</v>
          </cell>
          <cell r="B391" t="str">
            <v>VAR_cap</v>
          </cell>
          <cell r="C391" t="str">
            <v>-</v>
          </cell>
          <cell r="E391">
            <v>1.8196409797684899E-6</v>
          </cell>
          <cell r="F391">
            <v>4.5550849416678297E-6</v>
          </cell>
          <cell r="G391">
            <v>2.408099261331397E-7</v>
          </cell>
        </row>
        <row r="392">
          <cell r="A392" t="str">
            <v>T_B_u-ICEDSL-S2</v>
          </cell>
          <cell r="B392" t="str">
            <v>VAR_fout</v>
          </cell>
          <cell r="C392" t="str">
            <v>CO2_T</v>
          </cell>
          <cell r="D392">
            <v>7.4807299944246504</v>
          </cell>
          <cell r="E392">
            <v>8.2095989869952213</v>
          </cell>
          <cell r="F392">
            <v>11.932413284119193</v>
          </cell>
          <cell r="G392">
            <v>6.7367896056592644E-2</v>
          </cell>
        </row>
        <row r="393">
          <cell r="A393" t="str">
            <v>T_B_u-ICEDSL-S2</v>
          </cell>
          <cell r="B393" t="str">
            <v>VAR_fout</v>
          </cell>
          <cell r="C393" t="str">
            <v>TPBSu</v>
          </cell>
          <cell r="D393">
            <v>8.9264446046589084E-3</v>
          </cell>
          <cell r="E393">
            <v>9.8384883571199025E-3</v>
          </cell>
          <cell r="F393">
            <v>1.4514006426720464E-2</v>
          </cell>
          <cell r="G393">
            <v>8.3368882041242053E-5</v>
          </cell>
        </row>
        <row r="394">
          <cell r="A394" t="str">
            <v>T_B_u-ICEDSL-S2</v>
          </cell>
          <cell r="B394" t="str">
            <v>VAR_fin</v>
          </cell>
          <cell r="C394" t="str">
            <v>TDSL</v>
          </cell>
          <cell r="D394">
            <v>0.10205634371657067</v>
          </cell>
          <cell r="E394">
            <v>0.11199998618001675</v>
          </cell>
          <cell r="F394">
            <v>0.16278872147502296</v>
          </cell>
          <cell r="G394">
            <v>9.190708875387811E-4</v>
          </cell>
        </row>
        <row r="395">
          <cell r="A395" t="str">
            <v>T_B_u-ICEDSL-S2</v>
          </cell>
          <cell r="B395" t="str">
            <v>VAR_ncap</v>
          </cell>
          <cell r="C395" t="str">
            <v>-</v>
          </cell>
          <cell r="E395">
            <v>1.0076138085787199E-5</v>
          </cell>
          <cell r="F395">
            <v>5.3217679748052702E-5</v>
          </cell>
        </row>
        <row r="396">
          <cell r="A396" t="str">
            <v>T_B_u-ICEDSL-S2</v>
          </cell>
          <cell r="B396" t="str">
            <v>VAR_cap</v>
          </cell>
          <cell r="C396" t="str">
            <v>-</v>
          </cell>
          <cell r="D396">
            <v>1.8032391937432106E-4</v>
          </cell>
          <cell r="E396">
            <v>2.1899623495762508E-4</v>
          </cell>
          <cell r="F396">
            <v>2.7482179730105549E-4</v>
          </cell>
          <cell r="G396">
            <v>-3.6403572291920949E-7</v>
          </cell>
        </row>
        <row r="397">
          <cell r="A397" t="str">
            <v>T_B_c-ICENGA-S4</v>
          </cell>
          <cell r="B397" t="str">
            <v>VAR_fout</v>
          </cell>
          <cell r="C397" t="str">
            <v>CO2_T</v>
          </cell>
          <cell r="E397">
            <v>2.6729202998897701E-2</v>
          </cell>
          <cell r="F397">
            <v>7.0659600606572698E-2</v>
          </cell>
          <cell r="G397">
            <v>2.2357174850516089E-2</v>
          </cell>
        </row>
        <row r="398">
          <cell r="A398" t="str">
            <v>T_B_c-ICENGA-S4</v>
          </cell>
          <cell r="B398" t="str">
            <v>VAR_fout</v>
          </cell>
          <cell r="C398" t="str">
            <v>TPBSc</v>
          </cell>
          <cell r="E398">
            <v>1.7861722493264039E-5</v>
          </cell>
          <cell r="F398">
            <v>4.8579058700825942E-5</v>
          </cell>
          <cell r="G398">
            <v>1.5861286264862542E-5</v>
          </cell>
        </row>
        <row r="399">
          <cell r="A399" t="str">
            <v>T_B_c-ICENGA-S4</v>
          </cell>
          <cell r="B399" t="str">
            <v>VAR_fin</v>
          </cell>
          <cell r="C399" t="str">
            <v>TNGA</v>
          </cell>
          <cell r="E399">
            <v>4.7392203898754696E-4</v>
          </cell>
          <cell r="F399">
            <v>1.2528297979888775E-3</v>
          </cell>
          <cell r="G399">
            <v>3.9640380940631365E-4</v>
          </cell>
        </row>
        <row r="400">
          <cell r="A400" t="str">
            <v>T_B_c-ICENGA-S4</v>
          </cell>
          <cell r="B400" t="str">
            <v>VAR_ncap</v>
          </cell>
          <cell r="C400" t="str">
            <v>-</v>
          </cell>
          <cell r="E400">
            <v>2.37582242027549E-7</v>
          </cell>
          <cell r="F400">
            <v>5.0168272991460196E-7</v>
          </cell>
          <cell r="G400">
            <v>5.0439740103103203E-8</v>
          </cell>
        </row>
        <row r="401">
          <cell r="A401" t="str">
            <v>T_B_c-ICENGA-S4</v>
          </cell>
          <cell r="B401" t="str">
            <v>VAR_cap</v>
          </cell>
          <cell r="C401" t="str">
            <v>-</v>
          </cell>
          <cell r="E401">
            <v>2.37582242027549E-7</v>
          </cell>
          <cell r="F401">
            <v>7.3926497194215099E-7</v>
          </cell>
          <cell r="G401">
            <v>-3.8258926339991079E-8</v>
          </cell>
        </row>
        <row r="402">
          <cell r="A402" t="str">
            <v>T_B_u-ICEDSL-S3</v>
          </cell>
          <cell r="B402" t="str">
            <v>VAR_fout</v>
          </cell>
          <cell r="C402" t="str">
            <v>CO2_T</v>
          </cell>
          <cell r="D402">
            <v>45.299253093273492</v>
          </cell>
          <cell r="E402">
            <v>63.898668878553835</v>
          </cell>
          <cell r="F402">
            <v>110.46359536645299</v>
          </cell>
          <cell r="G402">
            <v>9.04404350153203E-2</v>
          </cell>
        </row>
        <row r="403">
          <cell r="A403" t="str">
            <v>T_B_u-ICEDSL-S3</v>
          </cell>
          <cell r="B403" t="str">
            <v>VAR_fout</v>
          </cell>
          <cell r="C403" t="str">
            <v>TPBSu</v>
          </cell>
          <cell r="D403">
            <v>3.5812692154139132E-2</v>
          </cell>
          <cell r="E403">
            <v>5.0688547996695775E-2</v>
          </cell>
          <cell r="F403">
            <v>9.0661543101879502E-2</v>
          </cell>
          <cell r="G403">
            <v>7.4926495595288692E-5</v>
          </cell>
        </row>
        <row r="404">
          <cell r="A404" t="str">
            <v>T_B_u-ICEDSL-S3</v>
          </cell>
          <cell r="B404" t="str">
            <v>VAR_fin</v>
          </cell>
          <cell r="C404" t="str">
            <v>TDSL</v>
          </cell>
          <cell r="D404">
            <v>0.617997995815463</v>
          </cell>
          <cell r="E404">
            <v>0.87174173094889229</v>
          </cell>
          <cell r="F404">
            <v>1.5070067580689368</v>
          </cell>
          <cell r="G404">
            <v>1.2338394954341072E-3</v>
          </cell>
        </row>
        <row r="405">
          <cell r="A405" t="str">
            <v>T_B_u-ICEDSL-S3</v>
          </cell>
          <cell r="B405" t="str">
            <v>VAR_ncap</v>
          </cell>
          <cell r="C405" t="str">
            <v>-</v>
          </cell>
          <cell r="E405">
            <v>2.2551065255541901E-5</v>
          </cell>
          <cell r="F405">
            <v>7.3383923175598996E-4</v>
          </cell>
        </row>
        <row r="406">
          <cell r="A406" t="str">
            <v>T_B_u-ICEDSL-S3</v>
          </cell>
          <cell r="B406" t="str">
            <v>VAR_cap</v>
          </cell>
          <cell r="C406" t="str">
            <v>-</v>
          </cell>
          <cell r="D406">
            <v>8.0105205478635374E-4</v>
          </cell>
          <cell r="E406">
            <v>9.7110347863075468E-4</v>
          </cell>
          <cell r="F406">
            <v>1.7081401799494333E-3</v>
          </cell>
          <cell r="G406">
            <v>-2.5308223818194808E-7</v>
          </cell>
        </row>
        <row r="407">
          <cell r="A407" t="str">
            <v>T_B_u-ICEDSL-S4</v>
          </cell>
          <cell r="B407" t="str">
            <v>VAR_fout</v>
          </cell>
          <cell r="C407" t="str">
            <v>CO2_T</v>
          </cell>
          <cell r="D407">
            <v>1.1318876772878821</v>
          </cell>
          <cell r="E407">
            <v>0.2884424084069413</v>
          </cell>
          <cell r="F407">
            <v>0.49084327192584087</v>
          </cell>
          <cell r="G407">
            <v>7.591504480191559E-2</v>
          </cell>
        </row>
        <row r="408">
          <cell r="A408" t="str">
            <v>T_B_u-ICEDSL-S4</v>
          </cell>
          <cell r="B408" t="str">
            <v>VAR_fout</v>
          </cell>
          <cell r="C408" t="str">
            <v>TPBSu</v>
          </cell>
          <cell r="D408">
            <v>5.9677320673333335E-4</v>
          </cell>
          <cell r="E408">
            <v>1.53348900256659E-4</v>
          </cell>
          <cell r="F408">
            <v>2.6267269298269107E-4</v>
          </cell>
          <cell r="G408">
            <v>4.2226081591331143E-5</v>
          </cell>
        </row>
        <row r="409">
          <cell r="A409" t="str">
            <v>T_B_u-ICEDSL-S4</v>
          </cell>
          <cell r="B409" t="str">
            <v>VAR_fin</v>
          </cell>
          <cell r="C409" t="str">
            <v>TDSL</v>
          </cell>
          <cell r="D409">
            <v>1.5441850986192118E-2</v>
          </cell>
          <cell r="E409">
            <v>3.9350942483893777E-3</v>
          </cell>
          <cell r="F409">
            <v>6.696361144963723E-3</v>
          </cell>
          <cell r="G409">
            <v>1.0356759181707432E-3</v>
          </cell>
        </row>
        <row r="410">
          <cell r="A410" t="str">
            <v>T_B_u-ICEDSL-S4</v>
          </cell>
          <cell r="B410" t="str">
            <v>VAR_ncap</v>
          </cell>
          <cell r="C410" t="str">
            <v>-</v>
          </cell>
          <cell r="E410">
            <v>2.8238334902776801E-7</v>
          </cell>
          <cell r="F410">
            <v>3.0109913260809802E-7</v>
          </cell>
          <cell r="G410">
            <v>2.4536977991481498E-8</v>
          </cell>
        </row>
        <row r="411">
          <cell r="A411" t="str">
            <v>T_B_u-ICEDSL-S4</v>
          </cell>
          <cell r="B411" t="str">
            <v>VAR_cap</v>
          </cell>
          <cell r="C411" t="str">
            <v>-</v>
          </cell>
          <cell r="D411">
            <v>9.6313990647584433E-6</v>
          </cell>
          <cell r="E411">
            <v>1.8006710858634692E-6</v>
          </cell>
          <cell r="F411">
            <v>3.4677617748108262E-6</v>
          </cell>
          <cell r="G411">
            <v>-2.0466343003073801E-7</v>
          </cell>
        </row>
        <row r="412">
          <cell r="A412" t="str">
            <v>D-TBDS1intl</v>
          </cell>
          <cell r="B412" t="str">
            <v>VAR_fout</v>
          </cell>
          <cell r="C412" t="str">
            <v>TKERintl_SAF</v>
          </cell>
          <cell r="G412">
            <v>5.0110853059788303</v>
          </cell>
        </row>
        <row r="413">
          <cell r="A413" t="str">
            <v>D-TBDS1intl</v>
          </cell>
          <cell r="B413" t="str">
            <v>VAR_fin</v>
          </cell>
          <cell r="C413" t="str">
            <v>BDS1</v>
          </cell>
          <cell r="G413">
            <v>5.0110853059788303</v>
          </cell>
        </row>
        <row r="414">
          <cell r="A414" t="str">
            <v>T_B_c-ICENGAEXT</v>
          </cell>
          <cell r="B414" t="str">
            <v>VAR_fout</v>
          </cell>
          <cell r="C414" t="str">
            <v>CO2_T</v>
          </cell>
          <cell r="D414">
            <v>1.00679151797333E-2</v>
          </cell>
          <cell r="E414">
            <v>9.1708866803655795E-3</v>
          </cell>
          <cell r="F414">
            <v>8.9167855403469599E-3</v>
          </cell>
        </row>
        <row r="415">
          <cell r="A415" t="str">
            <v>T_B_c-ICENGAEXT</v>
          </cell>
          <cell r="B415" t="str">
            <v>VAR_fout</v>
          </cell>
          <cell r="C415" t="str">
            <v>TPBSc</v>
          </cell>
          <cell r="D415">
            <v>1.776210442048535E-3</v>
          </cell>
          <cell r="E415">
            <v>1.2970621791852863E-3</v>
          </cell>
          <cell r="F415">
            <v>7.9312271801180827E-4</v>
          </cell>
        </row>
        <row r="416">
          <cell r="A416" t="str">
            <v>T_B_c-ICENGAEXT</v>
          </cell>
          <cell r="B416" t="str">
            <v>VAR_fin</v>
          </cell>
          <cell r="C416" t="str">
            <v>TNGA</v>
          </cell>
          <cell r="D416">
            <v>1.785091343924339E-4</v>
          </cell>
          <cell r="E416">
            <v>1.6260437376534707E-4</v>
          </cell>
          <cell r="F416">
            <v>1.5809903440331505E-4</v>
          </cell>
        </row>
        <row r="417">
          <cell r="A417" t="str">
            <v>T_B_c-ICENGAEXT</v>
          </cell>
          <cell r="B417" t="str">
            <v>VAR_cap</v>
          </cell>
          <cell r="C417" t="str">
            <v>-</v>
          </cell>
          <cell r="D417">
            <v>2.9722792607802899E-5</v>
          </cell>
          <cell r="E417">
            <v>2.3778234086242301E-5</v>
          </cell>
          <cell r="F417">
            <v>1.4420849856955918E-5</v>
          </cell>
        </row>
        <row r="418">
          <cell r="A418" t="str">
            <v>T_B_u-ICEDSLEXT</v>
          </cell>
          <cell r="B418" t="str">
            <v>VAR_fout</v>
          </cell>
          <cell r="C418" t="str">
            <v>CO2_T</v>
          </cell>
          <cell r="D418">
            <v>1.26981517733958</v>
          </cell>
          <cell r="E418">
            <v>1.2687951942556699</v>
          </cell>
          <cell r="F418">
            <v>1.26114876922759</v>
          </cell>
        </row>
        <row r="419">
          <cell r="A419" t="str">
            <v>T_B_u-ICEDSLEXT</v>
          </cell>
          <cell r="B419" t="str">
            <v>VAR_fout</v>
          </cell>
          <cell r="C419" t="str">
            <v>TPBSu</v>
          </cell>
          <cell r="D419">
            <v>0.24198694105284999</v>
          </cell>
          <cell r="E419">
            <v>0.19368767145318413</v>
          </cell>
          <cell r="F419">
            <v>0.12079792672857369</v>
          </cell>
        </row>
        <row r="420">
          <cell r="A420" t="str">
            <v>T_B_u-ICEDSLEXT</v>
          </cell>
          <cell r="B420" t="str">
            <v>VAR_fin</v>
          </cell>
          <cell r="C420" t="str">
            <v>TDSL</v>
          </cell>
          <cell r="D420">
            <v>1.7323535843650411E-2</v>
          </cell>
          <cell r="E420">
            <v>1.7309620658331071E-2</v>
          </cell>
          <cell r="F420">
            <v>1.7205303809380557E-2</v>
          </cell>
        </row>
        <row r="421">
          <cell r="A421" t="str">
            <v>T_B_u-ICEDSLEXT</v>
          </cell>
          <cell r="B421" t="str">
            <v>VAR_cap</v>
          </cell>
          <cell r="C421" t="str">
            <v>-</v>
          </cell>
          <cell r="D421">
            <v>4.5678362175525303E-3</v>
          </cell>
          <cell r="E421">
            <v>3.6542689740420198E-3</v>
          </cell>
          <cell r="F421">
            <v>2.2763662538506273E-3</v>
          </cell>
        </row>
        <row r="422">
          <cell r="A422" t="str">
            <v>D-T-ELC-LGV</v>
          </cell>
          <cell r="B422" t="str">
            <v>VAR_fout</v>
          </cell>
          <cell r="C422" t="str">
            <v>T-ELC-LGV_BatSTGin</v>
          </cell>
          <cell r="D422">
            <v>3.405786841405966E-2</v>
          </cell>
          <cell r="E422">
            <v>0.13019098473622553</v>
          </cell>
          <cell r="F422">
            <v>0.18881669904428633</v>
          </cell>
          <cell r="G422">
            <v>2.9074355069144273</v>
          </cell>
        </row>
        <row r="423">
          <cell r="A423" t="str">
            <v>D-T-ELC-LGV</v>
          </cell>
          <cell r="B423" t="str">
            <v>VAR_fin</v>
          </cell>
          <cell r="C423" t="str">
            <v>TELC</v>
          </cell>
          <cell r="D423">
            <v>3.405786841405966E-2</v>
          </cell>
          <cell r="E423">
            <v>0.13019098473622553</v>
          </cell>
          <cell r="F423">
            <v>0.18881669904428633</v>
          </cell>
          <cell r="G423">
            <v>2.9074355069144273</v>
          </cell>
        </row>
        <row r="424">
          <cell r="A424" t="str">
            <v>D-T-ELC-LGV</v>
          </cell>
          <cell r="B424" t="str">
            <v>VAR_ncap</v>
          </cell>
          <cell r="C424" t="str">
            <v>-</v>
          </cell>
          <cell r="D424">
            <v>5.8779593473253598E-3</v>
          </cell>
          <cell r="E424">
            <v>8.5087022225088203E-3</v>
          </cell>
          <cell r="F424">
            <v>6.3187486934449203E-3</v>
          </cell>
          <cell r="G424">
            <v>0.28935206539456498</v>
          </cell>
        </row>
        <row r="425">
          <cell r="A425" t="str">
            <v>D-T-ELC-LGV</v>
          </cell>
          <cell r="B425" t="str">
            <v>VAR_cap</v>
          </cell>
          <cell r="C425" t="str">
            <v>-</v>
          </cell>
          <cell r="D425">
            <v>5.8779593473253598E-3</v>
          </cell>
          <cell r="E425">
            <v>1.4386661569834199E-2</v>
          </cell>
          <cell r="F425">
            <v>2.07054102632791E-2</v>
          </cell>
          <cell r="G425">
            <v>0.30735303594940799</v>
          </cell>
        </row>
        <row r="426">
          <cell r="A426" t="str">
            <v>T_B_c-FCLH2O-S1</v>
          </cell>
          <cell r="B426" t="str">
            <v>VAR_fout</v>
          </cell>
          <cell r="C426" t="str">
            <v>TPBSc</v>
          </cell>
          <cell r="G426">
            <v>1.4168661287990444E-5</v>
          </cell>
        </row>
        <row r="427">
          <cell r="A427" t="str">
            <v>T_B_c-FCLH2O-S1</v>
          </cell>
          <cell r="B427" t="str">
            <v>VAR_fin</v>
          </cell>
          <cell r="C427" t="str">
            <v>TH2O</v>
          </cell>
          <cell r="G427">
            <v>6.0446052890327579E-5</v>
          </cell>
        </row>
        <row r="428">
          <cell r="A428" t="str">
            <v>T_B_c-FCLH2O-S1</v>
          </cell>
          <cell r="B428" t="str">
            <v>VAR_ncap</v>
          </cell>
          <cell r="C428" t="str">
            <v>-</v>
          </cell>
          <cell r="G428">
            <v>2.43526506189573E-7</v>
          </cell>
        </row>
        <row r="429">
          <cell r="A429" t="str">
            <v>T_B_c-FCLH2O-S1</v>
          </cell>
          <cell r="B429" t="str">
            <v>VAR_cap</v>
          </cell>
          <cell r="C429" t="str">
            <v>-</v>
          </cell>
          <cell r="G429">
            <v>2.43526506189573E-7</v>
          </cell>
        </row>
        <row r="430">
          <cell r="A430" t="str">
            <v>T_B_c-FCLH2O-S2</v>
          </cell>
          <cell r="B430" t="str">
            <v>VAR_fout</v>
          </cell>
          <cell r="C430" t="str">
            <v>TPBSc</v>
          </cell>
          <cell r="G430">
            <v>1.6419162599396305E-5</v>
          </cell>
        </row>
        <row r="431">
          <cell r="A431" t="str">
            <v>T_B_c-FCLH2O-S2</v>
          </cell>
          <cell r="B431" t="str">
            <v>VAR_fin</v>
          </cell>
          <cell r="C431" t="str">
            <v>TH2O</v>
          </cell>
          <cell r="G431">
            <v>9.7096484599356865E-5</v>
          </cell>
        </row>
        <row r="432">
          <cell r="A432" t="str">
            <v>T_B_c-FCLH2O-S2</v>
          </cell>
          <cell r="B432" t="str">
            <v>VAR_ncap</v>
          </cell>
          <cell r="C432" t="str">
            <v>-</v>
          </cell>
          <cell r="G432">
            <v>2.9779102615912502E-7</v>
          </cell>
        </row>
        <row r="433">
          <cell r="A433" t="str">
            <v>T_B_c-FCLH2O-S2</v>
          </cell>
          <cell r="B433" t="str">
            <v>VAR_cap</v>
          </cell>
          <cell r="C433" t="str">
            <v>-</v>
          </cell>
          <cell r="G433">
            <v>2.9779102615912502E-7</v>
          </cell>
        </row>
        <row r="434">
          <cell r="A434" t="str">
            <v>T_B_c-FCLH2O-S3</v>
          </cell>
          <cell r="B434" t="str">
            <v>VAR_fout</v>
          </cell>
          <cell r="C434" t="str">
            <v>TPBSc</v>
          </cell>
          <cell r="G434">
            <v>2.200343920537126E-5</v>
          </cell>
        </row>
        <row r="435">
          <cell r="A435" t="str">
            <v>T_B_c-FCLH2O-S3</v>
          </cell>
          <cell r="B435" t="str">
            <v>VAR_fin</v>
          </cell>
          <cell r="C435" t="str">
            <v>TH2O</v>
          </cell>
          <cell r="G435">
            <v>1.9453410076949448E-4</v>
          </cell>
        </row>
        <row r="436">
          <cell r="A436" t="str">
            <v>T_B_c-FCLH2O-S3</v>
          </cell>
          <cell r="B436" t="str">
            <v>VAR_ncap</v>
          </cell>
          <cell r="C436" t="str">
            <v>-</v>
          </cell>
          <cell r="G436">
            <v>4.4828274458532702E-7</v>
          </cell>
        </row>
        <row r="437">
          <cell r="A437" t="str">
            <v>T_B_c-FCLH2O-S3</v>
          </cell>
          <cell r="B437" t="str">
            <v>VAR_cap</v>
          </cell>
          <cell r="C437" t="str">
            <v>-</v>
          </cell>
          <cell r="G437">
            <v>4.4828274458532702E-7</v>
          </cell>
        </row>
        <row r="438">
          <cell r="A438" t="str">
            <v>T_C-HYBGSLEXT</v>
          </cell>
          <cell r="B438" t="str">
            <v>VAR_fout</v>
          </cell>
          <cell r="C438" t="str">
            <v>CO2_T</v>
          </cell>
          <cell r="D438">
            <v>92.556053785637005</v>
          </cell>
          <cell r="E438">
            <v>91.725909116649802</v>
          </cell>
          <cell r="F438">
            <v>68.259732407313805</v>
          </cell>
          <cell r="G438">
            <v>32.3939979993592</v>
          </cell>
        </row>
        <row r="439">
          <cell r="A439" t="str">
            <v>T_C-HYBGSLEXT</v>
          </cell>
          <cell r="B439" t="str">
            <v>VAR_fout</v>
          </cell>
          <cell r="C439" t="str">
            <v>TPCAR</v>
          </cell>
          <cell r="D439">
            <v>0.61929198768433291</v>
          </cell>
          <cell r="E439">
            <v>0.62770377326903859</v>
          </cell>
          <cell r="F439">
            <v>0.48270868795202665</v>
          </cell>
          <cell r="G439">
            <v>0.24140975407941773</v>
          </cell>
        </row>
        <row r="440">
          <cell r="A440" t="str">
            <v>T_C-HYBGSLEXT</v>
          </cell>
          <cell r="B440" t="str">
            <v>VAR_fin</v>
          </cell>
          <cell r="C440" t="str">
            <v>TGSL</v>
          </cell>
          <cell r="D440">
            <v>1.2541470702660853</v>
          </cell>
          <cell r="E440">
            <v>1.2428984975155788</v>
          </cell>
          <cell r="F440">
            <v>0.92492862340533555</v>
          </cell>
          <cell r="G440">
            <v>0.43894306232193969</v>
          </cell>
        </row>
        <row r="441">
          <cell r="A441" t="str">
            <v>T_C-HYBGSLEXT</v>
          </cell>
          <cell r="B441" t="str">
            <v>VAR_cap</v>
          </cell>
          <cell r="C441" t="str">
            <v>-</v>
          </cell>
          <cell r="D441">
            <v>6.5841999999999998E-2</v>
          </cell>
          <cell r="E441">
            <v>5.7063066666666697E-2</v>
          </cell>
          <cell r="F441">
            <v>4.3891675459153422E-2</v>
          </cell>
          <cell r="G441">
            <v>2.1946877235544528E-2</v>
          </cell>
        </row>
        <row r="442">
          <cell r="A442" t="str">
            <v>T_B_c-FCLH2O-S4</v>
          </cell>
          <cell r="B442" t="str">
            <v>VAR_fout</v>
          </cell>
          <cell r="C442" t="str">
            <v>TPBSc</v>
          </cell>
          <cell r="G442">
            <v>8.4713349947946357E-6</v>
          </cell>
        </row>
        <row r="443">
          <cell r="A443" t="str">
            <v>T_B_c-FCLH2O-S4</v>
          </cell>
          <cell r="B443" t="str">
            <v>VAR_fin</v>
          </cell>
          <cell r="C443" t="str">
            <v>TH2O</v>
          </cell>
          <cell r="G443">
            <v>1.1161671792113741E-4</v>
          </cell>
        </row>
        <row r="444">
          <cell r="A444" t="str">
            <v>T_B_c-FCLH2O-S4</v>
          </cell>
          <cell r="B444" t="str">
            <v>VAR_ncap</v>
          </cell>
          <cell r="C444" t="str">
            <v>-</v>
          </cell>
          <cell r="G444">
            <v>1.26009690725132E-7</v>
          </cell>
        </row>
        <row r="445">
          <cell r="A445" t="str">
            <v>T_B_c-FCLH2O-S4</v>
          </cell>
          <cell r="B445" t="str">
            <v>VAR_cap</v>
          </cell>
          <cell r="C445" t="str">
            <v>-</v>
          </cell>
          <cell r="G445">
            <v>1.26009690725132E-7</v>
          </cell>
        </row>
        <row r="446">
          <cell r="A446" t="str">
            <v>TPAVDKEREXT</v>
          </cell>
          <cell r="B446" t="str">
            <v>VAR_fout</v>
          </cell>
          <cell r="C446" t="str">
            <v>CO2_T</v>
          </cell>
          <cell r="D446">
            <v>79.576349423418094</v>
          </cell>
          <cell r="E446">
            <v>100.796237247683</v>
          </cell>
          <cell r="F446">
            <v>132.626068984081</v>
          </cell>
          <cell r="G446">
            <v>185.675788544743</v>
          </cell>
        </row>
        <row r="447">
          <cell r="A447" t="str">
            <v>TPAVDKEREXT</v>
          </cell>
          <cell r="B447" t="str">
            <v>VAR_fout</v>
          </cell>
          <cell r="C447" t="str">
            <v>TPAVD</v>
          </cell>
          <cell r="D447">
            <v>1.0930817228491501</v>
          </cell>
          <cell r="E447">
            <v>1.3845636984571901</v>
          </cell>
          <cell r="F447">
            <v>1.82178666186924</v>
          </cell>
          <cell r="G447">
            <v>2.5504916008893299</v>
          </cell>
        </row>
        <row r="448">
          <cell r="A448" t="str">
            <v>TPAVDKEREXT</v>
          </cell>
          <cell r="B448" t="str">
            <v>VAR_fin</v>
          </cell>
          <cell r="C448" t="str">
            <v>TKER</v>
          </cell>
          <cell r="D448">
            <v>1.0930817228491501</v>
          </cell>
          <cell r="E448">
            <v>1.3845636984571901</v>
          </cell>
          <cell r="F448">
            <v>1.82178666186924</v>
          </cell>
          <cell r="G448">
            <v>2.5504916008893299</v>
          </cell>
        </row>
        <row r="449">
          <cell r="A449" t="str">
            <v>TPAVDKEREXT</v>
          </cell>
          <cell r="B449" t="str">
            <v>VAR_ncap</v>
          </cell>
          <cell r="C449" t="str">
            <v>-</v>
          </cell>
          <cell r="D449">
            <v>2.5504850457166199</v>
          </cell>
          <cell r="E449">
            <v>3.2886293375569502</v>
          </cell>
          <cell r="F449">
            <v>2.5425051677860599</v>
          </cell>
          <cell r="G449">
            <v>2.6814690875734701</v>
          </cell>
        </row>
        <row r="450">
          <cell r="A450" t="str">
            <v>TPAVDKEREXT</v>
          </cell>
          <cell r="B450" t="str">
            <v>VAR_cap</v>
          </cell>
          <cell r="C450" t="str">
            <v>-</v>
          </cell>
          <cell r="D450">
            <v>3.64356676856577</v>
          </cell>
          <cell r="E450">
            <v>6.9321961061227197</v>
          </cell>
          <cell r="F450">
            <v>6.9242402039158009</v>
          </cell>
          <cell r="G450">
            <v>7.1106264196314601</v>
          </cell>
        </row>
        <row r="451">
          <cell r="A451" t="str">
            <v>T_C-ICE-GSL-S1</v>
          </cell>
          <cell r="B451" t="str">
            <v>VAR_fout</v>
          </cell>
          <cell r="C451" t="str">
            <v>CO2_T</v>
          </cell>
          <cell r="D451">
            <v>26.12483910510224</v>
          </cell>
          <cell r="E451">
            <v>43.791252335697102</v>
          </cell>
          <cell r="F451">
            <v>98.429377925854851</v>
          </cell>
          <cell r="G451">
            <v>83.69578791211805</v>
          </cell>
        </row>
        <row r="452">
          <cell r="A452" t="str">
            <v>T_C-ICE-GSL-S1</v>
          </cell>
          <cell r="B452" t="str">
            <v>VAR_fout</v>
          </cell>
          <cell r="C452" t="str">
            <v>TPCAR</v>
          </cell>
          <cell r="D452">
            <v>0.2414795429084732</v>
          </cell>
          <cell r="E452">
            <v>0.39832977147202486</v>
          </cell>
          <cell r="F452">
            <v>0.82922209280675696</v>
          </cell>
          <cell r="G452">
            <v>0.70461294150453324</v>
          </cell>
        </row>
        <row r="453">
          <cell r="A453" t="str">
            <v>T_C-ICE-GSL-S1</v>
          </cell>
          <cell r="B453" t="str">
            <v>VAR_fin</v>
          </cell>
          <cell r="C453" t="str">
            <v>TGSL</v>
          </cell>
          <cell r="D453">
            <v>0.35399510982523313</v>
          </cell>
          <cell r="E453">
            <v>0.593377402922726</v>
          </cell>
          <cell r="F453">
            <v>1.3337314082094138</v>
          </cell>
          <cell r="G453">
            <v>1.1340892671018696</v>
          </cell>
        </row>
        <row r="454">
          <cell r="A454" t="str">
            <v>T_C-ICE-GSL-S1</v>
          </cell>
          <cell r="B454" t="str">
            <v>VAR_ncap</v>
          </cell>
          <cell r="C454" t="str">
            <v>-</v>
          </cell>
          <cell r="E454">
            <v>3.0464857768769298E-3</v>
          </cell>
          <cell r="F454">
            <v>8.48281752601735E-2</v>
          </cell>
          <cell r="G454">
            <v>6.0685793614459601E-4</v>
          </cell>
        </row>
        <row r="455">
          <cell r="A455" t="str">
            <v>T_C-ICE-GSL-S1</v>
          </cell>
          <cell r="B455" t="str">
            <v>VAR_cap</v>
          </cell>
          <cell r="C455" t="str">
            <v>-</v>
          </cell>
          <cell r="D455">
            <v>3.6490627745920649E-2</v>
          </cell>
          <cell r="E455">
            <v>4.2724068188990112E-2</v>
          </cell>
          <cell r="F455">
            <v>0.12580638795372376</v>
          </cell>
          <cell r="G455">
            <v>0.10651032311906861</v>
          </cell>
        </row>
        <row r="456">
          <cell r="A456" t="str">
            <v>V2G</v>
          </cell>
          <cell r="B456" t="str">
            <v>VAR_fout</v>
          </cell>
          <cell r="C456" t="str">
            <v>ELC35</v>
          </cell>
          <cell r="G456">
            <v>0.33398412994859022</v>
          </cell>
        </row>
        <row r="457">
          <cell r="A457" t="str">
            <v>V2G</v>
          </cell>
          <cell r="B457" t="str">
            <v>VAR_fin</v>
          </cell>
          <cell r="C457" t="str">
            <v>T-ELC-Bus_c_BatSTGout_S1</v>
          </cell>
          <cell r="G457">
            <v>5.3602866127695718E-3</v>
          </cell>
        </row>
        <row r="458">
          <cell r="A458" t="str">
            <v>V2G</v>
          </cell>
          <cell r="B458" t="str">
            <v>VAR_fin</v>
          </cell>
          <cell r="C458" t="str">
            <v>T-ELC-Bus_c_BatSTGout_S2</v>
          </cell>
          <cell r="G458">
            <v>5.8897202003707454E-3</v>
          </cell>
        </row>
        <row r="459">
          <cell r="A459" t="str">
            <v>V2G</v>
          </cell>
          <cell r="B459" t="str">
            <v>VAR_fin</v>
          </cell>
          <cell r="C459" t="str">
            <v>T-ELC-Bus_c_BatSTGout_S3</v>
          </cell>
          <cell r="G459">
            <v>3.9071031133796731E-3</v>
          </cell>
        </row>
        <row r="460">
          <cell r="A460" t="str">
            <v>V2G</v>
          </cell>
          <cell r="B460" t="str">
            <v>VAR_fin</v>
          </cell>
          <cell r="C460" t="str">
            <v>T-ELC-Bus_c_BatSTGout_S4</v>
          </cell>
          <cell r="G460">
            <v>3.1386465613616056E-4</v>
          </cell>
        </row>
        <row r="461">
          <cell r="A461" t="str">
            <v>V2G</v>
          </cell>
          <cell r="B461" t="str">
            <v>VAR_fin</v>
          </cell>
          <cell r="C461" t="str">
            <v>T-ELC-car-BatSTGOut_S1</v>
          </cell>
          <cell r="G461">
            <v>2.9630255323443901E-2</v>
          </cell>
        </row>
        <row r="462">
          <cell r="A462" t="str">
            <v>V2G</v>
          </cell>
          <cell r="B462" t="str">
            <v>VAR_fin</v>
          </cell>
          <cell r="C462" t="str">
            <v>T-ELC-car-BatSTGOut_S2</v>
          </cell>
          <cell r="G462">
            <v>1.553689952724714E-2</v>
          </cell>
        </row>
        <row r="463">
          <cell r="A463" t="str">
            <v>V2G</v>
          </cell>
          <cell r="B463" t="str">
            <v>VAR_fin</v>
          </cell>
          <cell r="C463" t="str">
            <v>T-ELC-car-BatSTGOut_S3</v>
          </cell>
          <cell r="G463">
            <v>1.8345551839801195E-2</v>
          </cell>
        </row>
        <row r="464">
          <cell r="A464" t="str">
            <v>V2G</v>
          </cell>
          <cell r="B464" t="str">
            <v>VAR_fin</v>
          </cell>
          <cell r="C464" t="str">
            <v>T-ELC-car-BatSTGOut_S4</v>
          </cell>
          <cell r="G464">
            <v>1.3580642891104257E-2</v>
          </cell>
        </row>
        <row r="465">
          <cell r="A465" t="str">
            <v>V2G</v>
          </cell>
          <cell r="B465" t="str">
            <v>VAR_fin</v>
          </cell>
          <cell r="C465" t="str">
            <v>T-ELC-car-PlgSTGOut_S1</v>
          </cell>
          <cell r="G465">
            <v>1.6656985557266919E-2</v>
          </cell>
        </row>
        <row r="466">
          <cell r="A466" t="str">
            <v>V2G</v>
          </cell>
          <cell r="B466" t="str">
            <v>VAR_fin</v>
          </cell>
          <cell r="C466" t="str">
            <v>T-ELC-car-PlgSTGOut_S2</v>
          </cell>
          <cell r="G466">
            <v>7.9802061584521855E-3</v>
          </cell>
        </row>
        <row r="467">
          <cell r="A467" t="str">
            <v>V2G</v>
          </cell>
          <cell r="B467" t="str">
            <v>VAR_fin</v>
          </cell>
          <cell r="C467" t="str">
            <v>T-ELC-car-PlgSTGOut_S3</v>
          </cell>
          <cell r="G467">
            <v>1.2393493091106373E-2</v>
          </cell>
        </row>
        <row r="468">
          <cell r="A468" t="str">
            <v>V2G</v>
          </cell>
          <cell r="B468" t="str">
            <v>VAR_fin</v>
          </cell>
          <cell r="C468" t="str">
            <v>T-ELC-TWSTGout_S1</v>
          </cell>
          <cell r="G468">
            <v>2.4366208336898877E-2</v>
          </cell>
        </row>
        <row r="469">
          <cell r="A469" t="str">
            <v>V2G</v>
          </cell>
          <cell r="B469" t="str">
            <v>VAR_fin</v>
          </cell>
          <cell r="C469" t="str">
            <v>T-ELC-car-PlgSTGOut_S4</v>
          </cell>
          <cell r="G469">
            <v>4.955939579320277E-3</v>
          </cell>
        </row>
        <row r="470">
          <cell r="A470" t="str">
            <v>V2G</v>
          </cell>
          <cell r="B470" t="str">
            <v>VAR_fin</v>
          </cell>
          <cell r="C470" t="str">
            <v>T-ELC-TWSTGout_S2</v>
          </cell>
          <cell r="G470">
            <v>3.8529338781174899E-2</v>
          </cell>
        </row>
        <row r="471">
          <cell r="A471" t="str">
            <v>V2G</v>
          </cell>
          <cell r="B471" t="str">
            <v>VAR_fin</v>
          </cell>
          <cell r="C471" t="str">
            <v>T-ELC-TWSTGout_S3</v>
          </cell>
          <cell r="G471">
            <v>4.4210748439268074E-2</v>
          </cell>
        </row>
        <row r="472">
          <cell r="A472" t="str">
            <v>V2G</v>
          </cell>
          <cell r="B472" t="str">
            <v>VAR_fin</v>
          </cell>
          <cell r="C472" t="str">
            <v>T-ELC-TWSTGout_S4</v>
          </cell>
          <cell r="G472">
            <v>4.4236925766140314E-2</v>
          </cell>
        </row>
        <row r="473">
          <cell r="A473" t="str">
            <v>V2G</v>
          </cell>
          <cell r="B473" t="str">
            <v>VAR_fin</v>
          </cell>
          <cell r="C473" t="str">
            <v>T-ELC-Bus_u_BatSTGout_S1</v>
          </cell>
          <cell r="G473">
            <v>5.554519345295536E-3</v>
          </cell>
        </row>
        <row r="474">
          <cell r="A474" t="str">
            <v>V2G</v>
          </cell>
          <cell r="B474" t="str">
            <v>VAR_fin</v>
          </cell>
          <cell r="C474" t="str">
            <v>T-ELC-Bus_u_BatSTGout_S2</v>
          </cell>
          <cell r="G474">
            <v>4.6917842242124265E-3</v>
          </cell>
        </row>
        <row r="475">
          <cell r="A475" t="str">
            <v>V2G</v>
          </cell>
          <cell r="B475" t="str">
            <v>VAR_fin</v>
          </cell>
          <cell r="C475" t="str">
            <v>T-ELC-Bus_u_BatSTGout_S3</v>
          </cell>
          <cell r="G475">
            <v>1.8898175329798838E-3</v>
          </cell>
        </row>
        <row r="476">
          <cell r="A476" t="str">
            <v>V2G</v>
          </cell>
          <cell r="B476" t="str">
            <v>VAR_fin</v>
          </cell>
          <cell r="C476" t="str">
            <v>T-ELC-Bus_u_BatSTGout_S4</v>
          </cell>
          <cell r="G476">
            <v>2.5668248014014887E-3</v>
          </cell>
        </row>
        <row r="477">
          <cell r="A477" t="str">
            <v>V2G</v>
          </cell>
          <cell r="B477" t="str">
            <v>VAR_fin</v>
          </cell>
          <cell r="C477" t="str">
            <v>T-ELC-LGV_BatSTGout</v>
          </cell>
          <cell r="G477">
            <v>1.5848750095060937E-2</v>
          </cell>
        </row>
        <row r="478">
          <cell r="A478" t="str">
            <v>V2G</v>
          </cell>
          <cell r="B478" t="str">
            <v>VAR_fin</v>
          </cell>
          <cell r="C478" t="str">
            <v>T-ELC-HGV_BatSTGout</v>
          </cell>
          <cell r="G478">
            <v>1.9643835486026356E-2</v>
          </cell>
        </row>
        <row r="479">
          <cell r="A479" t="str">
            <v>V2G</v>
          </cell>
          <cell r="B479" t="str">
            <v>VAR_ncap</v>
          </cell>
          <cell r="C479" t="str">
            <v>-</v>
          </cell>
          <cell r="G479">
            <v>0.104299787365392</v>
          </cell>
        </row>
        <row r="480">
          <cell r="A480" t="str">
            <v>V2G</v>
          </cell>
          <cell r="B480" t="str">
            <v>VAR_cap</v>
          </cell>
          <cell r="C480" t="str">
            <v>-</v>
          </cell>
          <cell r="G480">
            <v>0.104299787365392</v>
          </cell>
        </row>
        <row r="481">
          <cell r="A481" t="str">
            <v>TPSHPELCEXT</v>
          </cell>
          <cell r="B481" t="str">
            <v>VAR_fout</v>
          </cell>
          <cell r="C481" t="str">
            <v>TPSHP</v>
          </cell>
          <cell r="E481">
            <v>8.9447672425363403E-2</v>
          </cell>
          <cell r="F481">
            <v>0.17018554365903499</v>
          </cell>
          <cell r="G481">
            <v>2.9555630628087002</v>
          </cell>
        </row>
        <row r="482">
          <cell r="A482" t="str">
            <v>TPSHPELCEXT</v>
          </cell>
          <cell r="B482" t="str">
            <v>VAR_fin</v>
          </cell>
          <cell r="C482" t="str">
            <v>TELC</v>
          </cell>
          <cell r="E482">
            <v>3.6251920101909453E-2</v>
          </cell>
          <cell r="F482">
            <v>6.897387672524781E-2</v>
          </cell>
          <cell r="G482">
            <v>1.1978493470414102</v>
          </cell>
        </row>
        <row r="483">
          <cell r="A483" t="str">
            <v>TPSHPELCEXT</v>
          </cell>
          <cell r="B483" t="str">
            <v>VAR_ncap</v>
          </cell>
          <cell r="C483" t="str">
            <v>-</v>
          </cell>
          <cell r="D483">
            <v>9.0644580291340406E-5</v>
          </cell>
          <cell r="E483">
            <v>8.94148666771266E-2</v>
          </cell>
          <cell r="F483">
            <v>8.0719534535065404E-2</v>
          </cell>
          <cell r="G483">
            <v>2.7851877889769199</v>
          </cell>
        </row>
        <row r="484">
          <cell r="A484" t="str">
            <v>TPSHPELCEXT</v>
          </cell>
          <cell r="B484" t="str">
            <v>VAR_cap</v>
          </cell>
          <cell r="C484" t="str">
            <v>-</v>
          </cell>
          <cell r="D484">
            <v>9.0644580291340406E-5</v>
          </cell>
          <cell r="E484">
            <v>8.9505511257418E-2</v>
          </cell>
          <cell r="F484">
            <v>0.17020430782541573</v>
          </cell>
          <cell r="G484">
            <v>2.95535645169603</v>
          </cell>
        </row>
        <row r="485">
          <cell r="A485" t="str">
            <v>TFLGV-ICEGSL</v>
          </cell>
          <cell r="B485" t="str">
            <v>VAR_fout</v>
          </cell>
          <cell r="C485" t="str">
            <v>CO2_T</v>
          </cell>
          <cell r="D485">
            <v>22.947561675901468</v>
          </cell>
          <cell r="E485">
            <v>54.943244819941455</v>
          </cell>
          <cell r="F485">
            <v>72.137473187449928</v>
          </cell>
          <cell r="G485">
            <v>111.1980541716658</v>
          </cell>
        </row>
        <row r="486">
          <cell r="A486" t="str">
            <v>TFLGV-ICEGSL</v>
          </cell>
          <cell r="B486" t="str">
            <v>VAR_fout</v>
          </cell>
          <cell r="C486" t="str">
            <v>TFLGV</v>
          </cell>
          <cell r="D486">
            <v>0.10921223831108169</v>
          </cell>
          <cell r="E486">
            <v>0.26148637626981458</v>
          </cell>
          <cell r="F486">
            <v>0.34331729985850745</v>
          </cell>
          <cell r="G486">
            <v>0.52921476204933138</v>
          </cell>
        </row>
        <row r="487">
          <cell r="A487" t="str">
            <v>TFLGV-ICEGSL</v>
          </cell>
          <cell r="B487" t="str">
            <v>VAR_fin</v>
          </cell>
          <cell r="C487" t="str">
            <v>TGSL</v>
          </cell>
          <cell r="D487">
            <v>0.31094257013416571</v>
          </cell>
          <cell r="E487">
            <v>0.74448841219432871</v>
          </cell>
          <cell r="F487">
            <v>0.97747253641531073</v>
          </cell>
          <cell r="G487">
            <v>1.506748701513088</v>
          </cell>
        </row>
        <row r="488">
          <cell r="A488" t="str">
            <v>TFLGV-ICEGSL</v>
          </cell>
          <cell r="B488" t="str">
            <v>VAR_ncap</v>
          </cell>
          <cell r="C488" t="str">
            <v>-</v>
          </cell>
          <cell r="E488">
            <v>5.8825364516143803E-3</v>
          </cell>
          <cell r="F488">
            <v>1.2623609637119001E-2</v>
          </cell>
          <cell r="G488">
            <v>2.7594327152662902E-2</v>
          </cell>
        </row>
        <row r="489">
          <cell r="A489" t="str">
            <v>TFLGV-ICEGSL</v>
          </cell>
          <cell r="B489" t="str">
            <v>VAR_cap</v>
          </cell>
          <cell r="C489" t="str">
            <v>-</v>
          </cell>
          <cell r="D489">
            <v>1.083443030167933E-2</v>
          </cell>
          <cell r="E489">
            <v>1.8407539373753751E-2</v>
          </cell>
          <cell r="F489">
            <v>3.1034308501779691E-2</v>
          </cell>
          <cell r="G489">
            <v>5.253394696171497E-2</v>
          </cell>
        </row>
        <row r="490">
          <cell r="A490" t="str">
            <v>T_C-ICE-GSL-S2</v>
          </cell>
          <cell r="B490" t="str">
            <v>VAR_fout</v>
          </cell>
          <cell r="C490" t="str">
            <v>CO2_T</v>
          </cell>
          <cell r="D490">
            <v>252.8305676103414</v>
          </cell>
          <cell r="E490">
            <v>392.53532249593826</v>
          </cell>
          <cell r="F490">
            <v>437.96411115372973</v>
          </cell>
          <cell r="G490">
            <v>349.71177961065416</v>
          </cell>
        </row>
        <row r="491">
          <cell r="A491" t="str">
            <v>T_C-ICE-GSL-S2</v>
          </cell>
          <cell r="B491" t="str">
            <v>VAR_fout</v>
          </cell>
          <cell r="C491" t="str">
            <v>TPCAR</v>
          </cell>
          <cell r="D491">
            <v>2.0620696764592474</v>
          </cell>
          <cell r="E491">
            <v>3.2151015741944118</v>
          </cell>
          <cell r="F491">
            <v>3.5525871148069186</v>
          </cell>
          <cell r="G491">
            <v>2.8522683683930317</v>
          </cell>
        </row>
        <row r="492">
          <cell r="A492" t="str">
            <v>T_C-ICE-GSL-S2</v>
          </cell>
          <cell r="B492" t="str">
            <v>VAR_fin</v>
          </cell>
          <cell r="C492" t="str">
            <v>TGSL</v>
          </cell>
          <cell r="D492">
            <v>3.4258884500046296</v>
          </cell>
          <cell r="E492">
            <v>5.3189068088880536</v>
          </cell>
          <cell r="F492">
            <v>5.9344730508635477</v>
          </cell>
          <cell r="G492">
            <v>4.7386420001443739</v>
          </cell>
        </row>
        <row r="493">
          <cell r="A493" t="str">
            <v>T_C-ICE-GSL-S2</v>
          </cell>
          <cell r="B493" t="str">
            <v>VAR_ncap</v>
          </cell>
          <cell r="C493" t="str">
            <v>-</v>
          </cell>
          <cell r="E493">
            <v>6.1330812602888504E-4</v>
          </cell>
          <cell r="F493">
            <v>3.0102576980221001E-2</v>
          </cell>
          <cell r="G493">
            <v>2.8656457429568902E-4</v>
          </cell>
        </row>
        <row r="494">
          <cell r="A494" t="str">
            <v>T_C-ICE-GSL-S2</v>
          </cell>
          <cell r="B494" t="str">
            <v>VAR_cap</v>
          </cell>
          <cell r="C494" t="str">
            <v>-</v>
          </cell>
          <cell r="D494">
            <v>0.21737650387413221</v>
          </cell>
          <cell r="E494">
            <v>0.24394087849292206</v>
          </cell>
          <cell r="F494">
            <v>0.27028948245918288</v>
          </cell>
          <cell r="G494">
            <v>0.21645220881217433</v>
          </cell>
        </row>
        <row r="495">
          <cell r="A495" t="str">
            <v>T_C-ICE-DSL-S1</v>
          </cell>
          <cell r="B495" t="str">
            <v>VAR_fout</v>
          </cell>
          <cell r="C495" t="str">
            <v>CO2_T</v>
          </cell>
          <cell r="D495">
            <v>0.37483022668619692</v>
          </cell>
          <cell r="E495">
            <v>1.3725502317487452</v>
          </cell>
          <cell r="F495">
            <v>1.5237323505547193</v>
          </cell>
          <cell r="G495">
            <v>1.5185178970417148</v>
          </cell>
        </row>
        <row r="496">
          <cell r="A496" t="str">
            <v>T_C-ICE-DSL-S1</v>
          </cell>
          <cell r="B496" t="str">
            <v>VAR_fout</v>
          </cell>
          <cell r="C496" t="str">
            <v>TPCAR</v>
          </cell>
          <cell r="D496">
            <v>3.8628922420706588E-3</v>
          </cell>
          <cell r="E496">
            <v>1.670728459130252E-2</v>
          </cell>
          <cell r="F496">
            <v>1.7952640075081051E-2</v>
          </cell>
          <cell r="G496">
            <v>1.7125115728144031E-2</v>
          </cell>
        </row>
        <row r="497">
          <cell r="A497" t="str">
            <v>T_C-ICE-DSL-S1</v>
          </cell>
          <cell r="B497" t="str">
            <v>VAR_fin</v>
          </cell>
          <cell r="C497" t="str">
            <v>TDSL</v>
          </cell>
          <cell r="D497">
            <v>5.113645657383317E-3</v>
          </cell>
          <cell r="E497">
            <v>1.872510548088327E-2</v>
          </cell>
          <cell r="F497">
            <v>2.0787617333625094E-2</v>
          </cell>
          <cell r="G497">
            <v>2.0716478813665961E-2</v>
          </cell>
        </row>
        <row r="498">
          <cell r="A498" t="str">
            <v>T_C-ICE-DSL-S1</v>
          </cell>
          <cell r="B498" t="str">
            <v>VAR_ncap</v>
          </cell>
          <cell r="C498" t="str">
            <v>-</v>
          </cell>
          <cell r="E498">
            <v>1.3694529659707599E-3</v>
          </cell>
          <cell r="F498">
            <v>9.0140500855202799E-4</v>
          </cell>
          <cell r="G498">
            <v>3.1066826950986001E-4</v>
          </cell>
        </row>
        <row r="499">
          <cell r="A499" t="str">
            <v>T_C-ICE-DSL-S1</v>
          </cell>
          <cell r="B499" t="str">
            <v>VAR_cap</v>
          </cell>
          <cell r="C499" t="str">
            <v>-</v>
          </cell>
          <cell r="D499">
            <v>4.4434453544773254E-4</v>
          </cell>
          <cell r="E499">
            <v>1.8238228472858974E-3</v>
          </cell>
          <cell r="F499">
            <v>2.6315798173359717E-3</v>
          </cell>
          <cell r="G499">
            <v>2.4293511691288305E-3</v>
          </cell>
        </row>
        <row r="500">
          <cell r="A500" t="str">
            <v>T_C-ICE-GSL-S3</v>
          </cell>
          <cell r="B500" t="str">
            <v>VAR_fout</v>
          </cell>
          <cell r="C500" t="str">
            <v>CO2_T</v>
          </cell>
          <cell r="D500">
            <v>265.53418536709137</v>
          </cell>
          <cell r="E500">
            <v>425.34222282605191</v>
          </cell>
          <cell r="F500">
            <v>432.73280030182559</v>
          </cell>
          <cell r="G500">
            <v>350.21597632863876</v>
          </cell>
        </row>
        <row r="501">
          <cell r="A501" t="str">
            <v>T_C-ICE-GSL-S3</v>
          </cell>
          <cell r="B501" t="str">
            <v>VAR_fout</v>
          </cell>
          <cell r="C501" t="str">
            <v>TPCAR</v>
          </cell>
          <cell r="D501">
            <v>1.8536275275894587</v>
          </cell>
          <cell r="E501">
            <v>2.9740341713020686</v>
          </cell>
          <cell r="F501">
            <v>3.0191652936503859</v>
          </cell>
          <cell r="G501">
            <v>2.4619557776828818</v>
          </cell>
        </row>
        <row r="502">
          <cell r="A502" t="str">
            <v>T_C-ICE-GSL-S3</v>
          </cell>
          <cell r="B502" t="str">
            <v>VAR_fin</v>
          </cell>
          <cell r="C502" t="str">
            <v>TGSL</v>
          </cell>
          <cell r="D502">
            <v>3.5980241919660059</v>
          </cell>
          <cell r="E502">
            <v>5.7634447537405382</v>
          </cell>
          <cell r="F502">
            <v>5.863588079970528</v>
          </cell>
          <cell r="G502">
            <v>4.7454739339923995</v>
          </cell>
        </row>
        <row r="503">
          <cell r="A503" t="str">
            <v>T_C-ICE-GSL-S3</v>
          </cell>
          <cell r="B503" t="str">
            <v>VAR_ncap</v>
          </cell>
          <cell r="C503" t="str">
            <v>-</v>
          </cell>
          <cell r="E503">
            <v>9.9954810404871697E-4</v>
          </cell>
          <cell r="F503">
            <v>6.5823200721078102E-3</v>
          </cell>
          <cell r="G503">
            <v>2.27282946188675E-4</v>
          </cell>
        </row>
        <row r="504">
          <cell r="A504" t="str">
            <v>T_C-ICE-GSL-S3</v>
          </cell>
          <cell r="B504" t="str">
            <v>VAR_cap</v>
          </cell>
          <cell r="C504" t="str">
            <v>-</v>
          </cell>
          <cell r="D504">
            <v>0.18196604051142468</v>
          </cell>
          <cell r="E504">
            <v>0.20461391320185032</v>
          </cell>
          <cell r="F504">
            <v>0.20794063429645313</v>
          </cell>
          <cell r="G504">
            <v>0.16948670125419235</v>
          </cell>
        </row>
        <row r="505">
          <cell r="A505" t="str">
            <v>T_C-ICE-DSL-S2</v>
          </cell>
          <cell r="B505" t="str">
            <v>VAR_fout</v>
          </cell>
          <cell r="C505" t="str">
            <v>CO2_T</v>
          </cell>
          <cell r="D505">
            <v>68.57667661432356</v>
          </cell>
          <cell r="E505">
            <v>94.455242867457784</v>
          </cell>
          <cell r="F505">
            <v>80.465530030476941</v>
          </cell>
          <cell r="G505">
            <v>62.550269311174603</v>
          </cell>
        </row>
        <row r="506">
          <cell r="A506" t="str">
            <v>T_C-ICE-DSL-S2</v>
          </cell>
          <cell r="B506" t="str">
            <v>VAR_fout</v>
          </cell>
          <cell r="C506" t="str">
            <v>TPCAR</v>
          </cell>
          <cell r="D506">
            <v>0.65903748475449886</v>
          </cell>
          <cell r="E506">
            <v>0.90748083429040671</v>
          </cell>
          <cell r="F506">
            <v>0.80219708408725143</v>
          </cell>
          <cell r="G506">
            <v>0.64706115004486575</v>
          </cell>
        </row>
        <row r="507">
          <cell r="A507" t="str">
            <v>T_C-ICE-DSL-S2</v>
          </cell>
          <cell r="B507" t="str">
            <v>VAR_fin</v>
          </cell>
          <cell r="C507" t="str">
            <v>TDSL</v>
          </cell>
          <cell r="D507">
            <v>0.93556175462924263</v>
          </cell>
          <cell r="E507">
            <v>1.2886117717252081</v>
          </cell>
          <cell r="F507">
            <v>1.0977562077827692</v>
          </cell>
          <cell r="G507">
            <v>0.85334610247168574</v>
          </cell>
        </row>
        <row r="508">
          <cell r="A508" t="str">
            <v>T_C-ICE-DSL-S2</v>
          </cell>
          <cell r="B508" t="str">
            <v>VAR_ncap</v>
          </cell>
          <cell r="C508" t="str">
            <v>-</v>
          </cell>
          <cell r="E508">
            <v>3.6309192882825401E-4</v>
          </cell>
          <cell r="F508">
            <v>5.3598104140850503E-4</v>
          </cell>
          <cell r="G508">
            <v>1.67925467339949E-4</v>
          </cell>
        </row>
        <row r="509">
          <cell r="A509" t="str">
            <v>T_C-ICE-DSL-S2</v>
          </cell>
          <cell r="B509" t="str">
            <v>VAR_cap</v>
          </cell>
          <cell r="C509" t="str">
            <v>-</v>
          </cell>
          <cell r="D509">
            <v>6.4554974894972653E-2</v>
          </cell>
          <cell r="E509">
            <v>6.8857431230479146E-2</v>
          </cell>
          <cell r="F509">
            <v>6.8749746811901741E-2</v>
          </cell>
          <cell r="G509">
            <v>5.2355343712743363E-2</v>
          </cell>
        </row>
        <row r="510">
          <cell r="A510" t="str">
            <v>TPRLPH2OFCL</v>
          </cell>
          <cell r="B510" t="str">
            <v>VAR_fout</v>
          </cell>
          <cell r="C510" t="str">
            <v>TPRLP</v>
          </cell>
        </row>
        <row r="511">
          <cell r="A511" t="str">
            <v>TPRLPH2OFCL</v>
          </cell>
          <cell r="B511" t="str">
            <v>VAR_fin</v>
          </cell>
          <cell r="C511" t="str">
            <v>TH2O</v>
          </cell>
        </row>
        <row r="512">
          <cell r="A512" t="str">
            <v>TPRLPH2OFCL</v>
          </cell>
          <cell r="B512" t="str">
            <v>VAR_ncap</v>
          </cell>
          <cell r="C512" t="str">
            <v>-</v>
          </cell>
        </row>
        <row r="513">
          <cell r="A513" t="str">
            <v>TPRLPH2OFCL</v>
          </cell>
          <cell r="B513" t="str">
            <v>VAR_cap</v>
          </cell>
          <cell r="C513" t="str">
            <v>-</v>
          </cell>
        </row>
        <row r="514">
          <cell r="A514" t="str">
            <v>T_C-ICE-GSL-S4</v>
          </cell>
          <cell r="B514" t="str">
            <v>VAR_fout</v>
          </cell>
          <cell r="C514" t="str">
            <v>CO2_T</v>
          </cell>
          <cell r="D514">
            <v>237.89810636298449</v>
          </cell>
          <cell r="E514">
            <v>388.71624874622523</v>
          </cell>
          <cell r="F514">
            <v>746.18548330442559</v>
          </cell>
          <cell r="G514">
            <v>623.71040915035371</v>
          </cell>
        </row>
        <row r="515">
          <cell r="A515" t="str">
            <v>T_C-ICE-GSL-S4</v>
          </cell>
          <cell r="B515" t="str">
            <v>VAR_fout</v>
          </cell>
          <cell r="C515" t="str">
            <v>TPCAR</v>
          </cell>
          <cell r="D515">
            <v>1.3969638897573464</v>
          </cell>
          <cell r="E515">
            <v>2.2823600066295726</v>
          </cell>
          <cell r="F515">
            <v>4.3873848943075719</v>
          </cell>
          <cell r="G515">
            <v>3.6932789459284985</v>
          </cell>
        </row>
        <row r="516">
          <cell r="A516" t="str">
            <v>T_C-ICE-GSL-S4</v>
          </cell>
          <cell r="B516" t="str">
            <v>VAR_fin</v>
          </cell>
          <cell r="C516" t="str">
            <v>TGSL</v>
          </cell>
          <cell r="D516">
            <v>3.2235515767342031</v>
          </cell>
          <cell r="E516">
            <v>5.2671578420897625</v>
          </cell>
          <cell r="F516">
            <v>10.110914407919049</v>
          </cell>
          <cell r="G516">
            <v>8.4513605575928619</v>
          </cell>
        </row>
        <row r="517">
          <cell r="A517" t="str">
            <v>T_C-ICE-GSL-S4</v>
          </cell>
          <cell r="B517" t="str">
            <v>VAR_ncap</v>
          </cell>
          <cell r="C517" t="str">
            <v>-</v>
          </cell>
          <cell r="E517">
            <v>6.9855124588349895E-4</v>
          </cell>
          <cell r="F517">
            <v>0.171451736459135</v>
          </cell>
          <cell r="G517">
            <v>3.1951245703016403E-4</v>
          </cell>
        </row>
        <row r="518">
          <cell r="A518" t="str">
            <v>T_C-ICE-GSL-S4</v>
          </cell>
          <cell r="B518" t="str">
            <v>VAR_cap</v>
          </cell>
          <cell r="C518" t="str">
            <v>-</v>
          </cell>
          <cell r="D518">
            <v>0.15702371703118254</v>
          </cell>
          <cell r="E518">
            <v>0.17991997422044659</v>
          </cell>
          <cell r="F518">
            <v>0.34617237452715471</v>
          </cell>
          <cell r="G518">
            <v>0.29127573113345617</v>
          </cell>
        </row>
        <row r="519">
          <cell r="A519" t="str">
            <v>T_C-ICE-DSL-S3</v>
          </cell>
          <cell r="B519" t="str">
            <v>VAR_fout</v>
          </cell>
          <cell r="C519" t="str">
            <v>CO2_T</v>
          </cell>
          <cell r="D519">
            <v>295.21853723086258</v>
          </cell>
          <cell r="E519">
            <v>390.78809297073803</v>
          </cell>
          <cell r="F519">
            <v>387.22916076918648</v>
          </cell>
          <cell r="G519">
            <v>296.07135886289245</v>
          </cell>
        </row>
        <row r="520">
          <cell r="A520" t="str">
            <v>T_C-ICE-DSL-S3</v>
          </cell>
          <cell r="B520" t="str">
            <v>VAR_fout</v>
          </cell>
          <cell r="C520" t="str">
            <v>TPCAR</v>
          </cell>
          <cell r="D520">
            <v>2.1530216980394234</v>
          </cell>
          <cell r="E520">
            <v>2.8389965663152728</v>
          </cell>
          <cell r="F520">
            <v>2.8107010649579305</v>
          </cell>
          <cell r="G520">
            <v>2.186212677109538</v>
          </cell>
        </row>
        <row r="521">
          <cell r="A521" t="str">
            <v>T_C-ICE-DSL-S3</v>
          </cell>
          <cell r="B521" t="str">
            <v>VAR_fin</v>
          </cell>
          <cell r="C521" t="str">
            <v>TDSL</v>
          </cell>
          <cell r="D521">
            <v>4.0275380249776651</v>
          </cell>
          <cell r="E521">
            <v>5.3313518822747357</v>
          </cell>
          <cell r="F521">
            <v>5.2827989190884885</v>
          </cell>
          <cell r="G521">
            <v>4.0391726993573265</v>
          </cell>
        </row>
        <row r="522">
          <cell r="A522" t="str">
            <v>T_C-ICE-DSL-S3</v>
          </cell>
          <cell r="B522" t="str">
            <v>VAR_ncap</v>
          </cell>
          <cell r="C522" t="str">
            <v>-</v>
          </cell>
          <cell r="E522">
            <v>3.25554122058093E-4</v>
          </cell>
          <cell r="F522">
            <v>3.7565867712577799E-4</v>
          </cell>
          <cell r="G522">
            <v>1.33004575545041E-4</v>
          </cell>
        </row>
        <row r="523">
          <cell r="A523" t="str">
            <v>T_C-ICE-DSL-S3</v>
          </cell>
          <cell r="B523" t="str">
            <v>VAR_cap</v>
          </cell>
          <cell r="C523" t="str">
            <v>-</v>
          </cell>
          <cell r="D523">
            <v>0.1832273960318711</v>
          </cell>
          <cell r="E523">
            <v>0.19531384666076756</v>
          </cell>
          <cell r="F523">
            <v>0.19363509322040501</v>
          </cell>
          <cell r="G523">
            <v>0.1506125832853325</v>
          </cell>
        </row>
        <row r="524">
          <cell r="A524" t="str">
            <v>T_C-ICE-DSL-S4</v>
          </cell>
          <cell r="B524" t="str">
            <v>VAR_fout</v>
          </cell>
          <cell r="C524" t="str">
            <v>CO2_T</v>
          </cell>
          <cell r="D524">
            <v>141.43646494174243</v>
          </cell>
          <cell r="E524">
            <v>162.01677293865094</v>
          </cell>
          <cell r="F524">
            <v>158.49246882834788</v>
          </cell>
          <cell r="G524">
            <v>113.20084392673149</v>
          </cell>
        </row>
        <row r="525">
          <cell r="A525" t="str">
            <v>T_C-ICE-DSL-S4</v>
          </cell>
          <cell r="B525" t="str">
            <v>VAR_fout</v>
          </cell>
          <cell r="C525" t="str">
            <v>TPCAR</v>
          </cell>
          <cell r="D525">
            <v>0.89923816076204688</v>
          </cell>
          <cell r="E525">
            <v>1.0071737896564095</v>
          </cell>
          <cell r="F525">
            <v>0.98757858935679066</v>
          </cell>
          <cell r="G525">
            <v>0.72518239330981704</v>
          </cell>
        </row>
        <row r="526">
          <cell r="A526" t="str">
            <v>T_C-ICE-DSL-S4</v>
          </cell>
          <cell r="B526" t="str">
            <v>VAR_fin</v>
          </cell>
          <cell r="C526" t="str">
            <v>TDSL</v>
          </cell>
          <cell r="D526">
            <v>1.9295561383593771</v>
          </cell>
          <cell r="E526">
            <v>2.2103243238560788</v>
          </cell>
          <cell r="F526">
            <v>2.1622437766486806</v>
          </cell>
          <cell r="G526">
            <v>1.5443498489322112</v>
          </cell>
        </row>
        <row r="527">
          <cell r="A527" t="str">
            <v>T_C-ICE-DSL-S4</v>
          </cell>
          <cell r="B527" t="str">
            <v>VAR_ncap</v>
          </cell>
          <cell r="C527" t="str">
            <v>-</v>
          </cell>
          <cell r="E527">
            <v>1.4318397899596501E-4</v>
          </cell>
          <cell r="F527">
            <v>2.23456444346219E-4</v>
          </cell>
          <cell r="G527">
            <v>1.21360931307686E-4</v>
          </cell>
        </row>
        <row r="528">
          <cell r="A528" t="str">
            <v>T_C-ICE-DSL-S4</v>
          </cell>
          <cell r="B528" t="str">
            <v>VAR_cap</v>
          </cell>
          <cell r="C528" t="str">
            <v>-</v>
          </cell>
          <cell r="D528">
            <v>7.1260147372555399E-2</v>
          </cell>
          <cell r="E528">
            <v>7.9471854687805557E-2</v>
          </cell>
          <cell r="F528">
            <v>7.8554303440861478E-2</v>
          </cell>
          <cell r="G528">
            <v>6.1464383763062243E-2</v>
          </cell>
        </row>
        <row r="529">
          <cell r="A529" t="str">
            <v>TFLGV-ICENGAExt</v>
          </cell>
          <cell r="B529" t="str">
            <v>VAR_fout</v>
          </cell>
          <cell r="C529" t="str">
            <v>CO2_T</v>
          </cell>
          <cell r="D529">
            <v>5.88847323054725</v>
          </cell>
          <cell r="E529">
            <v>1.8838523326667</v>
          </cell>
          <cell r="F529">
            <v>3.8802355617351298</v>
          </cell>
          <cell r="G529">
            <v>4.7829386770683401E-2</v>
          </cell>
        </row>
        <row r="530">
          <cell r="A530" t="str">
            <v>TFLGV-ICENGAExt</v>
          </cell>
          <cell r="B530" t="str">
            <v>VAR_fout</v>
          </cell>
          <cell r="C530" t="str">
            <v>TFLGV</v>
          </cell>
          <cell r="D530">
            <v>2.89812335640026E-2</v>
          </cell>
          <cell r="E530">
            <v>9.3581480412183535E-3</v>
          </cell>
          <cell r="F530">
            <v>1.9542281273505387E-2</v>
          </cell>
          <cell r="G530">
            <v>2.4088623346207497E-4</v>
          </cell>
        </row>
        <row r="531">
          <cell r="A531" t="str">
            <v>TFLGV-ICENGAExt</v>
          </cell>
          <cell r="B531" t="str">
            <v>VAR_fin</v>
          </cell>
          <cell r="C531" t="str">
            <v>TNGA</v>
          </cell>
          <cell r="D531">
            <v>0.10440555373310725</v>
          </cell>
          <cell r="E531">
            <v>3.3401637104019534E-2</v>
          </cell>
          <cell r="F531">
            <v>6.8798502867644079E-2</v>
          </cell>
          <cell r="G531">
            <v>8.4803877252984745E-4</v>
          </cell>
        </row>
        <row r="532">
          <cell r="A532" t="str">
            <v>TFLGV-ICENGAExt</v>
          </cell>
          <cell r="B532" t="str">
            <v>VAR_cap</v>
          </cell>
          <cell r="C532" t="str">
            <v>-</v>
          </cell>
          <cell r="D532">
            <v>2.085E-3</v>
          </cell>
          <cell r="E532">
            <v>1.807E-3</v>
          </cell>
          <cell r="F532">
            <v>1.3898894444890355E-3</v>
          </cell>
          <cell r="G532">
            <v>2.0980053338668964E-5</v>
          </cell>
        </row>
        <row r="533">
          <cell r="A533" t="str">
            <v>D-TGSL</v>
          </cell>
          <cell r="B533" t="str">
            <v>VAR_fout</v>
          </cell>
          <cell r="C533" t="str">
            <v>CO2</v>
          </cell>
          <cell r="D533">
            <v>5712.4206332185204</v>
          </cell>
          <cell r="E533">
            <v>5582.94396286557</v>
          </cell>
          <cell r="F533">
            <v>5234.5709407476897</v>
          </cell>
          <cell r="G533">
            <v>3031.9167797288701</v>
          </cell>
        </row>
        <row r="534">
          <cell r="A534" t="str">
            <v>D-TGSL</v>
          </cell>
          <cell r="B534" t="str">
            <v>VAR_fout</v>
          </cell>
          <cell r="C534" t="str">
            <v>TGSL</v>
          </cell>
          <cell r="D534">
            <v>80.683179246270697</v>
          </cell>
          <cell r="E534">
            <v>78.855240602993035</v>
          </cell>
          <cell r="F534">
            <v>73.934947977087589</v>
          </cell>
          <cell r="G534">
            <v>44.362179186219919</v>
          </cell>
        </row>
        <row r="535">
          <cell r="A535" t="str">
            <v>D-TGSL</v>
          </cell>
          <cell r="B535" t="str">
            <v>VAR_fin</v>
          </cell>
          <cell r="C535" t="str">
            <v>GSL</v>
          </cell>
          <cell r="D535">
            <v>77.404073620847043</v>
          </cell>
          <cell r="E535">
            <v>75.649647193300396</v>
          </cell>
          <cell r="F535">
            <v>70.929145538586567</v>
          </cell>
          <cell r="G535">
            <v>41.082883194158065</v>
          </cell>
        </row>
        <row r="536">
          <cell r="A536" t="str">
            <v>D-TGSL</v>
          </cell>
          <cell r="B536" t="str">
            <v>VAR_fin</v>
          </cell>
          <cell r="C536" t="str">
            <v>ETH</v>
          </cell>
          <cell r="D536">
            <v>4.4825206606088379</v>
          </cell>
          <cell r="E536">
            <v>4.3817250788126199</v>
          </cell>
          <cell r="F536">
            <v>4.1085644836730637</v>
          </cell>
          <cell r="G536">
            <v>3.9409965619628196</v>
          </cell>
        </row>
        <row r="537">
          <cell r="A537" t="str">
            <v>T_TW-BEVELC-S1</v>
          </cell>
          <cell r="B537" t="str">
            <v>VAR_fout</v>
          </cell>
          <cell r="C537" t="str">
            <v>TPTWL</v>
          </cell>
          <cell r="D537">
            <v>0.54050647797387796</v>
          </cell>
          <cell r="E537">
            <v>0.54862858828878802</v>
          </cell>
          <cell r="F537">
            <v>0.56858514821931994</v>
          </cell>
          <cell r="G537">
            <v>0.46160471045413137</v>
          </cell>
        </row>
        <row r="538">
          <cell r="A538" t="str">
            <v>T_TW-BEVELC-S1</v>
          </cell>
          <cell r="B538" t="str">
            <v>VAR_fin</v>
          </cell>
          <cell r="C538" t="str">
            <v>T-ELC-TWSTGout_S1</v>
          </cell>
          <cell r="D538">
            <v>4.8698984808933032E-2</v>
          </cell>
          <cell r="E538">
            <v>4.942822424041516E-2</v>
          </cell>
          <cell r="F538">
            <v>5.1202594923683543E-2</v>
          </cell>
          <cell r="G538">
            <v>4.1471066085482983E-2</v>
          </cell>
        </row>
        <row r="539">
          <cell r="A539" t="str">
            <v>T_TW-BEVELC-S1</v>
          </cell>
          <cell r="B539" t="str">
            <v>VAR_ncap</v>
          </cell>
          <cell r="C539" t="str">
            <v>-</v>
          </cell>
          <cell r="D539">
            <v>0.180094259008448</v>
          </cell>
          <cell r="E539">
            <v>9.6458167195956595E-4</v>
          </cell>
          <cell r="F539">
            <v>7.3864841605499401E-3</v>
          </cell>
          <cell r="G539">
            <v>1.43592497935815E-2</v>
          </cell>
        </row>
        <row r="540">
          <cell r="A540" t="str">
            <v>T_TW-BEVELC-S1</v>
          </cell>
          <cell r="B540" t="str">
            <v>VAR_cap</v>
          </cell>
          <cell r="C540" t="str">
            <v>-</v>
          </cell>
          <cell r="D540">
            <v>0.18603419698171825</v>
          </cell>
          <cell r="E540">
            <v>0.18890426802042168</v>
          </cell>
          <cell r="F540">
            <v>0.19629898314200939</v>
          </cell>
          <cell r="G540">
            <v>0.15952013323881845</v>
          </cell>
        </row>
        <row r="541">
          <cell r="A541" t="str">
            <v>TPRLPDSLEXT</v>
          </cell>
          <cell r="B541" t="str">
            <v>VAR_ncap</v>
          </cell>
          <cell r="C541" t="str">
            <v>-</v>
          </cell>
        </row>
        <row r="542">
          <cell r="A542" t="str">
            <v>TPRLPDSLEXT</v>
          </cell>
          <cell r="B542" t="str">
            <v>VAR_cap</v>
          </cell>
          <cell r="C542" t="str">
            <v>-</v>
          </cell>
        </row>
        <row r="543">
          <cell r="A543" t="str">
            <v>T_TW-BEVELC-S2</v>
          </cell>
          <cell r="B543" t="str">
            <v>VAR_fout</v>
          </cell>
          <cell r="C543" t="str">
            <v>TPTWL</v>
          </cell>
          <cell r="D543">
            <v>1.3368462598261462E-2</v>
          </cell>
          <cell r="E543">
            <v>1.6397320649146396E-2</v>
          </cell>
          <cell r="F543">
            <v>2.2879655784238711E-2</v>
          </cell>
          <cell r="G543">
            <v>2.836386352908386E-2</v>
          </cell>
        </row>
        <row r="544">
          <cell r="A544" t="str">
            <v>T_TW-BEVELC-S2</v>
          </cell>
          <cell r="B544" t="str">
            <v>VAR_fin</v>
          </cell>
          <cell r="C544" t="str">
            <v>T-ELC-TWSTGout_S2</v>
          </cell>
          <cell r="D544">
            <v>2.1272035600823098E-3</v>
          </cell>
          <cell r="E544">
            <v>2.6067321460687982E-3</v>
          </cell>
          <cell r="F544">
            <v>3.6240512421855504E-3</v>
          </cell>
          <cell r="G544">
            <v>4.4720984879947192E-3</v>
          </cell>
        </row>
        <row r="545">
          <cell r="A545" t="str">
            <v>T_TW-BEVELC-S2</v>
          </cell>
          <cell r="B545" t="str">
            <v>VAR_ncap</v>
          </cell>
          <cell r="C545" t="str">
            <v>-</v>
          </cell>
          <cell r="D545">
            <v>3.82558214827622E-3</v>
          </cell>
          <cell r="E545">
            <v>9.6737047021545495E-4</v>
          </cell>
          <cell r="F545">
            <v>2.5137245435764601E-3</v>
          </cell>
          <cell r="G545">
            <v>2.23097354188577E-3</v>
          </cell>
        </row>
        <row r="546">
          <cell r="A546" t="str">
            <v>T_TW-BEVELC-S2</v>
          </cell>
          <cell r="B546" t="str">
            <v>VAR_cap</v>
          </cell>
          <cell r="C546" t="str">
            <v>-</v>
          </cell>
          <cell r="D546">
            <v>4.6099730760425645E-3</v>
          </cell>
          <cell r="E546">
            <v>5.679342595844389E-3</v>
          </cell>
          <cell r="F546">
            <v>8.1963423239107044E-3</v>
          </cell>
          <cell r="G546">
            <v>1.0260556257166223E-2</v>
          </cell>
        </row>
        <row r="547">
          <cell r="A547" t="str">
            <v>TFRLFH2OFCL</v>
          </cell>
          <cell r="B547" t="str">
            <v>VAR_fout</v>
          </cell>
          <cell r="C547" t="str">
            <v>TFRLF</v>
          </cell>
        </row>
        <row r="548">
          <cell r="A548" t="str">
            <v>TFRLFH2OFCL</v>
          </cell>
          <cell r="B548" t="str">
            <v>VAR_fin</v>
          </cell>
          <cell r="C548" t="str">
            <v>TH2O</v>
          </cell>
        </row>
        <row r="549">
          <cell r="A549" t="str">
            <v>TFRLFH2OFCL</v>
          </cell>
          <cell r="B549" t="str">
            <v>VAR_ncap</v>
          </cell>
          <cell r="C549" t="str">
            <v>-</v>
          </cell>
        </row>
        <row r="550">
          <cell r="A550" t="str">
            <v>TFRLFH2OFCL</v>
          </cell>
          <cell r="B550" t="str">
            <v>VAR_cap</v>
          </cell>
          <cell r="C550" t="str">
            <v>-</v>
          </cell>
        </row>
        <row r="551">
          <cell r="A551" t="str">
            <v>T_TW-BEVELC-S3</v>
          </cell>
          <cell r="B551" t="str">
            <v>VAR_fout</v>
          </cell>
          <cell r="C551" t="str">
            <v>TPTWL</v>
          </cell>
          <cell r="D551">
            <v>4.987863005171427E-3</v>
          </cell>
          <cell r="E551">
            <v>7.1392395998651579E-3</v>
          </cell>
          <cell r="F551">
            <v>1.0034723067299257E-2</v>
          </cell>
          <cell r="G551">
            <v>1.269072375890113E-2</v>
          </cell>
        </row>
        <row r="552">
          <cell r="A552" t="str">
            <v>T_TW-BEVELC-S3</v>
          </cell>
          <cell r="B552" t="str">
            <v>VAR_fin</v>
          </cell>
          <cell r="C552" t="str">
            <v>T-ELC-TWSTGout_S3</v>
          </cell>
          <cell r="D552">
            <v>1.2194836883613141E-3</v>
          </cell>
          <cell r="E552">
            <v>1.7422849811827615E-3</v>
          </cell>
          <cell r="F552">
            <v>2.4387752232390967E-3</v>
          </cell>
          <cell r="G552">
            <v>3.0676981399679732E-3</v>
          </cell>
        </row>
        <row r="553">
          <cell r="A553" t="str">
            <v>T_TW-BEVELC-S3</v>
          </cell>
          <cell r="B553" t="str">
            <v>VAR_ncap</v>
          </cell>
          <cell r="C553" t="str">
            <v>-</v>
          </cell>
          <cell r="D553">
            <v>1.59339225814964E-3</v>
          </cell>
          <cell r="E553">
            <v>7.1739900755961902E-4</v>
          </cell>
          <cell r="F553">
            <v>1.1287920541554401E-3</v>
          </cell>
          <cell r="G553">
            <v>1.04001370918859E-3</v>
          </cell>
        </row>
        <row r="554">
          <cell r="A554" t="str">
            <v>T_TW-BEVELC-S3</v>
          </cell>
          <cell r="B554" t="str">
            <v>VAR_cap</v>
          </cell>
          <cell r="C554" t="str">
            <v>-</v>
          </cell>
          <cell r="D554">
            <v>1.7000557995725076E-3</v>
          </cell>
          <cell r="E554">
            <v>2.461362979750208E-3</v>
          </cell>
          <cell r="F554">
            <v>3.5932172265865504E-3</v>
          </cell>
          <cell r="G554">
            <v>4.6318274019283524E-3</v>
          </cell>
        </row>
        <row r="555">
          <cell r="A555" t="str">
            <v>T_TW-BEVELC-S4</v>
          </cell>
          <cell r="B555" t="str">
            <v>VAR_fout</v>
          </cell>
          <cell r="C555" t="str">
            <v>TPTWL</v>
          </cell>
          <cell r="D555">
            <v>5.5932426169554321E-3</v>
          </cell>
          <cell r="E555">
            <v>7.9911174030597512E-3</v>
          </cell>
          <cell r="F555">
            <v>1.1192345703748951E-2</v>
          </cell>
          <cell r="G555">
            <v>1.3532204363093027E-2</v>
          </cell>
        </row>
        <row r="556">
          <cell r="A556" t="str">
            <v>T_TW-BEVELC-S4</v>
          </cell>
          <cell r="B556" t="str">
            <v>VAR_fin</v>
          </cell>
          <cell r="C556" t="str">
            <v>T-ELC-TWSTGout_S4</v>
          </cell>
          <cell r="D556">
            <v>1.4855679055475442E-3</v>
          </cell>
          <cell r="E556">
            <v>2.1181164856155111E-3</v>
          </cell>
          <cell r="F556">
            <v>2.953124776114585E-3</v>
          </cell>
          <cell r="G556">
            <v>3.5526627192261728E-3</v>
          </cell>
        </row>
        <row r="557">
          <cell r="A557" t="str">
            <v>T_TW-BEVELC-S4</v>
          </cell>
          <cell r="B557" t="str">
            <v>VAR_ncap</v>
          </cell>
          <cell r="C557" t="str">
            <v>-</v>
          </cell>
          <cell r="D557">
            <v>1.8944662417464001E-3</v>
          </cell>
          <cell r="E557">
            <v>8.3046342862318895E-4</v>
          </cell>
          <cell r="F557">
            <v>1.2557903703884501E-3</v>
          </cell>
          <cell r="G557">
            <v>9.43222349566386E-4</v>
          </cell>
        </row>
        <row r="558">
          <cell r="A558" t="str">
            <v>T_TW-BEVELC-S4</v>
          </cell>
          <cell r="B558" t="str">
            <v>VAR_cap</v>
          </cell>
          <cell r="C558" t="str">
            <v>-</v>
          </cell>
          <cell r="D558">
            <v>1.9072016667167585E-3</v>
          </cell>
          <cell r="E558">
            <v>2.7472394102999896E-3</v>
          </cell>
          <cell r="F558">
            <v>4.0053703286024216E-3</v>
          </cell>
          <cell r="G558">
            <v>4.9439910180838964E-3</v>
          </cell>
        </row>
        <row r="559">
          <cell r="A559" t="str">
            <v>T_B_u-BeVELCEXT</v>
          </cell>
          <cell r="B559" t="str">
            <v>VAR_fout</v>
          </cell>
          <cell r="C559" t="str">
            <v>TPBSu</v>
          </cell>
          <cell r="D559">
            <v>2.069699747680074E-3</v>
          </cell>
          <cell r="E559">
            <v>1.7042181035781467E-3</v>
          </cell>
          <cell r="F559">
            <v>1.0609188645374344E-3</v>
          </cell>
        </row>
        <row r="560">
          <cell r="A560" t="str">
            <v>T_B_u-BeVELCEXT</v>
          </cell>
          <cell r="B560" t="str">
            <v>VAR_fin</v>
          </cell>
          <cell r="C560" t="str">
            <v>TELC</v>
          </cell>
          <cell r="D560">
            <v>4.9389053266720774E-4</v>
          </cell>
          <cell r="E560">
            <v>5.0514049158053328E-4</v>
          </cell>
          <cell r="F560">
            <v>4.9380192075901719E-4</v>
          </cell>
        </row>
        <row r="561">
          <cell r="A561" t="str">
            <v>T_B_u-BeVELCEXT</v>
          </cell>
          <cell r="B561" t="str">
            <v>VAR_cap</v>
          </cell>
          <cell r="C561" t="str">
            <v>-</v>
          </cell>
          <cell r="D561">
            <v>3.77895550061805E-5</v>
          </cell>
          <cell r="E561">
            <v>3.02316440049444E-5</v>
          </cell>
          <cell r="F561">
            <v>1.8858695085942666E-5</v>
          </cell>
        </row>
        <row r="562">
          <cell r="A562" t="str">
            <v>T_B_u-HYBDSL-S1</v>
          </cell>
          <cell r="B562" t="str">
            <v>VAR_fout</v>
          </cell>
          <cell r="C562" t="str">
            <v>CO2_T</v>
          </cell>
          <cell r="E562">
            <v>3.1055704091171799</v>
          </cell>
          <cell r="F562">
            <v>3.726566416103851</v>
          </cell>
          <cell r="G562">
            <v>7.8315909230899892E-3</v>
          </cell>
        </row>
        <row r="563">
          <cell r="A563" t="str">
            <v>T_B_u-HYBDSL-S1</v>
          </cell>
          <cell r="B563" t="str">
            <v>VAR_fout</v>
          </cell>
          <cell r="C563" t="str">
            <v>TPBSu</v>
          </cell>
          <cell r="E563">
            <v>6.8853715802157343E-3</v>
          </cell>
          <cell r="F563">
            <v>8.3313308665358826E-3</v>
          </cell>
          <cell r="G563">
            <v>1.8410561254178524E-5</v>
          </cell>
        </row>
        <row r="564">
          <cell r="A564" t="str">
            <v>T_B_u-HYBDSL-S1</v>
          </cell>
          <cell r="B564" t="str">
            <v>VAR_fin</v>
          </cell>
          <cell r="C564" t="str">
            <v>TDSL</v>
          </cell>
          <cell r="E564">
            <v>4.2367945554122557E-2</v>
          </cell>
          <cell r="F564">
            <v>5.0839923821335009E-2</v>
          </cell>
          <cell r="G564">
            <v>1.0684298667244189E-4</v>
          </cell>
        </row>
        <row r="565">
          <cell r="A565" t="str">
            <v>T_B_u-HYBDSL-S1</v>
          </cell>
          <cell r="B565" t="str">
            <v>VAR_ncap</v>
          </cell>
          <cell r="C565" t="str">
            <v>-</v>
          </cell>
          <cell r="E565">
            <v>1.3191418111123499E-4</v>
          </cell>
          <cell r="F565">
            <v>2.8604252524964101E-5</v>
          </cell>
          <cell r="G565">
            <v>1.14051132886682E-7</v>
          </cell>
        </row>
        <row r="566">
          <cell r="A566" t="str">
            <v>T_B_u-HYBDSL-S1</v>
          </cell>
          <cell r="B566" t="str">
            <v>VAR_cap</v>
          </cell>
          <cell r="C566" t="str">
            <v>-</v>
          </cell>
          <cell r="E566">
            <v>1.3191418111123499E-4</v>
          </cell>
          <cell r="F566">
            <v>1.6046641850460245E-4</v>
          </cell>
          <cell r="G566">
            <v>2.9585494390100306E-7</v>
          </cell>
        </row>
        <row r="567">
          <cell r="A567" t="str">
            <v>T_B_u-HYBDSL-S2</v>
          </cell>
          <cell r="B567" t="str">
            <v>VAR_fout</v>
          </cell>
          <cell r="C567" t="str">
            <v>CO2_T</v>
          </cell>
          <cell r="E567">
            <v>0.20753431178179499</v>
          </cell>
          <cell r="F567">
            <v>0.45230932635329602</v>
          </cell>
          <cell r="G567">
            <v>1.414863422235894E-2</v>
          </cell>
        </row>
        <row r="568">
          <cell r="A568" t="str">
            <v>T_B_u-HYBDSL-S2</v>
          </cell>
          <cell r="B568" t="str">
            <v>VAR_fout</v>
          </cell>
          <cell r="C568" t="str">
            <v>TPBSu</v>
          </cell>
          <cell r="E568">
            <v>3.2982931096350827E-4</v>
          </cell>
          <cell r="F568">
            <v>7.3770140373026569E-4</v>
          </cell>
          <cell r="G568">
            <v>2.3993739364750304E-5</v>
          </cell>
        </row>
        <row r="569">
          <cell r="A569" t="str">
            <v>T_B_u-HYBDSL-S2</v>
          </cell>
          <cell r="B569" t="str">
            <v>VAR_fin</v>
          </cell>
          <cell r="C569" t="str">
            <v>TDSL</v>
          </cell>
          <cell r="E569">
            <v>2.8313002971595458E-3</v>
          </cell>
          <cell r="F569">
            <v>6.1706592954065016E-3</v>
          </cell>
          <cell r="G569">
            <v>1.9302365924091347E-4</v>
          </cell>
        </row>
        <row r="570">
          <cell r="A570" t="str">
            <v>T_B_u-HYBDSL-S2</v>
          </cell>
          <cell r="B570" t="str">
            <v>VAR_ncap</v>
          </cell>
          <cell r="C570" t="str">
            <v>-</v>
          </cell>
          <cell r="E570">
            <v>6.47455541168404E-6</v>
          </cell>
          <cell r="F570">
            <v>7.41861028127293E-6</v>
          </cell>
        </row>
        <row r="571">
          <cell r="A571" t="str">
            <v>T_B_u-HYBDSL-S2</v>
          </cell>
          <cell r="B571" t="str">
            <v>VAR_cap</v>
          </cell>
          <cell r="C571" t="str">
            <v>-</v>
          </cell>
          <cell r="E571">
            <v>6.47455541168404E-6</v>
          </cell>
          <cell r="F571">
            <v>1.387098931789076E-5</v>
          </cell>
          <cell r="G571">
            <v>-1.981638668403008E-7</v>
          </cell>
        </row>
        <row r="572">
          <cell r="A572" t="str">
            <v>T_B_u-HYBDSL-S3</v>
          </cell>
          <cell r="B572" t="str">
            <v>VAR_fout</v>
          </cell>
          <cell r="C572" t="str">
            <v>CO2_T</v>
          </cell>
          <cell r="E572">
            <v>0.38496293837481399</v>
          </cell>
          <cell r="F572">
            <v>0.65407807934547002</v>
          </cell>
          <cell r="G572">
            <v>3.7328529399021801E-2</v>
          </cell>
        </row>
        <row r="573">
          <cell r="A573" t="str">
            <v>T_B_u-HYBDSL-S3</v>
          </cell>
          <cell r="B573" t="str">
            <v>VAR_fout</v>
          </cell>
          <cell r="C573" t="str">
            <v>TPBSu</v>
          </cell>
          <cell r="E573">
            <v>4.108853246442473E-4</v>
          </cell>
          <cell r="F573">
            <v>7.1223003643087286E-4</v>
          </cell>
          <cell r="G573">
            <v>4.2756586093244895E-5</v>
          </cell>
        </row>
        <row r="574">
          <cell r="A574" t="str">
            <v>T_B_u-HYBDSL-S3</v>
          </cell>
          <cell r="B574" t="str">
            <v>VAR_fin</v>
          </cell>
          <cell r="C574" t="str">
            <v>TDSL</v>
          </cell>
          <cell r="E574">
            <v>5.2518818332171081E-3</v>
          </cell>
          <cell r="F574">
            <v>8.9233025831578581E-3</v>
          </cell>
          <cell r="G574">
            <v>5.0925688129633997E-4</v>
          </cell>
        </row>
        <row r="575">
          <cell r="A575" t="str">
            <v>T_B_u-HYBDSL-S3</v>
          </cell>
          <cell r="B575" t="str">
            <v>VAR_ncap</v>
          </cell>
          <cell r="C575" t="str">
            <v>-</v>
          </cell>
          <cell r="E575">
            <v>7.5765616300968696E-6</v>
          </cell>
          <cell r="F575">
            <v>5.1677034530114504E-6</v>
          </cell>
        </row>
        <row r="576">
          <cell r="A576" t="str">
            <v>T_B_u-HYBDSL-S3</v>
          </cell>
          <cell r="B576" t="str">
            <v>VAR_cap</v>
          </cell>
          <cell r="C576" t="str">
            <v>-</v>
          </cell>
          <cell r="E576">
            <v>7.5765616300968696E-6</v>
          </cell>
          <cell r="F576">
            <v>1.27223908605143E-5</v>
          </cell>
          <cell r="G576">
            <v>-3.3946612765426131E-7</v>
          </cell>
        </row>
        <row r="577">
          <cell r="A577" t="str">
            <v>T_C-HY-GSL-S1</v>
          </cell>
          <cell r="B577" t="str">
            <v>VAR_fout</v>
          </cell>
          <cell r="C577" t="str">
            <v>CO2_T</v>
          </cell>
          <cell r="D577">
            <v>2.5507105651720612</v>
          </cell>
          <cell r="E577">
            <v>5.0553019093407485</v>
          </cell>
          <cell r="F577">
            <v>3.9607967592563544</v>
          </cell>
          <cell r="G577">
            <v>3.7180504720302556</v>
          </cell>
        </row>
        <row r="578">
          <cell r="A578" t="str">
            <v>T_C-HY-GSL-S1</v>
          </cell>
          <cell r="B578" t="str">
            <v>VAR_fout</v>
          </cell>
          <cell r="C578" t="str">
            <v>TPCAR</v>
          </cell>
          <cell r="D578">
            <v>3.9544245761628724E-2</v>
          </cell>
          <cell r="E578">
            <v>8.2418655385234726E-2</v>
          </cell>
          <cell r="F578">
            <v>6.4090624872980534E-2</v>
          </cell>
          <cell r="G578">
            <v>6.0292476359118212E-2</v>
          </cell>
        </row>
        <row r="579">
          <cell r="A579" t="str">
            <v>T_C-HY-GSL-S1</v>
          </cell>
          <cell r="B579" t="str">
            <v>VAR_fin</v>
          </cell>
          <cell r="C579" t="str">
            <v>TGSL</v>
          </cell>
          <cell r="D579">
            <v>3.4562473782819222E-2</v>
          </cell>
          <cell r="E579">
            <v>6.8500025871825715E-2</v>
          </cell>
          <cell r="F579">
            <v>5.3669332781251342E-2</v>
          </cell>
          <cell r="G579">
            <v>5.0380087696886809E-2</v>
          </cell>
        </row>
        <row r="580">
          <cell r="A580" t="str">
            <v>T_C-HY-GSL-S1</v>
          </cell>
          <cell r="B580" t="str">
            <v>VAR_ncap</v>
          </cell>
          <cell r="C580" t="str">
            <v>-</v>
          </cell>
          <cell r="E580">
            <v>2.3833149741230701E-3</v>
          </cell>
          <cell r="F580">
            <v>9.2715329699438395E-4</v>
          </cell>
          <cell r="G580">
            <v>7.3091935535186795E-4</v>
          </cell>
        </row>
        <row r="581">
          <cell r="A581" t="str">
            <v>T_C-HY-GSL-S1</v>
          </cell>
          <cell r="B581" t="str">
            <v>VAR_cap</v>
          </cell>
          <cell r="C581" t="str">
            <v>-</v>
          </cell>
          <cell r="D581">
            <v>5.6529398338992396E-3</v>
          </cell>
          <cell r="E581">
            <v>8.9057936238722511E-3</v>
          </cell>
          <cell r="F581">
            <v>9.5786345144476814E-3</v>
          </cell>
          <cell r="G581">
            <v>8.4073590357524822E-3</v>
          </cell>
        </row>
        <row r="582">
          <cell r="A582" t="str">
            <v>T_B_u-HYBDSL-S4</v>
          </cell>
          <cell r="B582" t="str">
            <v>VAR_fout</v>
          </cell>
          <cell r="C582" t="str">
            <v>CO2_T</v>
          </cell>
          <cell r="E582">
            <v>3.2601310840496202E-2</v>
          </cell>
          <cell r="F582">
            <v>6.6536969565303097E-2</v>
          </cell>
          <cell r="G582">
            <v>3.0146236350770218E-2</v>
          </cell>
        </row>
        <row r="583">
          <cell r="A583" t="str">
            <v>T_B_u-HYBDSL-S4</v>
          </cell>
          <cell r="B583" t="str">
            <v>VAR_fout</v>
          </cell>
          <cell r="C583" t="str">
            <v>TPBSu</v>
          </cell>
          <cell r="E583">
            <v>2.3462020289192208E-5</v>
          </cell>
          <cell r="F583">
            <v>4.9018131399460307E-5</v>
          </cell>
          <cell r="G583">
            <v>2.3209544856457946E-5</v>
          </cell>
        </row>
        <row r="584">
          <cell r="A584" t="str">
            <v>T_B_u-HYBDSL-S4</v>
          </cell>
          <cell r="B584" t="str">
            <v>VAR_fin</v>
          </cell>
          <cell r="C584" t="str">
            <v>TDSL</v>
          </cell>
          <cell r="E584">
            <v>4.4476549577757423E-4</v>
          </cell>
          <cell r="F584">
            <v>9.0773491903551413E-4</v>
          </cell>
          <cell r="G584">
            <v>4.1127198295730155E-4</v>
          </cell>
        </row>
        <row r="585">
          <cell r="A585" t="str">
            <v>T_B_u-HYBDSL-S4</v>
          </cell>
          <cell r="B585" t="str">
            <v>VAR_ncap</v>
          </cell>
          <cell r="C585" t="str">
            <v>-</v>
          </cell>
          <cell r="E585">
            <v>2.53157270638397E-7</v>
          </cell>
          <cell r="F585">
            <v>2.4084892996343901E-7</v>
          </cell>
        </row>
        <row r="586">
          <cell r="A586" t="str">
            <v>T_B_u-HYBDSL-S4</v>
          </cell>
          <cell r="B586" t="str">
            <v>VAR_cap</v>
          </cell>
          <cell r="C586" t="str">
            <v>-</v>
          </cell>
          <cell r="E586">
            <v>2.53157270638397E-7</v>
          </cell>
          <cell r="F586">
            <v>4.8198977011186399E-7</v>
          </cell>
          <cell r="G586">
            <v>-1.6412702206230099E-7</v>
          </cell>
        </row>
        <row r="587">
          <cell r="A587" t="str">
            <v>TFRLFDSLEXT</v>
          </cell>
          <cell r="B587" t="str">
            <v>VAR_fout</v>
          </cell>
          <cell r="C587" t="str">
            <v>CO2_T</v>
          </cell>
          <cell r="D587">
            <v>29.026716115673601</v>
          </cell>
          <cell r="E587">
            <v>20.483210323469301</v>
          </cell>
          <cell r="F587">
            <v>0.85506496382361696</v>
          </cell>
          <cell r="G587">
            <v>0.36886879476187701</v>
          </cell>
        </row>
        <row r="588">
          <cell r="A588" t="str">
            <v>TFRLFDSLEXT</v>
          </cell>
          <cell r="B588" t="str">
            <v>VAR_fout</v>
          </cell>
          <cell r="C588" t="str">
            <v>TFRLF</v>
          </cell>
          <cell r="D588">
            <v>1.6050126208400108E-3</v>
          </cell>
          <cell r="E588">
            <v>1.1326052507447326E-3</v>
          </cell>
          <cell r="F588">
            <v>4.7280238422628891E-5</v>
          </cell>
          <cell r="G588">
            <v>2.0396350336963259E-5</v>
          </cell>
        </row>
        <row r="589">
          <cell r="A589" t="str">
            <v>TFRLFDSLEXT</v>
          </cell>
          <cell r="B589" t="str">
            <v>VAR_fin</v>
          </cell>
          <cell r="C589" t="str">
            <v>TDSL</v>
          </cell>
          <cell r="D589">
            <v>0.3959988556026412</v>
          </cell>
          <cell r="E589">
            <v>0.27944352419467</v>
          </cell>
          <cell r="F589">
            <v>1.1665279179039792E-2</v>
          </cell>
          <cell r="G589">
            <v>5.0323164360419762E-3</v>
          </cell>
        </row>
        <row r="590">
          <cell r="A590" t="str">
            <v>TFRLFDSLEXT</v>
          </cell>
          <cell r="B590" t="str">
            <v>VAR_ncap</v>
          </cell>
          <cell r="C590" t="str">
            <v>-</v>
          </cell>
          <cell r="D590">
            <v>1.4836280647518099E-4</v>
          </cell>
          <cell r="F590">
            <v>1.42368381599936E-8</v>
          </cell>
          <cell r="G590">
            <v>1.0216946359665099E-8</v>
          </cell>
        </row>
        <row r="591">
          <cell r="A591" t="str">
            <v>TFRLFDSLEXT</v>
          </cell>
          <cell r="B591" t="str">
            <v>VAR_cap</v>
          </cell>
          <cell r="C591" t="str">
            <v>-</v>
          </cell>
          <cell r="D591">
            <v>1.4836280647518099E-4</v>
          </cell>
          <cell r="E591">
            <v>1.4836280647518099E-4</v>
          </cell>
          <cell r="F591">
            <v>5.0354009549819932E-6</v>
          </cell>
          <cell r="G591">
            <v>2.2984668611770206E-6</v>
          </cell>
        </row>
        <row r="592">
          <cell r="A592" t="str">
            <v>T_C-HY-GSL-S2</v>
          </cell>
          <cell r="B592" t="str">
            <v>VAR_fout</v>
          </cell>
          <cell r="C592" t="str">
            <v>CO2_T</v>
          </cell>
          <cell r="D592">
            <v>7.8758017260258635</v>
          </cell>
          <cell r="E592">
            <v>19.319706839918503</v>
          </cell>
          <cell r="F592">
            <v>67.02440692353872</v>
          </cell>
          <cell r="G592">
            <v>58.411773174246413</v>
          </cell>
        </row>
        <row r="593">
          <cell r="A593" t="str">
            <v>T_C-HY-GSL-S2</v>
          </cell>
          <cell r="B593" t="str">
            <v>VAR_fout</v>
          </cell>
          <cell r="C593" t="str">
            <v>TPCAR</v>
          </cell>
          <cell r="D593">
            <v>0.16550641813199138</v>
          </cell>
          <cell r="E593">
            <v>0.53291916501859804</v>
          </cell>
          <cell r="F593">
            <v>1.742719215255895</v>
          </cell>
          <cell r="G593">
            <v>1.5086315959482244</v>
          </cell>
        </row>
        <row r="594">
          <cell r="A594" t="str">
            <v>T_C-HY-GSL-S2</v>
          </cell>
          <cell r="B594" t="str">
            <v>VAR_fin</v>
          </cell>
          <cell r="C594" t="str">
            <v>TGSL</v>
          </cell>
          <cell r="D594">
            <v>0.10671818056945617</v>
          </cell>
          <cell r="E594">
            <v>0.26178464552735076</v>
          </cell>
          <cell r="F594">
            <v>0.90818979571190506</v>
          </cell>
          <cell r="G594">
            <v>0.79148744138545257</v>
          </cell>
        </row>
        <row r="595">
          <cell r="A595" t="str">
            <v>T_C-HY-GSL-S2</v>
          </cell>
          <cell r="B595" t="str">
            <v>VAR_ncap</v>
          </cell>
          <cell r="C595" t="str">
            <v>-</v>
          </cell>
          <cell r="E595">
            <v>1.13593949905006E-2</v>
          </cell>
          <cell r="F595">
            <v>9.5849985893788903E-2</v>
          </cell>
          <cell r="G595">
            <v>3.72120971133918E-4</v>
          </cell>
        </row>
        <row r="596">
          <cell r="A596" t="str">
            <v>T_C-HY-GSL-S2</v>
          </cell>
          <cell r="B596" t="str">
            <v>VAR_cap</v>
          </cell>
          <cell r="C596" t="str">
            <v>-</v>
          </cell>
          <cell r="D596">
            <v>1.720754687688909E-2</v>
          </cell>
          <cell r="E596">
            <v>4.0433744970812875E-2</v>
          </cell>
          <cell r="F596">
            <v>0.13328677054715315</v>
          </cell>
          <cell r="G596">
            <v>0.11448043222342066</v>
          </cell>
        </row>
        <row r="597">
          <cell r="A597" t="str">
            <v>TPSHPNGAEXT</v>
          </cell>
          <cell r="B597" t="str">
            <v>VAR_ncap</v>
          </cell>
          <cell r="C597" t="str">
            <v>-</v>
          </cell>
          <cell r="D597">
            <v>5.5567259617384799E-5</v>
          </cell>
          <cell r="E597">
            <v>6.3094694859177293E-5</v>
          </cell>
          <cell r="F597">
            <v>1.03514998842754E-4</v>
          </cell>
          <cell r="G597">
            <v>1.01710940981763E-4</v>
          </cell>
        </row>
        <row r="598">
          <cell r="A598" t="str">
            <v>TPSHPNGAEXT</v>
          </cell>
          <cell r="B598" t="str">
            <v>VAR_cap</v>
          </cell>
          <cell r="C598" t="str">
            <v>-</v>
          </cell>
          <cell r="D598">
            <v>5.5567259617384799E-5</v>
          </cell>
          <cell r="E598">
            <v>1.18661954476562E-4</v>
          </cell>
          <cell r="F598">
            <v>1.7072772869948061E-4</v>
          </cell>
          <cell r="G598">
            <v>1.8268821392430202E-4</v>
          </cell>
        </row>
        <row r="599">
          <cell r="A599" t="str">
            <v>T_C-HY-DSL-S1</v>
          </cell>
          <cell r="B599" t="str">
            <v>VAR_fout</v>
          </cell>
          <cell r="C599" t="str">
            <v>CO2_T</v>
          </cell>
          <cell r="D599">
            <v>4.2154000266483001E-3</v>
          </cell>
          <cell r="E599">
            <v>8.2744164300961209</v>
          </cell>
          <cell r="F599">
            <v>5.8854333316666994</v>
          </cell>
          <cell r="G599">
            <v>5.0410692915509312</v>
          </cell>
        </row>
        <row r="600">
          <cell r="A600" t="str">
            <v>T_C-HY-DSL-S1</v>
          </cell>
          <cell r="B600" t="str">
            <v>VAR_fout</v>
          </cell>
          <cell r="C600" t="str">
            <v>TPCAR</v>
          </cell>
          <cell r="D600">
            <v>2.4052576622640294E-5</v>
          </cell>
          <cell r="E600">
            <v>0.19158837462913669</v>
          </cell>
          <cell r="F600">
            <v>0.13462212038638466</v>
          </cell>
          <cell r="G600">
            <v>0.11232532080670031</v>
          </cell>
        </row>
        <row r="601">
          <cell r="A601" t="str">
            <v>T_C-HY-DSL-S1</v>
          </cell>
          <cell r="B601" t="str">
            <v>VAR_fin</v>
          </cell>
          <cell r="C601" t="str">
            <v>TDSL</v>
          </cell>
          <cell r="D601">
            <v>5.7508868030672554E-5</v>
          </cell>
          <cell r="E601">
            <v>0.11288426234783268</v>
          </cell>
          <cell r="F601">
            <v>8.0292405616189652E-2</v>
          </cell>
          <cell r="G601">
            <v>6.8773114482277367E-2</v>
          </cell>
        </row>
        <row r="602">
          <cell r="A602" t="str">
            <v>T_C-HY-DSL-S1</v>
          </cell>
          <cell r="B602" t="str">
            <v>VAR_ncap</v>
          </cell>
          <cell r="C602" t="str">
            <v>-</v>
          </cell>
          <cell r="E602">
            <v>2.0746585813158001E-2</v>
          </cell>
          <cell r="F602">
            <v>1.1131631263202599E-3</v>
          </cell>
          <cell r="G602">
            <v>4.6467117786008403E-4</v>
          </cell>
        </row>
        <row r="603">
          <cell r="A603" t="str">
            <v>T_C-HY-DSL-S1</v>
          </cell>
          <cell r="B603" t="str">
            <v>VAR_cap</v>
          </cell>
          <cell r="C603" t="str">
            <v>-</v>
          </cell>
          <cell r="D603">
            <v>1.5868161048817774E-6</v>
          </cell>
          <cell r="E603">
            <v>2.0471962697990294E-2</v>
          </cell>
          <cell r="F603">
            <v>2.0397043819107511E-2</v>
          </cell>
          <cell r="G603">
            <v>1.6899937006441632E-2</v>
          </cell>
        </row>
        <row r="604">
          <cell r="A604" t="str">
            <v>T_C-HY-GSL-S3</v>
          </cell>
          <cell r="B604" t="str">
            <v>VAR_fout</v>
          </cell>
          <cell r="C604" t="str">
            <v>CO2_T</v>
          </cell>
          <cell r="D604">
            <v>5.7849252459188012</v>
          </cell>
          <cell r="E604">
            <v>82.522951586854902</v>
          </cell>
          <cell r="F604">
            <v>78.447837244217652</v>
          </cell>
          <cell r="G604">
            <v>63.079183031480177</v>
          </cell>
        </row>
        <row r="605">
          <cell r="A605" t="str">
            <v>T_C-HY-GSL-S3</v>
          </cell>
          <cell r="B605" t="str">
            <v>VAR_fout</v>
          </cell>
          <cell r="C605" t="str">
            <v>TPCAR</v>
          </cell>
          <cell r="D605">
            <v>0.14797513335128124</v>
          </cell>
          <cell r="E605">
            <v>2.78530886254278</v>
          </cell>
          <cell r="F605">
            <v>2.6413605861523264</v>
          </cell>
          <cell r="G605">
            <v>2.1318686565833258</v>
          </cell>
        </row>
        <row r="606">
          <cell r="A606" t="str">
            <v>T_C-HY-GSL-S3</v>
          </cell>
          <cell r="B606" t="str">
            <v>VAR_fin</v>
          </cell>
          <cell r="C606" t="str">
            <v>TGSL</v>
          </cell>
          <cell r="D606">
            <v>7.838652094740918E-2</v>
          </cell>
          <cell r="E606">
            <v>1.1181971759736442</v>
          </cell>
          <cell r="F606">
            <v>1.0629788244473974</v>
          </cell>
          <cell r="G606">
            <v>0.85473147739132882</v>
          </cell>
        </row>
        <row r="607">
          <cell r="A607" t="str">
            <v>T_C-HY-GSL-S3</v>
          </cell>
          <cell r="B607" t="str">
            <v>VAR_ncap</v>
          </cell>
          <cell r="C607" t="str">
            <v>-</v>
          </cell>
          <cell r="E607">
            <v>0.16785958398616299</v>
          </cell>
          <cell r="F607">
            <v>8.6175424882739104E-4</v>
          </cell>
          <cell r="G607">
            <v>1.8014931930327501E-4</v>
          </cell>
        </row>
        <row r="608">
          <cell r="A608" t="str">
            <v>T_C-HY-GSL-S3</v>
          </cell>
          <cell r="B608" t="str">
            <v>VAR_cap</v>
          </cell>
          <cell r="C608" t="str">
            <v>-</v>
          </cell>
          <cell r="D608">
            <v>1.423208466707343E-2</v>
          </cell>
          <cell r="E608">
            <v>0.19155586333955948</v>
          </cell>
          <cell r="F608">
            <v>0.18184761788133594</v>
          </cell>
          <cell r="G608">
            <v>0.14665913670261366</v>
          </cell>
        </row>
        <row r="609">
          <cell r="A609" t="str">
            <v>T_C-HY-DSL-S2</v>
          </cell>
          <cell r="B609" t="str">
            <v>VAR_fout</v>
          </cell>
          <cell r="C609" t="str">
            <v>CO2_T</v>
          </cell>
          <cell r="D609">
            <v>0.19512465421411845</v>
          </cell>
          <cell r="E609">
            <v>39.946027433318356</v>
          </cell>
          <cell r="F609">
            <v>94.579730406588453</v>
          </cell>
          <cell r="G609">
            <v>80.581238116321757</v>
          </cell>
        </row>
        <row r="610">
          <cell r="A610" t="str">
            <v>T_C-HY-DSL-S2</v>
          </cell>
          <cell r="B610" t="str">
            <v>VAR_fout</v>
          </cell>
          <cell r="C610" t="str">
            <v>TPCAR</v>
          </cell>
          <cell r="D610">
            <v>3.2122077293299865E-3</v>
          </cell>
          <cell r="E610">
            <v>1.4605929767174555</v>
          </cell>
          <cell r="F610">
            <v>2.8937981857775195</v>
          </cell>
          <cell r="G610">
            <v>2.4421622802251126</v>
          </cell>
        </row>
        <row r="611">
          <cell r="A611" t="str">
            <v>T_C-HY-DSL-S2</v>
          </cell>
          <cell r="B611" t="str">
            <v>VAR_fin</v>
          </cell>
          <cell r="C611" t="str">
            <v>TDSL</v>
          </cell>
          <cell r="D611">
            <v>2.6620007396196323E-3</v>
          </cell>
          <cell r="E611">
            <v>0.54496626784881763</v>
          </cell>
          <cell r="F611">
            <v>1.290310101044863</v>
          </cell>
          <cell r="G611">
            <v>1.0993347628420445</v>
          </cell>
        </row>
        <row r="612">
          <cell r="A612" t="str">
            <v>T_C-HY-DSL-S2</v>
          </cell>
          <cell r="B612" t="str">
            <v>VAR_ncap</v>
          </cell>
          <cell r="C612" t="str">
            <v>-</v>
          </cell>
          <cell r="E612">
            <v>0.11178766367062599</v>
          </cell>
          <cell r="F612">
            <v>0.116658268884131</v>
          </cell>
          <cell r="G612">
            <v>2.5666565112760501E-4</v>
          </cell>
        </row>
        <row r="613">
          <cell r="A613" t="str">
            <v>T_C-HY-DSL-S2</v>
          </cell>
          <cell r="B613" t="str">
            <v>VAR_cap</v>
          </cell>
          <cell r="C613" t="str">
            <v>-</v>
          </cell>
          <cell r="D613">
            <v>2.5959187828813481E-4</v>
          </cell>
          <cell r="E613">
            <v>0.11081972724901266</v>
          </cell>
          <cell r="F613">
            <v>0.21958416158331898</v>
          </cell>
          <cell r="G613">
            <v>0.18531878662019735</v>
          </cell>
        </row>
        <row r="614">
          <cell r="A614" t="str">
            <v>D-T-ELC-Bus_c_S1</v>
          </cell>
          <cell r="B614" t="str">
            <v>VAR_fout</v>
          </cell>
          <cell r="C614" t="str">
            <v>T-ELC-Bus_c_BatSTGin_S1</v>
          </cell>
          <cell r="D614">
            <v>6.8482051459098771E-4</v>
          </cell>
          <cell r="E614">
            <v>4.8682230371956577E-3</v>
          </cell>
          <cell r="F614">
            <v>8.9874180997952594E-3</v>
          </cell>
          <cell r="G614">
            <v>0.14980736947095355</v>
          </cell>
        </row>
        <row r="615">
          <cell r="A615" t="str">
            <v>D-T-ELC-Bus_c_S1</v>
          </cell>
          <cell r="B615" t="str">
            <v>VAR_fin</v>
          </cell>
          <cell r="C615" t="str">
            <v>TELC</v>
          </cell>
          <cell r="D615">
            <v>6.8482051459098771E-4</v>
          </cell>
          <cell r="E615">
            <v>4.8682230371956577E-3</v>
          </cell>
          <cell r="F615">
            <v>8.9874180997952594E-3</v>
          </cell>
          <cell r="G615">
            <v>0.14980736947095355</v>
          </cell>
        </row>
        <row r="616">
          <cell r="A616" t="str">
            <v>D-T-ELC-Bus_c_S1</v>
          </cell>
          <cell r="B616" t="str">
            <v>VAR_ncap</v>
          </cell>
          <cell r="C616" t="str">
            <v>-</v>
          </cell>
          <cell r="D616">
            <v>3.33952640756795E-4</v>
          </cell>
          <cell r="E616">
            <v>4.39280055729071E-4</v>
          </cell>
          <cell r="F616">
            <v>8.0921261236049295E-4</v>
          </cell>
          <cell r="G616">
            <v>1.6976547707801201E-2</v>
          </cell>
        </row>
        <row r="617">
          <cell r="A617" t="str">
            <v>D-T-ELC-Bus_c_S1</v>
          </cell>
          <cell r="B617" t="str">
            <v>VAR_cap</v>
          </cell>
          <cell r="C617" t="str">
            <v>-</v>
          </cell>
          <cell r="D617">
            <v>3.33952640756795E-4</v>
          </cell>
          <cell r="E617">
            <v>7.7323269648586605E-4</v>
          </cell>
          <cell r="F617">
            <v>1.58244530884636E-3</v>
          </cell>
          <cell r="G617">
            <v>1.8411189840546901E-2</v>
          </cell>
        </row>
        <row r="618">
          <cell r="A618" t="str">
            <v>T_C-HY-GSL-S4</v>
          </cell>
          <cell r="B618" t="str">
            <v>VAR_fout</v>
          </cell>
          <cell r="C618" t="str">
            <v>CO2_T</v>
          </cell>
          <cell r="D618">
            <v>4.9511879048838736</v>
          </cell>
          <cell r="E618">
            <v>10.765871482885698</v>
          </cell>
          <cell r="F618">
            <v>10.659353892153838</v>
          </cell>
          <cell r="G618">
            <v>9.2609936373240966</v>
          </cell>
        </row>
        <row r="619">
          <cell r="A619" t="str">
            <v>T_C-HY-GSL-S4</v>
          </cell>
          <cell r="B619" t="str">
            <v>VAR_fout</v>
          </cell>
          <cell r="C619" t="str">
            <v>TPCAR</v>
          </cell>
          <cell r="D619">
            <v>7.5599923996085908E-2</v>
          </cell>
          <cell r="E619">
            <v>0.19799424185682285</v>
          </cell>
          <cell r="F619">
            <v>0.19545508836373904</v>
          </cell>
          <cell r="G619">
            <v>0.16798418529458203</v>
          </cell>
        </row>
        <row r="620">
          <cell r="A620" t="str">
            <v>T_C-HY-GSL-S4</v>
          </cell>
          <cell r="B620" t="str">
            <v>VAR_fin</v>
          </cell>
          <cell r="C620" t="str">
            <v>TGSL</v>
          </cell>
          <cell r="D620">
            <v>6.7089267003846625E-2</v>
          </cell>
          <cell r="E620">
            <v>0.14587901738327488</v>
          </cell>
          <cell r="F620">
            <v>0.14443568959558051</v>
          </cell>
          <cell r="G620">
            <v>0.12548771866292832</v>
          </cell>
        </row>
        <row r="621">
          <cell r="A621" t="str">
            <v>T_C-HY-GSL-S4</v>
          </cell>
          <cell r="B621" t="str">
            <v>VAR_ncap</v>
          </cell>
          <cell r="C621" t="str">
            <v>-</v>
          </cell>
          <cell r="E621">
            <v>1.6040739777999199E-3</v>
          </cell>
          <cell r="F621">
            <v>7.4775501056558097E-4</v>
          </cell>
          <cell r="G621">
            <v>2.1851242468750399E-4</v>
          </cell>
        </row>
        <row r="622">
          <cell r="A622" t="str">
            <v>T_C-HY-GSL-S4</v>
          </cell>
          <cell r="B622" t="str">
            <v>VAR_cap</v>
          </cell>
          <cell r="C622" t="str">
            <v>-</v>
          </cell>
          <cell r="D622">
            <v>8.2998524796518564E-3</v>
          </cell>
          <cell r="E622">
            <v>1.565356942997902E-2</v>
          </cell>
          <cell r="F622">
            <v>1.5726862391328832E-2</v>
          </cell>
          <cell r="G622">
            <v>1.3344863982829696E-2</v>
          </cell>
        </row>
        <row r="623">
          <cell r="A623" t="str">
            <v>T_C-HY-DSL-S3</v>
          </cell>
          <cell r="B623" t="str">
            <v>VAR_fout</v>
          </cell>
          <cell r="C623" t="str">
            <v>CO2_T</v>
          </cell>
          <cell r="D623">
            <v>1.9522711923999618</v>
          </cell>
          <cell r="E623">
            <v>4.1191424159658796</v>
          </cell>
          <cell r="F623">
            <v>4.3534937391531878</v>
          </cell>
          <cell r="G623">
            <v>3.5541183038370336</v>
          </cell>
        </row>
        <row r="624">
          <cell r="A624" t="str">
            <v>T_C-HY-DSL-S3</v>
          </cell>
          <cell r="B624" t="str">
            <v>VAR_fout</v>
          </cell>
          <cell r="C624" t="str">
            <v>TPCAR</v>
          </cell>
          <cell r="D624">
            <v>2.3972516648662373E-2</v>
          </cell>
          <cell r="E624">
            <v>7.19368995230103E-2</v>
          </cell>
          <cell r="F624">
            <v>7.5683042431275327E-2</v>
          </cell>
          <cell r="G624">
            <v>6.281361252420474E-2</v>
          </cell>
        </row>
        <row r="625">
          <cell r="A625" t="str">
            <v>T_C-HY-DSL-S3</v>
          </cell>
          <cell r="B625" t="str">
            <v>VAR_fin</v>
          </cell>
          <cell r="C625" t="str">
            <v>TDSL</v>
          </cell>
          <cell r="D625">
            <v>2.6633986253751213E-2</v>
          </cell>
          <cell r="E625">
            <v>5.6195667339234347E-2</v>
          </cell>
          <cell r="F625">
            <v>5.9392820452294506E-2</v>
          </cell>
          <cell r="G625">
            <v>4.8487289274720791E-2</v>
          </cell>
        </row>
        <row r="626">
          <cell r="A626" t="str">
            <v>T_C-HY-DSL-S3</v>
          </cell>
          <cell r="B626" t="str">
            <v>VAR_ncap</v>
          </cell>
          <cell r="C626" t="str">
            <v>-</v>
          </cell>
          <cell r="E626">
            <v>1.31706557345668E-3</v>
          </cell>
          <cell r="F626">
            <v>5.70912914757877E-4</v>
          </cell>
          <cell r="G626">
            <v>1.4206156446066399E-4</v>
          </cell>
        </row>
        <row r="627">
          <cell r="A627" t="str">
            <v>T_C-HY-DSL-S3</v>
          </cell>
          <cell r="B627" t="str">
            <v>VAR_cap</v>
          </cell>
          <cell r="C627" t="str">
            <v>-</v>
          </cell>
          <cell r="D627">
            <v>1.8547760842216104E-3</v>
          </cell>
          <cell r="E627">
            <v>4.9733878861103588E-3</v>
          </cell>
          <cell r="F627">
            <v>5.2857423316731008E-3</v>
          </cell>
          <cell r="G627">
            <v>4.3893387195326405E-3</v>
          </cell>
        </row>
        <row r="628">
          <cell r="A628" t="str">
            <v>D-T-ELC-Bus_c_S2</v>
          </cell>
          <cell r="B628" t="str">
            <v>VAR_fout</v>
          </cell>
          <cell r="C628" t="str">
            <v>T-ELC-Bus_c_BatSTGin_S2</v>
          </cell>
          <cell r="D628">
            <v>1.9454493494821454E-3</v>
          </cell>
          <cell r="E628">
            <v>5.2830230195237632E-3</v>
          </cell>
          <cell r="F628">
            <v>8.0951794046205932E-3</v>
          </cell>
          <cell r="G628">
            <v>0.18316803309782481</v>
          </cell>
        </row>
        <row r="629">
          <cell r="A629" t="str">
            <v>D-T-ELC-Bus_c_S2</v>
          </cell>
          <cell r="B629" t="str">
            <v>VAR_fin</v>
          </cell>
          <cell r="C629" t="str">
            <v>TELC</v>
          </cell>
          <cell r="D629">
            <v>1.9454493494821454E-3</v>
          </cell>
          <cell r="E629">
            <v>5.2830230195237632E-3</v>
          </cell>
          <cell r="F629">
            <v>8.0951794046205932E-3</v>
          </cell>
          <cell r="G629">
            <v>0.18316803309782481</v>
          </cell>
        </row>
        <row r="630">
          <cell r="A630" t="str">
            <v>D-T-ELC-Bus_c_S2</v>
          </cell>
          <cell r="B630" t="str">
            <v>VAR_ncap</v>
          </cell>
          <cell r="C630" t="str">
            <v>-</v>
          </cell>
          <cell r="D630">
            <v>3.6201928586359201E-4</v>
          </cell>
          <cell r="E630">
            <v>3.6637286109147998E-4</v>
          </cell>
          <cell r="F630">
            <v>5.8889725987097197E-4</v>
          </cell>
          <cell r="G630">
            <v>2.1314007469367999E-2</v>
          </cell>
        </row>
        <row r="631">
          <cell r="A631" t="str">
            <v>D-T-ELC-Bus_c_S2</v>
          </cell>
          <cell r="B631" t="str">
            <v>VAR_cap</v>
          </cell>
          <cell r="C631" t="str">
            <v>-</v>
          </cell>
          <cell r="D631">
            <v>3.6201928586359201E-4</v>
          </cell>
          <cell r="E631">
            <v>7.2839214695507096E-4</v>
          </cell>
          <cell r="F631">
            <v>1.31728940682604E-3</v>
          </cell>
          <cell r="G631">
            <v>2.2485623198155901E-2</v>
          </cell>
        </row>
        <row r="632">
          <cell r="A632" t="str">
            <v>T_C-HY-DSL-S4</v>
          </cell>
          <cell r="B632" t="str">
            <v>VAR_fout</v>
          </cell>
          <cell r="C632" t="str">
            <v>CO2_T</v>
          </cell>
          <cell r="D632">
            <v>2.5374087406296995</v>
          </cell>
          <cell r="E632">
            <v>6.2317848109691596</v>
          </cell>
          <cell r="F632">
            <v>6.367453345063204</v>
          </cell>
          <cell r="G632">
            <v>5.4492238230556902</v>
          </cell>
        </row>
        <row r="633">
          <cell r="A633" t="str">
            <v>T_C-HY-DSL-S4</v>
          </cell>
          <cell r="B633" t="str">
            <v>VAR_fout</v>
          </cell>
          <cell r="C633" t="str">
            <v>TPCAR</v>
          </cell>
          <cell r="D633">
            <v>4.6522939444611E-2</v>
          </cell>
          <cell r="E633">
            <v>0.1355030272173558</v>
          </cell>
          <cell r="F633">
            <v>0.13692709254562699</v>
          </cell>
          <cell r="G633">
            <v>0.11637892974032932</v>
          </cell>
        </row>
        <row r="634">
          <cell r="A634" t="str">
            <v>T_C-HY-DSL-S4</v>
          </cell>
          <cell r="B634" t="str">
            <v>VAR_fin</v>
          </cell>
          <cell r="C634" t="str">
            <v>TDSL</v>
          </cell>
          <cell r="D634">
            <v>3.461676317366575E-2</v>
          </cell>
          <cell r="E634">
            <v>8.5017528116905133E-2</v>
          </cell>
          <cell r="F634">
            <v>8.6868394884900446E-2</v>
          </cell>
          <cell r="G634">
            <v>7.4341389127635729E-2</v>
          </cell>
        </row>
        <row r="635">
          <cell r="A635" t="str">
            <v>T_C-HY-DSL-S4</v>
          </cell>
          <cell r="B635" t="str">
            <v>VAR_ncap</v>
          </cell>
          <cell r="C635" t="str">
            <v>-</v>
          </cell>
          <cell r="E635">
            <v>1.9638124792490399E-3</v>
          </cell>
          <cell r="F635">
            <v>7.3896376728470597E-4</v>
          </cell>
          <cell r="G635">
            <v>1.7254471853015501E-4</v>
          </cell>
        </row>
        <row r="636">
          <cell r="A636" t="str">
            <v>T_C-HY-DSL-S4</v>
          </cell>
          <cell r="B636" t="str">
            <v>VAR_cap</v>
          </cell>
          <cell r="C636" t="str">
            <v>-</v>
          </cell>
          <cell r="D636">
            <v>3.7723079663037453E-3</v>
          </cell>
          <cell r="E636">
            <v>1.0707034858511696E-2</v>
          </cell>
          <cell r="F636">
            <v>1.0916793570821542E-2</v>
          </cell>
          <cell r="G636">
            <v>9.2780301362931413E-3</v>
          </cell>
        </row>
        <row r="637">
          <cell r="A637" t="str">
            <v>D-T-ELC-Bus_c_S3</v>
          </cell>
          <cell r="B637" t="str">
            <v>VAR_fout</v>
          </cell>
          <cell r="C637" t="str">
            <v>T-ELC-Bus_c_BatSTGin_S3</v>
          </cell>
          <cell r="D637">
            <v>1.3490000715543589E-3</v>
          </cell>
          <cell r="E637">
            <v>2.8967263092766322E-3</v>
          </cell>
          <cell r="F637">
            <v>4.4874859541610334E-3</v>
          </cell>
          <cell r="G637">
            <v>6.0670490177336292E-2</v>
          </cell>
        </row>
        <row r="638">
          <cell r="A638" t="str">
            <v>D-T-ELC-Bus_c_S3</v>
          </cell>
          <cell r="B638" t="str">
            <v>VAR_fin</v>
          </cell>
          <cell r="C638" t="str">
            <v>TELC</v>
          </cell>
          <cell r="D638">
            <v>1.3490000715543589E-3</v>
          </cell>
          <cell r="E638">
            <v>2.8967263092766322E-3</v>
          </cell>
          <cell r="F638">
            <v>4.4874859541610334E-3</v>
          </cell>
          <cell r="G638">
            <v>6.0670490177336292E-2</v>
          </cell>
        </row>
        <row r="639">
          <cell r="A639" t="str">
            <v>D-T-ELC-Bus_c_S3</v>
          </cell>
          <cell r="B639" t="str">
            <v>VAR_ncap</v>
          </cell>
          <cell r="C639" t="str">
            <v>-</v>
          </cell>
          <cell r="D639">
            <v>2.3380276953360101E-4</v>
          </cell>
          <cell r="E639">
            <v>1.56831582560708E-4</v>
          </cell>
          <cell r="F639">
            <v>2.1820378199583E-4</v>
          </cell>
          <cell r="G639">
            <v>6.3774652287248903E-3</v>
          </cell>
        </row>
        <row r="640">
          <cell r="A640" t="str">
            <v>D-T-ELC-Bus_c_S3</v>
          </cell>
          <cell r="B640" t="str">
            <v>VAR_cap</v>
          </cell>
          <cell r="C640" t="str">
            <v>-</v>
          </cell>
          <cell r="D640">
            <v>2.3380276953360101E-4</v>
          </cell>
          <cell r="E640">
            <v>3.90634352094309E-4</v>
          </cell>
          <cell r="F640">
            <v>6.0883813409013895E-4</v>
          </cell>
          <cell r="G640">
            <v>6.7937577201841702E-3</v>
          </cell>
        </row>
        <row r="641">
          <cell r="A641" t="str">
            <v>D-T-ELC-Bus_c_S4</v>
          </cell>
          <cell r="B641" t="str">
            <v>VAR_fout</v>
          </cell>
          <cell r="C641" t="str">
            <v>T-ELC-Bus_c_BatSTGin_S4</v>
          </cell>
          <cell r="D641">
            <v>1.298333414444344E-4</v>
          </cell>
          <cell r="E641">
            <v>1.0337368842511894E-3</v>
          </cell>
          <cell r="F641">
            <v>1.7365705200496596E-3</v>
          </cell>
          <cell r="G641">
            <v>1.4177549033245749E-3</v>
          </cell>
        </row>
        <row r="642">
          <cell r="A642" t="str">
            <v>D-T-ELC-Bus_c_S4</v>
          </cell>
          <cell r="B642" t="str">
            <v>VAR_fin</v>
          </cell>
          <cell r="C642" t="str">
            <v>TELC</v>
          </cell>
          <cell r="D642">
            <v>1.298333414444344E-4</v>
          </cell>
          <cell r="E642">
            <v>1.0337368842511894E-3</v>
          </cell>
          <cell r="F642">
            <v>1.7365705200496596E-3</v>
          </cell>
          <cell r="G642">
            <v>1.4177549033245749E-3</v>
          </cell>
        </row>
        <row r="643">
          <cell r="A643" t="str">
            <v>D-T-ELC-Bus_c_S4</v>
          </cell>
          <cell r="B643" t="str">
            <v>VAR_ncap</v>
          </cell>
          <cell r="C643" t="str">
            <v>-</v>
          </cell>
          <cell r="D643">
            <v>1.06556487372126E-4</v>
          </cell>
          <cell r="E643">
            <v>7.1022549610231104E-5</v>
          </cell>
          <cell r="F643">
            <v>5.9895154822909499E-5</v>
          </cell>
          <cell r="G643">
            <v>4.88801010490071E-5</v>
          </cell>
        </row>
        <row r="644">
          <cell r="A644" t="str">
            <v>D-T-ELC-Bus_c_S4</v>
          </cell>
          <cell r="B644" t="str">
            <v>VAR_cap</v>
          </cell>
          <cell r="C644" t="str">
            <v>-</v>
          </cell>
          <cell r="D644">
            <v>1.06556487372126E-4</v>
          </cell>
          <cell r="E644">
            <v>1.7757903698235799E-4</v>
          </cell>
          <cell r="F644">
            <v>2.3747419180526701E-4</v>
          </cell>
          <cell r="G644">
            <v>1.30637670682489E-4</v>
          </cell>
        </row>
        <row r="645">
          <cell r="A645" t="str">
            <v>D-TH2O</v>
          </cell>
          <cell r="B645" t="str">
            <v>VAR_fout</v>
          </cell>
          <cell r="C645" t="str">
            <v>TH2Ointl</v>
          </cell>
        </row>
        <row r="646">
          <cell r="A646" t="str">
            <v>D-TH2O</v>
          </cell>
          <cell r="B646" t="str">
            <v>VAR_fout</v>
          </cell>
          <cell r="C646" t="str">
            <v>TH2O</v>
          </cell>
          <cell r="D646">
            <v>5.0244558197298922E-3</v>
          </cell>
          <cell r="E646">
            <v>1.8391305128838041E-2</v>
          </cell>
          <cell r="F646">
            <v>1.9456551349257039E-2</v>
          </cell>
          <cell r="G646">
            <v>1.0049276406189422E-2</v>
          </cell>
        </row>
        <row r="647">
          <cell r="A647" t="str">
            <v>D-TH2O</v>
          </cell>
          <cell r="B647" t="str">
            <v>VAR_fin</v>
          </cell>
          <cell r="C647" t="str">
            <v>H2</v>
          </cell>
          <cell r="D647">
            <v>5.0244558197298922E-3</v>
          </cell>
          <cell r="E647">
            <v>1.8391305128838041E-2</v>
          </cell>
          <cell r="F647">
            <v>1.9456551349257039E-2</v>
          </cell>
          <cell r="G647">
            <v>1.0049276406189422E-2</v>
          </cell>
        </row>
        <row r="648">
          <cell r="A648" t="str">
            <v>D-TH2O</v>
          </cell>
          <cell r="B648" t="str">
            <v>VAR_ncap</v>
          </cell>
          <cell r="C648" t="str">
            <v>-</v>
          </cell>
          <cell r="D648">
            <v>2.9025192325168002E-3</v>
          </cell>
          <cell r="E648">
            <v>9.9805403971972009E-4</v>
          </cell>
          <cell r="F648">
            <v>6.3022333457983699E-5</v>
          </cell>
          <cell r="G648">
            <v>1.6572502367174999E-5</v>
          </cell>
        </row>
        <row r="649">
          <cell r="A649" t="str">
            <v>D-TH2O</v>
          </cell>
          <cell r="B649" t="str">
            <v>VAR_cap</v>
          </cell>
          <cell r="C649" t="str">
            <v>-</v>
          </cell>
          <cell r="D649">
            <v>2.9025192325168002E-3</v>
          </cell>
          <cell r="E649">
            <v>3.9005732722365198E-3</v>
          </cell>
          <cell r="F649">
            <v>3.9635956056945001E-3</v>
          </cell>
          <cell r="G649">
            <v>3.9801681080616803E-3</v>
          </cell>
        </row>
        <row r="650">
          <cell r="A650" t="str">
            <v>TFHGV-HYBDSL</v>
          </cell>
          <cell r="B650" t="str">
            <v>VAR_fout</v>
          </cell>
          <cell r="C650" t="str">
            <v>CO2_T</v>
          </cell>
          <cell r="E650">
            <v>75.893807173010103</v>
          </cell>
          <cell r="F650">
            <v>296.60628176182621</v>
          </cell>
          <cell r="G650">
            <v>477.9291488060793</v>
          </cell>
        </row>
        <row r="651">
          <cell r="A651" t="str">
            <v>TFHGV-HYBDSL</v>
          </cell>
          <cell r="B651" t="str">
            <v>VAR_fout</v>
          </cell>
          <cell r="C651" t="str">
            <v>TFHGV</v>
          </cell>
          <cell r="E651">
            <v>0.1692513199482989</v>
          </cell>
          <cell r="F651">
            <v>0.66146378160613506</v>
          </cell>
          <cell r="G651">
            <v>1.0658331989169563</v>
          </cell>
        </row>
        <row r="652">
          <cell r="A652" t="str">
            <v>TFHGV-HYBDSL</v>
          </cell>
          <cell r="B652" t="str">
            <v>VAR_fin</v>
          </cell>
          <cell r="C652" t="str">
            <v>TDSL</v>
          </cell>
          <cell r="E652">
            <v>1.0353861824421562</v>
          </cell>
          <cell r="F652">
            <v>4.0464704196701975</v>
          </cell>
          <cell r="G652">
            <v>6.5201793834390145</v>
          </cell>
        </row>
        <row r="653">
          <cell r="A653" t="str">
            <v>TFHGV-HYBDSL</v>
          </cell>
          <cell r="B653" t="str">
            <v>VAR_ncap</v>
          </cell>
          <cell r="C653" t="str">
            <v>-</v>
          </cell>
          <cell r="E653">
            <v>3.18472139235815E-3</v>
          </cell>
          <cell r="F653">
            <v>9.2671659425573299E-3</v>
          </cell>
          <cell r="G653">
            <v>1.23072541278093E-2</v>
          </cell>
        </row>
        <row r="654">
          <cell r="A654" t="str">
            <v>TFHGV-HYBDSL</v>
          </cell>
          <cell r="B654" t="str">
            <v>VAR_cap</v>
          </cell>
          <cell r="C654" t="str">
            <v>-</v>
          </cell>
          <cell r="E654">
            <v>3.18472139235815E-3</v>
          </cell>
          <cell r="F654">
            <v>1.245178270525542E-2</v>
          </cell>
          <cell r="G654">
            <v>2.0054690490280275E-2</v>
          </cell>
        </row>
        <row r="655">
          <cell r="A655" t="str">
            <v>D-TKER</v>
          </cell>
          <cell r="B655" t="str">
            <v>VAR_fout</v>
          </cell>
          <cell r="C655" t="str">
            <v>CO2</v>
          </cell>
          <cell r="D655">
            <v>80.762820585747406</v>
          </cell>
          <cell r="E655">
            <v>102.218636272818</v>
          </cell>
          <cell r="F655">
            <v>133.09863280012999</v>
          </cell>
          <cell r="G655">
            <v>178.052048756803</v>
          </cell>
        </row>
        <row r="656">
          <cell r="A656" t="str">
            <v>D-TKER</v>
          </cell>
          <cell r="B656" t="str">
            <v>VAR_fout</v>
          </cell>
          <cell r="C656" t="str">
            <v>TKER</v>
          </cell>
          <cell r="D656">
            <v>1.0930758477492399</v>
          </cell>
          <cell r="E656">
            <v>1.3834673144068099</v>
          </cell>
          <cell r="F656">
            <v>1.8014093592459399</v>
          </cell>
          <cell r="G656">
            <v>2.4098266099026899</v>
          </cell>
        </row>
        <row r="657">
          <cell r="A657" t="str">
            <v>D-TKER</v>
          </cell>
          <cell r="B657" t="str">
            <v>VAR_fin</v>
          </cell>
          <cell r="C657" t="str">
            <v>KER</v>
          </cell>
          <cell r="D657">
            <v>1.1093794036503803</v>
          </cell>
          <cell r="E657">
            <v>1.4041021466046504</v>
          </cell>
          <cell r="F657">
            <v>1.8282779230786981</v>
          </cell>
          <cell r="G657">
            <v>2.4457699005055282</v>
          </cell>
        </row>
        <row r="658">
          <cell r="A658" t="str">
            <v>T_B_u-BEVELC-S1</v>
          </cell>
          <cell r="B658" t="str">
            <v>VAR_fout</v>
          </cell>
          <cell r="C658" t="str">
            <v>TPBSu</v>
          </cell>
          <cell r="D658">
            <v>2.1119754479936794E-5</v>
          </cell>
          <cell r="E658">
            <v>1.283020964777295E-2</v>
          </cell>
          <cell r="F658">
            <v>1.8584211028950502E-2</v>
          </cell>
          <cell r="G658">
            <v>0.1062158456128276</v>
          </cell>
        </row>
        <row r="659">
          <cell r="A659" t="str">
            <v>T_B_u-BEVELC-S1</v>
          </cell>
          <cell r="B659" t="str">
            <v>VAR_fin</v>
          </cell>
          <cell r="C659" t="str">
            <v>T-ELC-Bus_u_BatSTGout_S1</v>
          </cell>
          <cell r="D659">
            <v>5.5770089166643053E-5</v>
          </cell>
          <cell r="E659">
            <v>3.2695543653846922E-2</v>
          </cell>
          <cell r="F659">
            <v>4.662099818298291E-2</v>
          </cell>
          <cell r="G659">
            <v>0.23800502487370898</v>
          </cell>
        </row>
        <row r="660">
          <cell r="A660" t="str">
            <v>T_B_u-BEVELC-S1</v>
          </cell>
          <cell r="B660" t="str">
            <v>VAR_ncap</v>
          </cell>
          <cell r="C660" t="str">
            <v>-</v>
          </cell>
          <cell r="E660">
            <v>2.4607180248566201E-4</v>
          </cell>
          <cell r="F660">
            <v>1.1511042041621E-4</v>
          </cell>
          <cell r="G660">
            <v>1.9691755137007999E-3</v>
          </cell>
        </row>
        <row r="661">
          <cell r="A661" t="str">
            <v>T_B_u-BEVELC-S1</v>
          </cell>
          <cell r="B661" t="str">
            <v>VAR_cap</v>
          </cell>
          <cell r="C661" t="str">
            <v>-</v>
          </cell>
          <cell r="D661">
            <v>3.02390998593531E-8</v>
          </cell>
          <cell r="E661">
            <v>2.4611329334360858E-4</v>
          </cell>
          <cell r="F661">
            <v>3.5896055816397225E-4</v>
          </cell>
          <cell r="G661">
            <v>2.0260977958782007E-3</v>
          </cell>
        </row>
        <row r="662">
          <cell r="A662" t="str">
            <v>TPSHPH2OEXT</v>
          </cell>
          <cell r="B662" t="str">
            <v>VAR_fout</v>
          </cell>
          <cell r="C662" t="str">
            <v>TPSHP</v>
          </cell>
        </row>
        <row r="663">
          <cell r="A663" t="str">
            <v>TPSHPH2OEXT</v>
          </cell>
          <cell r="B663" t="str">
            <v>VAR_fin</v>
          </cell>
          <cell r="C663" t="str">
            <v>TH2O</v>
          </cell>
        </row>
        <row r="664">
          <cell r="A664" t="str">
            <v>TPSHPH2OEXT</v>
          </cell>
          <cell r="B664" t="str">
            <v>VAR_ncap</v>
          </cell>
          <cell r="C664" t="str">
            <v>-</v>
          </cell>
        </row>
        <row r="665">
          <cell r="A665" t="str">
            <v>TPSHPH2OEXT</v>
          </cell>
          <cell r="B665" t="str">
            <v>VAR_cap</v>
          </cell>
          <cell r="C665" t="str">
            <v>-</v>
          </cell>
        </row>
        <row r="666">
          <cell r="A666" t="str">
            <v>T_B_u-BEVELC-S2</v>
          </cell>
          <cell r="B666" t="str">
            <v>VAR_fout</v>
          </cell>
          <cell r="C666" t="str">
            <v>TPBSu</v>
          </cell>
          <cell r="D666">
            <v>6.6357837340836234E-4</v>
          </cell>
          <cell r="E666">
            <v>2.4576348014040939E-3</v>
          </cell>
          <cell r="F666">
            <v>7.3009697464081775E-3</v>
          </cell>
          <cell r="G666">
            <v>3.9731281503223435E-2</v>
          </cell>
        </row>
        <row r="667">
          <cell r="A667" t="str">
            <v>T_B_u-BEVELC-S2</v>
          </cell>
          <cell r="B667" t="str">
            <v>VAR_fin</v>
          </cell>
          <cell r="C667" t="str">
            <v>T-ELC-Bus_u_BatSTGout_S2</v>
          </cell>
          <cell r="D667">
            <v>2.4114276961859889E-3</v>
          </cell>
          <cell r="E667">
            <v>8.7002386186926829E-3</v>
          </cell>
          <cell r="F667">
            <v>2.4859355223832098E-2</v>
          </cell>
          <cell r="G667">
            <v>0.12427537942333484</v>
          </cell>
        </row>
        <row r="668">
          <cell r="A668" t="str">
            <v>T_B_u-BEVELC-S2</v>
          </cell>
          <cell r="B668" t="str">
            <v>VAR_ncap</v>
          </cell>
          <cell r="C668" t="str">
            <v>-</v>
          </cell>
          <cell r="E668">
            <v>3.4747571775905198E-5</v>
          </cell>
          <cell r="F668">
            <v>9.3141580760296497E-5</v>
          </cell>
          <cell r="G668">
            <v>6.5009304938274705E-4</v>
          </cell>
        </row>
        <row r="669">
          <cell r="A669" t="str">
            <v>T_B_u-BEVELC-S2</v>
          </cell>
          <cell r="B669" t="str">
            <v>VAR_cap</v>
          </cell>
          <cell r="C669" t="str">
            <v>-</v>
          </cell>
          <cell r="D669">
            <v>7.8819556775138196E-6</v>
          </cell>
          <cell r="E669">
            <v>4.5534165582579482E-5</v>
          </cell>
          <cell r="F669">
            <v>1.3836511838364395E-4</v>
          </cell>
          <cell r="G669">
            <v>7.6730650084337495E-4</v>
          </cell>
        </row>
        <row r="670">
          <cell r="A670" t="str">
            <v>TFHGV-ICEDSL</v>
          </cell>
          <cell r="B670" t="str">
            <v>VAR_fout</v>
          </cell>
          <cell r="C670" t="str">
            <v>CO2_T</v>
          </cell>
          <cell r="D670">
            <v>384.86666634953951</v>
          </cell>
          <cell r="E670">
            <v>452.00256682669442</v>
          </cell>
          <cell r="F670">
            <v>352.43778071494603</v>
          </cell>
          <cell r="G670">
            <v>33.483649855798589</v>
          </cell>
        </row>
        <row r="671">
          <cell r="A671" t="str">
            <v>TFHGV-ICEDSL</v>
          </cell>
          <cell r="B671" t="str">
            <v>VAR_fout</v>
          </cell>
          <cell r="C671" t="str">
            <v>TFHGV</v>
          </cell>
          <cell r="D671">
            <v>0.6232609288790425</v>
          </cell>
          <cell r="E671">
            <v>0.73198217535488175</v>
          </cell>
          <cell r="F671">
            <v>0.57074493009214755</v>
          </cell>
          <cell r="G671">
            <v>5.4224105478732625E-2</v>
          </cell>
        </row>
        <row r="672">
          <cell r="A672" t="str">
            <v>TFHGV-ICEDSL</v>
          </cell>
          <cell r="B672" t="str">
            <v>VAR_fin</v>
          </cell>
          <cell r="C672" t="str">
            <v>TDSL</v>
          </cell>
          <cell r="D672">
            <v>5.2505684358736708</v>
          </cell>
          <cell r="E672">
            <v>6.1664743086861487</v>
          </cell>
          <cell r="F672">
            <v>4.8081552621411419</v>
          </cell>
          <cell r="G672">
            <v>0.45680286297133099</v>
          </cell>
        </row>
        <row r="673">
          <cell r="A673" t="str">
            <v>TFHGV-ICEDSL</v>
          </cell>
          <cell r="B673" t="str">
            <v>VAR_ncap</v>
          </cell>
          <cell r="C673" t="str">
            <v>-</v>
          </cell>
          <cell r="E673">
            <v>1.8992037766939499E-5</v>
          </cell>
          <cell r="F673">
            <v>2.48839968602715E-5</v>
          </cell>
          <cell r="G673">
            <v>2.3297285450451702E-5</v>
          </cell>
        </row>
        <row r="674">
          <cell r="A674" t="str">
            <v>TFHGV-ICEDSL</v>
          </cell>
          <cell r="B674" t="str">
            <v>VAR_cap</v>
          </cell>
          <cell r="C674" t="str">
            <v>-</v>
          </cell>
          <cell r="D674">
            <v>1.1766283015685667E-2</v>
          </cell>
          <cell r="E674">
            <v>1.3777857610234657E-2</v>
          </cell>
          <cell r="F674">
            <v>1.0772496592233586E-2</v>
          </cell>
          <cell r="G674">
            <v>1.0267773097345978E-3</v>
          </cell>
        </row>
        <row r="675">
          <cell r="A675" t="str">
            <v>D-T-ELC-Bus_u_S1</v>
          </cell>
          <cell r="B675" t="str">
            <v>VAR_fout</v>
          </cell>
          <cell r="C675" t="str">
            <v>T-ELC-Bus_u_BatSTGin_S1</v>
          </cell>
          <cell r="D675">
            <v>1.1302794430825917E-4</v>
          </cell>
          <cell r="E675">
            <v>3.2749741537676257E-2</v>
          </cell>
          <cell r="F675">
            <v>4.672175843656233E-2</v>
          </cell>
          <cell r="G675">
            <v>0.24370855537457833</v>
          </cell>
        </row>
        <row r="676">
          <cell r="A676" t="str">
            <v>D-T-ELC-Bus_u_S1</v>
          </cell>
          <cell r="B676" t="str">
            <v>VAR_fin</v>
          </cell>
          <cell r="C676" t="str">
            <v>TELC</v>
          </cell>
          <cell r="D676">
            <v>1.1302794430825917E-4</v>
          </cell>
          <cell r="E676">
            <v>3.2749741537676257E-2</v>
          </cell>
          <cell r="F676">
            <v>4.672175843656233E-2</v>
          </cell>
          <cell r="G676">
            <v>0.24370855537457833</v>
          </cell>
        </row>
        <row r="677">
          <cell r="A677" t="str">
            <v>D-T-ELC-Bus_u_S1</v>
          </cell>
          <cell r="B677" t="str">
            <v>VAR_ncap</v>
          </cell>
          <cell r="C677" t="str">
            <v>-</v>
          </cell>
          <cell r="D677">
            <v>2.43206256865974E-3</v>
          </cell>
          <cell r="E677">
            <v>2.2904339264069899E-3</v>
          </cell>
          <cell r="F677">
            <v>4.1128311232894697E-3</v>
          </cell>
          <cell r="G677">
            <v>1.8487489340149401E-2</v>
          </cell>
        </row>
        <row r="678">
          <cell r="A678" t="str">
            <v>D-T-ELC-Bus_u_S1</v>
          </cell>
          <cell r="B678" t="str">
            <v>VAR_cap</v>
          </cell>
          <cell r="C678" t="str">
            <v>-</v>
          </cell>
          <cell r="D678">
            <v>2.43206256865974E-3</v>
          </cell>
          <cell r="E678">
            <v>4.7224964950667199E-3</v>
          </cell>
          <cell r="F678">
            <v>8.8353276183562E-3</v>
          </cell>
          <cell r="G678">
            <v>2.6366814656997899E-2</v>
          </cell>
        </row>
        <row r="679">
          <cell r="A679" t="str">
            <v>T-Plg-DSL-mix_S1</v>
          </cell>
          <cell r="B679" t="str">
            <v>VAR_fout</v>
          </cell>
          <cell r="C679" t="str">
            <v>CO2_T</v>
          </cell>
          <cell r="D679">
            <v>2.34960356224573E-3</v>
          </cell>
          <cell r="E679">
            <v>0.94459008152490198</v>
          </cell>
          <cell r="F679">
            <v>1.1562659635163846</v>
          </cell>
          <cell r="G679">
            <v>3.22613520307516</v>
          </cell>
        </row>
        <row r="680">
          <cell r="A680" t="str">
            <v>T-Plg-DSL-mix_S1</v>
          </cell>
          <cell r="B680" t="str">
            <v>VAR_fout</v>
          </cell>
          <cell r="C680" t="str">
            <v>T-PEVmix-ELC_DSL_S1</v>
          </cell>
          <cell r="D680">
            <v>2.3348766953231078E-5</v>
          </cell>
          <cell r="E680">
            <v>9.386695710819605E-3</v>
          </cell>
          <cell r="F680">
            <v>1.1490187090239766E-2</v>
          </cell>
          <cell r="G680">
            <v>3.2059144030331832E-2</v>
          </cell>
        </row>
        <row r="681">
          <cell r="A681" t="str">
            <v>T-Plg-DSL-mix_S1</v>
          </cell>
          <cell r="B681" t="str">
            <v>VAR_fin</v>
          </cell>
          <cell r="C681" t="str">
            <v>TDSL</v>
          </cell>
          <cell r="D681">
            <v>3.205461885737698E-5</v>
          </cell>
          <cell r="E681">
            <v>1.2886631398702613E-2</v>
          </cell>
          <cell r="F681">
            <v>1.5774433335830628E-2</v>
          </cell>
          <cell r="G681">
            <v>4.4012758568556042E-2</v>
          </cell>
        </row>
        <row r="682">
          <cell r="A682" t="str">
            <v>T_B_u-BEVELC-S3</v>
          </cell>
          <cell r="B682" t="str">
            <v>VAR_fout</v>
          </cell>
          <cell r="C682" t="str">
            <v>TPBSu</v>
          </cell>
          <cell r="D682">
            <v>2.0580398733543699E-3</v>
          </cell>
          <cell r="E682">
            <v>4.0806278617089211E-3</v>
          </cell>
          <cell r="F682">
            <v>7.6555854267575827E-3</v>
          </cell>
          <cell r="G682">
            <v>0.17344254537374912</v>
          </cell>
        </row>
        <row r="683">
          <cell r="A683" t="str">
            <v>T_B_u-BEVELC-S3</v>
          </cell>
          <cell r="B683" t="str">
            <v>VAR_fin</v>
          </cell>
          <cell r="C683" t="str">
            <v>T-ELC-Bus_u_BatSTGout_S3</v>
          </cell>
          <cell r="D683">
            <v>1.124793842669136E-2</v>
          </cell>
          <cell r="E683">
            <v>2.1967993787638643E-2</v>
          </cell>
          <cell r="F683">
            <v>3.9900623509673903E-2</v>
          </cell>
          <cell r="G683">
            <v>0.80531207199989374</v>
          </cell>
        </row>
        <row r="684">
          <cell r="A684" t="str">
            <v>T_B_u-BEVELC-S3</v>
          </cell>
          <cell r="B684" t="str">
            <v>VAR_ncap</v>
          </cell>
          <cell r="C684" t="str">
            <v>-</v>
          </cell>
          <cell r="E684">
            <v>2.6714238129570399E-5</v>
          </cell>
          <cell r="F684">
            <v>6.6774502231749198E-5</v>
          </cell>
          <cell r="G684">
            <v>3.4286798465123901E-3</v>
          </cell>
        </row>
        <row r="685">
          <cell r="A685" t="str">
            <v>T_B_u-BEVELC-S3</v>
          </cell>
          <cell r="B685" t="str">
            <v>VAR_cap</v>
          </cell>
          <cell r="C685" t="str">
            <v>-</v>
          </cell>
          <cell r="D685">
            <v>3.3993020936574012E-5</v>
          </cell>
          <cell r="E685">
            <v>7.4119215210383964E-5</v>
          </cell>
          <cell r="F685">
            <v>1.408623355786468E-4</v>
          </cell>
          <cell r="G685">
            <v>3.5281659738521818E-3</v>
          </cell>
        </row>
        <row r="686">
          <cell r="A686" t="str">
            <v>D-T-ELC-Bus_u_S2</v>
          </cell>
          <cell r="B686" t="str">
            <v>VAR_fout</v>
          </cell>
          <cell r="C686" t="str">
            <v>T-ELC-Bus_u_BatSTGin_S2</v>
          </cell>
          <cell r="D686">
            <v>2.0090604401523803E-3</v>
          </cell>
          <cell r="E686">
            <v>8.5332515764402258E-3</v>
          </cell>
          <cell r="F686">
            <v>2.4705846715601748E-2</v>
          </cell>
          <cell r="G686">
            <v>0.12877335812509269</v>
          </cell>
        </row>
        <row r="687">
          <cell r="A687" t="str">
            <v>D-T-ELC-Bus_u_S2</v>
          </cell>
          <cell r="B687" t="str">
            <v>VAR_fin</v>
          </cell>
          <cell r="C687" t="str">
            <v>TELC</v>
          </cell>
          <cell r="D687">
            <v>2.0090604401523803E-3</v>
          </cell>
          <cell r="E687">
            <v>8.5332515764402258E-3</v>
          </cell>
          <cell r="F687">
            <v>2.4705846715601748E-2</v>
          </cell>
          <cell r="G687">
            <v>0.12877335812509269</v>
          </cell>
        </row>
        <row r="688">
          <cell r="A688" t="str">
            <v>D-T-ELC-Bus_u_S2</v>
          </cell>
          <cell r="B688" t="str">
            <v>VAR_ncap</v>
          </cell>
          <cell r="C688" t="str">
            <v>-</v>
          </cell>
          <cell r="D688">
            <v>2.2649959501478E-3</v>
          </cell>
          <cell r="E688">
            <v>2.0550846241022798E-3</v>
          </cell>
          <cell r="F688">
            <v>3.4662234640335699E-3</v>
          </cell>
          <cell r="G688">
            <v>7.6883277700328396E-3</v>
          </cell>
        </row>
        <row r="689">
          <cell r="A689" t="str">
            <v>D-T-ELC-Bus_u_S2</v>
          </cell>
          <cell r="B689" t="str">
            <v>VAR_cap</v>
          </cell>
          <cell r="C689" t="str">
            <v>-</v>
          </cell>
          <cell r="D689">
            <v>2.2649959501478E-3</v>
          </cell>
          <cell r="E689">
            <v>4.3200805742500802E-3</v>
          </cell>
          <cell r="F689">
            <v>7.7863040382836401E-3</v>
          </cell>
          <cell r="G689">
            <v>1.45946367291898E-2</v>
          </cell>
        </row>
        <row r="690">
          <cell r="A690" t="str">
            <v>T-Plg-DSL-mix_S2</v>
          </cell>
          <cell r="B690" t="str">
            <v>VAR_fout</v>
          </cell>
          <cell r="C690" t="str">
            <v>CO2_T</v>
          </cell>
          <cell r="D690">
            <v>1.23236206896945E-2</v>
          </cell>
          <cell r="E690">
            <v>0.96494733154429602</v>
          </cell>
          <cell r="F690">
            <v>2.5520655455328871</v>
          </cell>
          <cell r="G690">
            <v>6.9513173000178803</v>
          </cell>
        </row>
        <row r="691">
          <cell r="A691" t="str">
            <v>T-Plg-DSL-mix_S2</v>
          </cell>
          <cell r="B691" t="str">
            <v>VAR_fout</v>
          </cell>
          <cell r="C691" t="str">
            <v>T-PEVmix-ELC_DSL_S2</v>
          </cell>
          <cell r="D691">
            <v>1.0012295496959571E-4</v>
          </cell>
          <cell r="E691">
            <v>7.8396910012844476E-3</v>
          </cell>
          <cell r="F691">
            <v>2.0734194124338919E-2</v>
          </cell>
          <cell r="G691">
            <v>5.6475807437912466E-2</v>
          </cell>
        </row>
        <row r="692">
          <cell r="A692" t="str">
            <v>T-Plg-DSL-mix_S2</v>
          </cell>
          <cell r="B692" t="str">
            <v>VAR_fin</v>
          </cell>
          <cell r="C692" t="str">
            <v>TDSL</v>
          </cell>
          <cell r="D692">
            <v>1.6812579385667848E-4</v>
          </cell>
          <cell r="E692">
            <v>1.3164356501286428E-2</v>
          </cell>
          <cell r="F692">
            <v>3.4816719584350453E-2</v>
          </cell>
          <cell r="G692">
            <v>9.4833796726028291E-2</v>
          </cell>
        </row>
        <row r="693">
          <cell r="A693" t="str">
            <v>T_B_u-BEVELC-S4</v>
          </cell>
          <cell r="B693" t="str">
            <v>VAR_fout</v>
          </cell>
          <cell r="C693" t="str">
            <v>TPBSu</v>
          </cell>
          <cell r="D693">
            <v>1.8049989694102938E-4</v>
          </cell>
          <cell r="E693">
            <v>5.4294037456633281E-4</v>
          </cell>
          <cell r="F693">
            <v>9.4230311089095193E-4</v>
          </cell>
          <cell r="G693">
            <v>3.5501880638219097E-3</v>
          </cell>
        </row>
        <row r="694">
          <cell r="A694" t="str">
            <v>T_B_u-BEVELC-S4</v>
          </cell>
          <cell r="B694" t="str">
            <v>VAR_fin</v>
          </cell>
          <cell r="C694" t="str">
            <v>T-ELC-Bus_u_BatSTGout_S4</v>
          </cell>
          <cell r="D694">
            <v>1.4796637298964924E-3</v>
          </cell>
          <cell r="E694">
            <v>4.3504827794229933E-3</v>
          </cell>
          <cell r="F694">
            <v>7.3535592315203662E-3</v>
          </cell>
          <cell r="G694">
            <v>2.4897856540991838E-2</v>
          </cell>
        </row>
        <row r="695">
          <cell r="A695" t="str">
            <v>T_B_u-BEVELC-S4</v>
          </cell>
          <cell r="B695" t="str">
            <v>VAR_ncap</v>
          </cell>
          <cell r="C695" t="str">
            <v>-</v>
          </cell>
          <cell r="E695">
            <v>6.0750574826761197E-6</v>
          </cell>
          <cell r="F695">
            <v>7.0437925116413003E-6</v>
          </cell>
          <cell r="G695">
            <v>3.6736311251392699E-4</v>
          </cell>
        </row>
        <row r="696">
          <cell r="A696" t="str">
            <v>T_B_u-BEVELC-S4</v>
          </cell>
          <cell r="B696" t="str">
            <v>VAR_cap</v>
          </cell>
          <cell r="C696" t="str">
            <v>-</v>
          </cell>
          <cell r="D696">
            <v>4.2334739803094299E-7</v>
          </cell>
          <cell r="E696">
            <v>6.6559294939278791E-6</v>
          </cell>
          <cell r="F696">
            <v>1.3492000166603743E-5</v>
          </cell>
          <cell r="G696">
            <v>3.7431844198028473E-4</v>
          </cell>
        </row>
        <row r="697">
          <cell r="A697" t="str">
            <v>D-TBDS1</v>
          </cell>
          <cell r="B697" t="str">
            <v>VAR_fout</v>
          </cell>
          <cell r="C697" t="str">
            <v>TDSL</v>
          </cell>
          <cell r="D697">
            <v>2.9709603938165858</v>
          </cell>
          <cell r="E697">
            <v>2.9721740015845719</v>
          </cell>
          <cell r="F697">
            <v>4.4006224837199213</v>
          </cell>
          <cell r="G697">
            <v>2.9658931852739499</v>
          </cell>
        </row>
        <row r="698">
          <cell r="A698" t="str">
            <v>D-TBDS1</v>
          </cell>
          <cell r="B698" t="str">
            <v>VAR_fout</v>
          </cell>
          <cell r="C698" t="str">
            <v>TKER</v>
          </cell>
          <cell r="D698">
            <v>3.18368798889021E-5</v>
          </cell>
          <cell r="E698">
            <v>1.16612611637865E-3</v>
          </cell>
          <cell r="F698">
            <v>2.0389632265815898E-2</v>
          </cell>
          <cell r="G698">
            <v>0.14069932564142101</v>
          </cell>
        </row>
        <row r="699">
          <cell r="A699" t="str">
            <v>D-TBDS1</v>
          </cell>
          <cell r="B699" t="str">
            <v>VAR_fin</v>
          </cell>
          <cell r="C699" t="str">
            <v>BDS</v>
          </cell>
          <cell r="D699">
            <v>3.0152938780579746</v>
          </cell>
          <cell r="E699">
            <v>3.0176199958159944</v>
          </cell>
          <cell r="F699">
            <v>4.4869528449122704</v>
          </cell>
          <cell r="G699">
            <v>3.1529000612231211</v>
          </cell>
        </row>
        <row r="700">
          <cell r="A700" t="str">
            <v>D-T-ELC-Bus_u_S3</v>
          </cell>
          <cell r="B700" t="str">
            <v>VAR_fout</v>
          </cell>
          <cell r="C700" t="str">
            <v>T-ELC-Bus_u_BatSTGin_S3</v>
          </cell>
          <cell r="D700">
            <v>9.8563395987840471E-3</v>
          </cell>
          <cell r="E700">
            <v>2.0928691194834072E-2</v>
          </cell>
          <cell r="F700">
            <v>3.8810652892194937E-2</v>
          </cell>
          <cell r="G700">
            <v>0.80639683908410087</v>
          </cell>
        </row>
        <row r="701">
          <cell r="A701" t="str">
            <v>D-T-ELC-Bus_u_S3</v>
          </cell>
          <cell r="B701" t="str">
            <v>VAR_fin</v>
          </cell>
          <cell r="C701" t="str">
            <v>TELC</v>
          </cell>
          <cell r="D701">
            <v>9.8563395987840471E-3</v>
          </cell>
          <cell r="E701">
            <v>2.0928691194834072E-2</v>
          </cell>
          <cell r="F701">
            <v>3.8810652892194937E-2</v>
          </cell>
          <cell r="G701">
            <v>0.80639683908410087</v>
          </cell>
        </row>
        <row r="702">
          <cell r="A702" t="str">
            <v>D-T-ELC-Bus_u_S3</v>
          </cell>
          <cell r="B702" t="str">
            <v>VAR_ncap</v>
          </cell>
          <cell r="C702" t="str">
            <v>-</v>
          </cell>
          <cell r="D702">
            <v>2.3282598497696102E-3</v>
          </cell>
          <cell r="E702">
            <v>2.0386525443443302E-3</v>
          </cell>
          <cell r="F702">
            <v>2.4540276142541099E-3</v>
          </cell>
          <cell r="G702">
            <v>8.0583601846484595E-2</v>
          </cell>
        </row>
        <row r="703">
          <cell r="A703" t="str">
            <v>D-T-ELC-Bus_u_S3</v>
          </cell>
          <cell r="B703" t="str">
            <v>VAR_cap</v>
          </cell>
          <cell r="C703" t="str">
            <v>-</v>
          </cell>
          <cell r="D703">
            <v>2.3282598497696102E-3</v>
          </cell>
          <cell r="E703">
            <v>4.3669123941139504E-3</v>
          </cell>
          <cell r="F703">
            <v>6.8209400083680599E-3</v>
          </cell>
          <cell r="G703">
            <v>8.5292794438208905E-2</v>
          </cell>
        </row>
        <row r="704">
          <cell r="A704" t="str">
            <v>T-Plg-DSL-mix_S3</v>
          </cell>
          <cell r="B704" t="str">
            <v>VAR_fout</v>
          </cell>
          <cell r="C704" t="str">
            <v>CO2_T</v>
          </cell>
          <cell r="D704">
            <v>2.9122601479595799E-2</v>
          </cell>
          <cell r="E704">
            <v>18.73742560744968</v>
          </cell>
          <cell r="F704">
            <v>90.663312028853795</v>
          </cell>
          <cell r="G704">
            <v>328.32024175676827</v>
          </cell>
        </row>
        <row r="705">
          <cell r="A705" t="str">
            <v>T-Plg-DSL-mix_S3</v>
          </cell>
          <cell r="B705" t="str">
            <v>VAR_fout</v>
          </cell>
          <cell r="C705" t="str">
            <v>T-PEVmix-ELC_DSL_S3</v>
          </cell>
          <cell r="D705">
            <v>2.1994235829156755E-4</v>
          </cell>
          <cell r="E705">
            <v>0.14151048900293786</v>
          </cell>
          <cell r="F705">
            <v>0.684715706875342</v>
          </cell>
          <cell r="G705">
            <v>2.4795699758290706</v>
          </cell>
        </row>
        <row r="706">
          <cell r="A706" t="str">
            <v>T-Plg-DSL-mix_S3</v>
          </cell>
          <cell r="B706" t="str">
            <v>VAR_fin</v>
          </cell>
          <cell r="C706" t="str">
            <v>TDSL</v>
          </cell>
          <cell r="D706">
            <v>3.9730697789353134E-4</v>
          </cell>
          <cell r="E706">
            <v>0.25562654307571175</v>
          </cell>
          <cell r="F706">
            <v>1.2368801095341613</v>
          </cell>
          <cell r="G706">
            <v>4.4791301740350402</v>
          </cell>
        </row>
        <row r="707">
          <cell r="A707" t="str">
            <v>D-T-ELC-Bus_u_S4</v>
          </cell>
          <cell r="B707" t="str">
            <v>VAR_fout</v>
          </cell>
          <cell r="C707" t="str">
            <v>T-ELC-Bus_u_BatSTGin_S4</v>
          </cell>
          <cell r="D707">
            <v>5.2863537526287715E-4</v>
          </cell>
          <cell r="E707">
            <v>2.9670544533762274E-3</v>
          </cell>
          <cell r="F707">
            <v>5.879079677663138E-3</v>
          </cell>
          <cell r="G707">
            <v>2.693115053402732E-2</v>
          </cell>
        </row>
        <row r="708">
          <cell r="A708" t="str">
            <v>D-T-ELC-Bus_u_S4</v>
          </cell>
          <cell r="B708" t="str">
            <v>VAR_fin</v>
          </cell>
          <cell r="C708" t="str">
            <v>TELC</v>
          </cell>
          <cell r="D708">
            <v>5.2863537526287715E-4</v>
          </cell>
          <cell r="E708">
            <v>2.9670544533762274E-3</v>
          </cell>
          <cell r="F708">
            <v>5.879079677663138E-3</v>
          </cell>
          <cell r="G708">
            <v>2.693115053402732E-2</v>
          </cell>
        </row>
        <row r="709">
          <cell r="A709" t="str">
            <v>D-T-ELC-Bus_u_S4</v>
          </cell>
          <cell r="B709" t="str">
            <v>VAR_ncap</v>
          </cell>
          <cell r="C709" t="str">
            <v>-</v>
          </cell>
          <cell r="D709">
            <v>1.88326408335396E-3</v>
          </cell>
          <cell r="E709">
            <v>1.52945104598128E-3</v>
          </cell>
          <cell r="F709">
            <v>1.23491590433277E-3</v>
          </cell>
          <cell r="G709">
            <v>1.6868424829425399E-3</v>
          </cell>
        </row>
        <row r="710">
          <cell r="A710" t="str">
            <v>D-T-ELC-Bus_u_S4</v>
          </cell>
          <cell r="B710" t="str">
            <v>VAR_cap</v>
          </cell>
          <cell r="C710" t="str">
            <v>-</v>
          </cell>
          <cell r="D710">
            <v>1.88326408335396E-3</v>
          </cell>
          <cell r="E710">
            <v>3.4127151293352402E-3</v>
          </cell>
          <cell r="F710">
            <v>4.6476310336680199E-3</v>
          </cell>
          <cell r="G710">
            <v>3.3440785673222099E-3</v>
          </cell>
        </row>
        <row r="711">
          <cell r="A711" t="str">
            <v>T_C-FC-H2O-S1</v>
          </cell>
          <cell r="B711" t="str">
            <v>VAR_fout</v>
          </cell>
          <cell r="C711" t="str">
            <v>TPCAR</v>
          </cell>
          <cell r="E711">
            <v>4.7874992131993337E-4</v>
          </cell>
          <cell r="F711">
            <v>5.8511662819146987E-4</v>
          </cell>
          <cell r="G711">
            <v>1.7902928933471714E-4</v>
          </cell>
        </row>
        <row r="712">
          <cell r="A712" t="str">
            <v>T_C-FC-H2O-S1</v>
          </cell>
          <cell r="B712" t="str">
            <v>VAR_fin</v>
          </cell>
          <cell r="C712" t="str">
            <v>TH2O</v>
          </cell>
          <cell r="E712">
            <v>4.3658869685289696E-4</v>
          </cell>
          <cell r="F712">
            <v>5.3358819465656277E-4</v>
          </cell>
          <cell r="G712">
            <v>1.6326303284530698E-4</v>
          </cell>
        </row>
        <row r="713">
          <cell r="A713" t="str">
            <v>T_C-FC-H2O-S1</v>
          </cell>
          <cell r="B713" t="str">
            <v>VAR_ncap</v>
          </cell>
          <cell r="C713" t="str">
            <v>-</v>
          </cell>
          <cell r="E713">
            <v>5.6101829186112801E-5</v>
          </cell>
          <cell r="F713">
            <v>2.3388944830787099E-5</v>
          </cell>
          <cell r="G713">
            <v>7.4477061366875901E-6</v>
          </cell>
        </row>
        <row r="714">
          <cell r="A714" t="str">
            <v>T_C-FC-H2O-S1</v>
          </cell>
          <cell r="B714" t="str">
            <v>VAR_cap</v>
          </cell>
          <cell r="C714" t="str">
            <v>-</v>
          </cell>
          <cell r="E714">
            <v>5.5354937067383398E-5</v>
          </cell>
          <cell r="F714">
            <v>7.5082175277578581E-5</v>
          </cell>
          <cell r="G714">
            <v>1.8038721112814107E-5</v>
          </cell>
        </row>
        <row r="715">
          <cell r="A715" t="str">
            <v>T_B_c-ICEDSL-S1</v>
          </cell>
          <cell r="B715" t="str">
            <v>VAR_fout</v>
          </cell>
          <cell r="C715" t="str">
            <v>CO2_T</v>
          </cell>
          <cell r="D715">
            <v>8.2264059703589307</v>
          </cell>
          <cell r="E715">
            <v>19.622518966648329</v>
          </cell>
          <cell r="F715">
            <v>23.215336732130648</v>
          </cell>
          <cell r="G715">
            <v>1.5296167805642929E-2</v>
          </cell>
        </row>
        <row r="716">
          <cell r="A716" t="str">
            <v>T_B_c-ICEDSL-S1</v>
          </cell>
          <cell r="B716" t="str">
            <v>VAR_fout</v>
          </cell>
          <cell r="C716" t="str">
            <v>TPBSc</v>
          </cell>
          <cell r="D716">
            <v>1.3907358516351066E-2</v>
          </cell>
          <cell r="E716">
            <v>3.3859483548146663E-2</v>
          </cell>
          <cell r="F716">
            <v>4.0486904777089168E-2</v>
          </cell>
          <cell r="G716">
            <v>2.708682990950149E-5</v>
          </cell>
        </row>
        <row r="717">
          <cell r="A717" t="str">
            <v>T_B_c-ICEDSL-S1</v>
          </cell>
          <cell r="B717" t="str">
            <v>VAR_fin</v>
          </cell>
          <cell r="C717" t="str">
            <v>TDSL</v>
          </cell>
          <cell r="D717">
            <v>0.11222927653968538</v>
          </cell>
          <cell r="E717">
            <v>0.26770148658456028</v>
          </cell>
          <cell r="F717">
            <v>0.31671673577258802</v>
          </cell>
          <cell r="G717">
            <v>2.0867896051354583E-4</v>
          </cell>
        </row>
        <row r="718">
          <cell r="A718" t="str">
            <v>T_B_c-ICEDSL-S1</v>
          </cell>
          <cell r="B718" t="str">
            <v>VAR_ncap</v>
          </cell>
          <cell r="C718" t="str">
            <v>-</v>
          </cell>
          <cell r="E718">
            <v>3.9533223932779101E-4</v>
          </cell>
          <cell r="F718">
            <v>1.44382935648742E-4</v>
          </cell>
          <cell r="G718">
            <v>6.4406099335119298E-8</v>
          </cell>
        </row>
        <row r="719">
          <cell r="A719" t="str">
            <v>T_B_c-ICEDSL-S1</v>
          </cell>
          <cell r="B719" t="str">
            <v>VAR_cap</v>
          </cell>
          <cell r="C719" t="str">
            <v>-</v>
          </cell>
          <cell r="D719">
            <v>3.0575236246334955E-4</v>
          </cell>
          <cell r="E719">
            <v>7.526467202471159E-4</v>
          </cell>
          <cell r="F719">
            <v>8.9697881635465129E-4</v>
          </cell>
          <cell r="G719">
            <v>-9.997121024507994E-8</v>
          </cell>
        </row>
        <row r="720">
          <cell r="A720" t="str">
            <v>T-Plg-DSL-mix_S4</v>
          </cell>
          <cell r="B720" t="str">
            <v>VAR_fout</v>
          </cell>
          <cell r="C720" t="str">
            <v>CO2_T</v>
          </cell>
          <cell r="D720">
            <v>0.438876093241377</v>
          </cell>
          <cell r="E720">
            <v>6.1933312912671301</v>
          </cell>
          <cell r="F720">
            <v>10.04828492645834</v>
          </cell>
          <cell r="G720">
            <v>13.803036567078692</v>
          </cell>
        </row>
        <row r="721">
          <cell r="A721" t="str">
            <v>T-Plg-DSL-mix_S4</v>
          </cell>
          <cell r="B721" t="str">
            <v>VAR_fout</v>
          </cell>
          <cell r="C721" t="str">
            <v>T-PEVmix-ELC_DSL_S4</v>
          </cell>
          <cell r="D721">
            <v>3.1553483077386988E-3</v>
          </cell>
          <cell r="E721">
            <v>4.4527641651277927E-2</v>
          </cell>
          <cell r="F721">
            <v>7.2243258009815417E-2</v>
          </cell>
          <cell r="G721">
            <v>9.9238461024199046E-2</v>
          </cell>
        </row>
        <row r="722">
          <cell r="A722" t="str">
            <v>T-Plg-DSL-mix_S4</v>
          </cell>
          <cell r="B722" t="str">
            <v>VAR_fin</v>
          </cell>
          <cell r="C722" t="str">
            <v>TDSL</v>
          </cell>
          <cell r="D722">
            <v>5.9873955421743119E-3</v>
          </cell>
          <cell r="E722">
            <v>8.4492923482498344E-2</v>
          </cell>
          <cell r="F722">
            <v>0.13708437826000472</v>
          </cell>
          <cell r="G722">
            <v>0.18830882083327005</v>
          </cell>
        </row>
        <row r="723">
          <cell r="A723" t="str">
            <v>T_C-FC-H2O-S2</v>
          </cell>
          <cell r="B723" t="str">
            <v>VAR_fout</v>
          </cell>
          <cell r="C723" t="str">
            <v>TPCAR</v>
          </cell>
          <cell r="D723">
            <v>1.5323322114038195E-4</v>
          </cell>
          <cell r="E723">
            <v>5.0195009871120363E-4</v>
          </cell>
          <cell r="F723">
            <v>7.341830719322424E-4</v>
          </cell>
          <cell r="G723">
            <v>4.2120492448251555E-4</v>
          </cell>
        </row>
        <row r="724">
          <cell r="A724" t="str">
            <v>T_C-FC-H2O-S2</v>
          </cell>
          <cell r="B724" t="str">
            <v>VAR_fin</v>
          </cell>
          <cell r="C724" t="str">
            <v>TH2O</v>
          </cell>
          <cell r="D724">
            <v>1.7188339485569516E-4</v>
          </cell>
          <cell r="E724">
            <v>5.6304296400316596E-4</v>
          </cell>
          <cell r="F724">
            <v>8.2354125241344714E-4</v>
          </cell>
          <cell r="G724">
            <v>4.7247021116697188E-4</v>
          </cell>
        </row>
        <row r="725">
          <cell r="A725" t="str">
            <v>T_C-FC-H2O-S2</v>
          </cell>
          <cell r="B725" t="str">
            <v>VAR_ncap</v>
          </cell>
          <cell r="C725" t="str">
            <v>-</v>
          </cell>
          <cell r="E725">
            <v>2.8655381498174701E-5</v>
          </cell>
          <cell r="F725">
            <v>1.9556933205026201E-5</v>
          </cell>
          <cell r="G725">
            <v>7.3188824753863398E-6</v>
          </cell>
        </row>
        <row r="726">
          <cell r="A726" t="str">
            <v>T_C-FC-H2O-S2</v>
          </cell>
          <cell r="B726" t="str">
            <v>VAR_cap</v>
          </cell>
          <cell r="C726" t="str">
            <v>-</v>
          </cell>
          <cell r="D726">
            <v>6.2831666479506751E-6</v>
          </cell>
          <cell r="E726">
            <v>3.4537847083725739E-5</v>
          </cell>
          <cell r="F726">
            <v>5.2110501948287521E-5</v>
          </cell>
          <cell r="G726">
            <v>2.5550803446840391E-5</v>
          </cell>
        </row>
        <row r="727">
          <cell r="A727" t="str">
            <v>T_B_c-ICEDSL-S2</v>
          </cell>
          <cell r="B727" t="str">
            <v>VAR_fout</v>
          </cell>
          <cell r="C727" t="str">
            <v>CO2_T</v>
          </cell>
          <cell r="D727">
            <v>37.840426845118699</v>
          </cell>
          <cell r="E727">
            <v>27.87765377022966</v>
          </cell>
          <cell r="F727">
            <v>33.840131454701805</v>
          </cell>
          <cell r="G727">
            <v>2.7896746463353491E-2</v>
          </cell>
        </row>
        <row r="728">
          <cell r="A728" t="str">
            <v>T_B_c-ICEDSL-S2</v>
          </cell>
          <cell r="B728" t="str">
            <v>VAR_fout</v>
          </cell>
          <cell r="C728" t="str">
            <v>TPBSc</v>
          </cell>
          <cell r="D728">
            <v>4.5153410736832544E-2</v>
          </cell>
          <cell r="E728">
            <v>3.3402826164720158E-2</v>
          </cell>
          <cell r="F728">
            <v>4.0584133634577628E-2</v>
          </cell>
          <cell r="G728">
            <v>3.4684151560703402E-5</v>
          </cell>
        </row>
        <row r="729">
          <cell r="A729" t="str">
            <v>T_B_c-ICEDSL-S2</v>
          </cell>
          <cell r="B729" t="str">
            <v>VAR_fin</v>
          </cell>
          <cell r="C729" t="str">
            <v>TDSL</v>
          </cell>
          <cell r="D729">
            <v>0.51624047537678963</v>
          </cell>
          <cell r="E729">
            <v>0.38032269809317387</v>
          </cell>
          <cell r="F729">
            <v>0.46166618628515405</v>
          </cell>
          <cell r="G729">
            <v>3.805831713963647E-4</v>
          </cell>
        </row>
        <row r="730">
          <cell r="A730" t="str">
            <v>T_B_c-ICEDSL-S2</v>
          </cell>
          <cell r="B730" t="str">
            <v>VAR_ncap</v>
          </cell>
          <cell r="C730" t="str">
            <v>-</v>
          </cell>
          <cell r="E730">
            <v>1.04201273077868E-5</v>
          </cell>
          <cell r="F730">
            <v>1.44094001881224E-5</v>
          </cell>
          <cell r="G730">
            <v>1.08885702030024E-8</v>
          </cell>
        </row>
        <row r="731">
          <cell r="A731" t="str">
            <v>T_B_c-ICEDSL-S2</v>
          </cell>
          <cell r="B731" t="str">
            <v>VAR_cap</v>
          </cell>
          <cell r="C731" t="str">
            <v>-</v>
          </cell>
          <cell r="D731">
            <v>9.8770368833323778E-4</v>
          </cell>
          <cell r="E731">
            <v>8.6994840739833279E-4</v>
          </cell>
          <cell r="F731">
            <v>8.8613264007148819E-4</v>
          </cell>
          <cell r="G731">
            <v>-1.9528405843512002E-7</v>
          </cell>
        </row>
        <row r="732">
          <cell r="A732" t="str">
            <v>T_TW-FCLH2O-S1</v>
          </cell>
          <cell r="B732" t="str">
            <v>VAR_fout</v>
          </cell>
          <cell r="C732" t="str">
            <v>TPTWL</v>
          </cell>
          <cell r="G732">
            <v>3.767847335601301E-3</v>
          </cell>
        </row>
        <row r="733">
          <cell r="A733" t="str">
            <v>T_TW-FCLH2O-S1</v>
          </cell>
          <cell r="B733" t="str">
            <v>VAR_fin</v>
          </cell>
          <cell r="C733" t="str">
            <v>TH2O</v>
          </cell>
          <cell r="G733">
            <v>8.1219045891896594E-4</v>
          </cell>
        </row>
        <row r="734">
          <cell r="A734" t="str">
            <v>T_TW-FCLH2O-S1</v>
          </cell>
          <cell r="B734" t="str">
            <v>VAR_ncap</v>
          </cell>
          <cell r="C734" t="str">
            <v>-</v>
          </cell>
          <cell r="G734">
            <v>1.3667050082794301E-3</v>
          </cell>
        </row>
        <row r="735">
          <cell r="A735" t="str">
            <v>T_TW-FCLH2O-S1</v>
          </cell>
          <cell r="B735" t="str">
            <v>VAR_cap</v>
          </cell>
          <cell r="C735" t="str">
            <v>-</v>
          </cell>
          <cell r="G735">
            <v>1.3667050082794301E-3</v>
          </cell>
        </row>
        <row r="736">
          <cell r="A736" t="str">
            <v>D-T-ELC-TW_Bat_S1</v>
          </cell>
          <cell r="B736" t="str">
            <v>VAR_fout</v>
          </cell>
          <cell r="C736" t="str">
            <v>T-ELC-TWSTGin_S1</v>
          </cell>
          <cell r="D736">
            <v>4.8737206159170703E-2</v>
          </cell>
          <cell r="E736">
            <v>4.9462135277068615E-2</v>
          </cell>
          <cell r="F736">
            <v>5.1213683082883231E-2</v>
          </cell>
          <cell r="G736">
            <v>6.5816891087161378E-2</v>
          </cell>
        </row>
        <row r="737">
          <cell r="A737" t="str">
            <v>D-T-ELC-TW_Bat_S1</v>
          </cell>
          <cell r="B737" t="str">
            <v>VAR_fin</v>
          </cell>
          <cell r="C737" t="str">
            <v>TELC</v>
          </cell>
          <cell r="D737">
            <v>4.8737206159170703E-2</v>
          </cell>
          <cell r="E737">
            <v>4.9462135277068615E-2</v>
          </cell>
          <cell r="F737">
            <v>5.1213683082883231E-2</v>
          </cell>
          <cell r="G737">
            <v>6.5816891087161378E-2</v>
          </cell>
        </row>
        <row r="738">
          <cell r="A738" t="str">
            <v>D-T-ELC-TW_Bat_S1</v>
          </cell>
          <cell r="B738" t="str">
            <v>VAR_ncap</v>
          </cell>
          <cell r="C738" t="str">
            <v>-</v>
          </cell>
          <cell r="D738">
            <v>5.6262829297921103E-3</v>
          </cell>
          <cell r="E738">
            <v>1.94038893530154E-5</v>
          </cell>
          <cell r="F738">
            <v>2.0514484885122001E-4</v>
          </cell>
          <cell r="G738">
            <v>2.6407545704990199E-3</v>
          </cell>
        </row>
        <row r="739">
          <cell r="A739" t="str">
            <v>D-T-ELC-TW_Bat_S1</v>
          </cell>
          <cell r="B739" t="str">
            <v>VAR_cap</v>
          </cell>
          <cell r="C739" t="str">
            <v>-</v>
          </cell>
          <cell r="D739">
            <v>5.6262829297921103E-3</v>
          </cell>
          <cell r="E739">
            <v>5.6456868191451202E-3</v>
          </cell>
          <cell r="F739">
            <v>5.8508316679963396E-3</v>
          </cell>
          <cell r="G739">
            <v>6.9794653497314502E-3</v>
          </cell>
        </row>
        <row r="740">
          <cell r="A740" t="str">
            <v>T_C-FC-H2O-S3</v>
          </cell>
          <cell r="B740" t="str">
            <v>VAR_fout</v>
          </cell>
          <cell r="C740" t="str">
            <v>TPCAR</v>
          </cell>
          <cell r="D740">
            <v>9.0139889696241437E-4</v>
          </cell>
          <cell r="E740">
            <v>1.9321950628940702E-3</v>
          </cell>
          <cell r="F740">
            <v>2.0213085723141669E-3</v>
          </cell>
          <cell r="G740">
            <v>7.4024593401342774E-4</v>
          </cell>
        </row>
        <row r="741">
          <cell r="A741" t="str">
            <v>T_C-FC-H2O-S3</v>
          </cell>
          <cell r="B741" t="str">
            <v>VAR_fin</v>
          </cell>
          <cell r="C741" t="str">
            <v>TH2O</v>
          </cell>
          <cell r="D741">
            <v>1.0860161302109692E-3</v>
          </cell>
          <cell r="E741">
            <v>2.3279316316985187E-3</v>
          </cell>
          <cell r="F741">
            <v>2.4352966495347528E-3</v>
          </cell>
          <cell r="G741">
            <v>8.9185712049433372E-4</v>
          </cell>
        </row>
        <row r="742">
          <cell r="A742" t="str">
            <v>T_C-FC-H2O-S3</v>
          </cell>
          <cell r="B742" t="str">
            <v>VAR_ncap</v>
          </cell>
          <cell r="C742" t="str">
            <v>-</v>
          </cell>
          <cell r="E742">
            <v>2.2842811309806201E-5</v>
          </cell>
          <cell r="F742">
            <v>1.4591577816206499E-5</v>
          </cell>
          <cell r="G742">
            <v>5.9779438642896097E-6</v>
          </cell>
        </row>
        <row r="743">
          <cell r="A743" t="str">
            <v>T_C-FC-H2O-S3</v>
          </cell>
          <cell r="B743" t="str">
            <v>VAR_cap</v>
          </cell>
          <cell r="C743" t="str">
            <v>-</v>
          </cell>
          <cell r="D743">
            <v>5.3593683227500278E-5</v>
          </cell>
          <cell r="E743">
            <v>1.3037117849924328E-4</v>
          </cell>
          <cell r="F743">
            <v>1.3824734746197454E-4</v>
          </cell>
          <cell r="G743">
            <v>3.732306702197E-5</v>
          </cell>
        </row>
        <row r="744">
          <cell r="A744" t="str">
            <v>T_B_c-ICEDSL-S3</v>
          </cell>
          <cell r="B744" t="str">
            <v>VAR_fout</v>
          </cell>
          <cell r="C744" t="str">
            <v>CO2_T</v>
          </cell>
          <cell r="D744">
            <v>10.82877213496381</v>
          </cell>
          <cell r="E744">
            <v>8.6158344628404659</v>
          </cell>
          <cell r="F744">
            <v>10.260819385504613</v>
          </cell>
          <cell r="G744">
            <v>1.184703320279433E-2</v>
          </cell>
        </row>
        <row r="745">
          <cell r="A745" t="str">
            <v>T_B_c-ICEDSL-S3</v>
          </cell>
          <cell r="B745" t="str">
            <v>VAR_fout</v>
          </cell>
          <cell r="C745" t="str">
            <v>TPBSc</v>
          </cell>
          <cell r="D745">
            <v>8.5610127407236367E-3</v>
          </cell>
          <cell r="E745">
            <v>6.8416723657528803E-3</v>
          </cell>
          <cell r="F745">
            <v>8.1600046481137504E-3</v>
          </cell>
          <cell r="G745">
            <v>9.8795000682937094E-6</v>
          </cell>
        </row>
        <row r="746">
          <cell r="A746" t="str">
            <v>T_B_c-ICEDSL-S3</v>
          </cell>
          <cell r="B746" t="str">
            <v>VAR_fin</v>
          </cell>
          <cell r="C746" t="str">
            <v>TDSL</v>
          </cell>
          <cell r="D746">
            <v>0.1477322255793154</v>
          </cell>
          <cell r="E746">
            <v>0.11754207998418099</v>
          </cell>
          <cell r="F746">
            <v>0.13998389339023989</v>
          </cell>
          <cell r="G746">
            <v>1.6162391818273295E-4</v>
          </cell>
        </row>
        <row r="747">
          <cell r="A747" t="str">
            <v>T_B_c-ICEDSL-S3</v>
          </cell>
          <cell r="B747" t="str">
            <v>VAR_ncap</v>
          </cell>
          <cell r="C747" t="str">
            <v>-</v>
          </cell>
          <cell r="E747">
            <v>3.77875512956435E-6</v>
          </cell>
          <cell r="F747">
            <v>3.9811475000673703E-6</v>
          </cell>
          <cell r="G747">
            <v>3.3077960475755597E-8</v>
          </cell>
        </row>
        <row r="748">
          <cell r="A748" t="str">
            <v>T_B_c-ICEDSL-S3</v>
          </cell>
          <cell r="B748" t="str">
            <v>VAR_cap</v>
          </cell>
          <cell r="C748" t="str">
            <v>-</v>
          </cell>
          <cell r="D748">
            <v>1.9278160029703479E-4</v>
          </cell>
          <cell r="E748">
            <v>1.7371711389741035E-4</v>
          </cell>
          <cell r="F748">
            <v>1.7974817032420729E-4</v>
          </cell>
          <cell r="G748">
            <v>3.3844573450798779E-8</v>
          </cell>
        </row>
        <row r="749">
          <cell r="A749" t="str">
            <v>T_TW-FCLH2O-S2</v>
          </cell>
          <cell r="B749" t="str">
            <v>VAR_fout</v>
          </cell>
          <cell r="C749" t="str">
            <v>TPTWL</v>
          </cell>
          <cell r="G749">
            <v>1.6962546551154071E-3</v>
          </cell>
        </row>
        <row r="750">
          <cell r="A750" t="str">
            <v>T_TW-FCLH2O-S2</v>
          </cell>
          <cell r="B750" t="str">
            <v>VAR_fin</v>
          </cell>
          <cell r="C750" t="str">
            <v>TH2O</v>
          </cell>
          <cell r="G750">
            <v>6.2803617800122693E-4</v>
          </cell>
        </row>
        <row r="751">
          <cell r="A751" t="str">
            <v>T_TW-FCLH2O-S2</v>
          </cell>
          <cell r="B751" t="str">
            <v>VAR_ncap</v>
          </cell>
          <cell r="C751" t="str">
            <v>-</v>
          </cell>
          <cell r="G751">
            <v>6.2575852283984902E-4</v>
          </cell>
        </row>
        <row r="752">
          <cell r="A752" t="str">
            <v>T_TW-FCLH2O-S2</v>
          </cell>
          <cell r="B752" t="str">
            <v>VAR_cap</v>
          </cell>
          <cell r="C752" t="str">
            <v>-</v>
          </cell>
          <cell r="G752">
            <v>6.2575852283984902E-4</v>
          </cell>
        </row>
        <row r="753">
          <cell r="A753" t="str">
            <v>D-T-ELC-TW_Bat_S2</v>
          </cell>
          <cell r="B753" t="str">
            <v>VAR_fout</v>
          </cell>
          <cell r="C753" t="str">
            <v>T-ELC-TWSTGin_S2</v>
          </cell>
          <cell r="D753">
            <v>2.1672685991085787E-3</v>
          </cell>
          <cell r="E753">
            <v>2.6278812416445684E-3</v>
          </cell>
          <cell r="F753">
            <v>3.6222755915213071E-3</v>
          </cell>
          <cell r="G753">
            <v>4.2959306971245823E-2</v>
          </cell>
        </row>
        <row r="754">
          <cell r="A754" t="str">
            <v>D-T-ELC-TW_Bat_S2</v>
          </cell>
          <cell r="B754" t="str">
            <v>VAR_fin</v>
          </cell>
          <cell r="C754" t="str">
            <v>TELC</v>
          </cell>
          <cell r="D754">
            <v>2.1672685991085787E-3</v>
          </cell>
          <cell r="E754">
            <v>2.6278812416445684E-3</v>
          </cell>
          <cell r="F754">
            <v>3.6222755915213071E-3</v>
          </cell>
          <cell r="G754">
            <v>4.2959306971245823E-2</v>
          </cell>
        </row>
        <row r="755">
          <cell r="A755" t="str">
            <v>D-T-ELC-TW_Bat_S2</v>
          </cell>
          <cell r="B755" t="str">
            <v>VAR_ncap</v>
          </cell>
          <cell r="C755" t="str">
            <v>-</v>
          </cell>
          <cell r="D755">
            <v>2.2627890506179498E-3</v>
          </cell>
          <cell r="E755">
            <v>1.5168940056789E-5</v>
          </cell>
          <cell r="F755">
            <v>9.3278767379742606E-5</v>
          </cell>
          <cell r="G755">
            <v>2.1983423395301E-3</v>
          </cell>
        </row>
        <row r="756">
          <cell r="A756" t="str">
            <v>D-T-ELC-TW_Bat_S2</v>
          </cell>
          <cell r="B756" t="str">
            <v>VAR_cap</v>
          </cell>
          <cell r="C756" t="str">
            <v>-</v>
          </cell>
          <cell r="D756">
            <v>2.2627890506179498E-3</v>
          </cell>
          <cell r="E756">
            <v>2.2779579906747399E-3</v>
          </cell>
          <cell r="F756">
            <v>2.37123675805448E-3</v>
          </cell>
          <cell r="G756">
            <v>4.56957909758458E-3</v>
          </cell>
        </row>
        <row r="757">
          <cell r="A757" t="str">
            <v>T_C-FC-H2O-S4</v>
          </cell>
          <cell r="B757" t="str">
            <v>VAR_fout</v>
          </cell>
          <cell r="C757" t="str">
            <v>TPCAR</v>
          </cell>
          <cell r="E757">
            <v>3.9973308685203928E-4</v>
          </cell>
          <cell r="F757">
            <v>6.1830108148288449E-4</v>
          </cell>
          <cell r="G757">
            <v>3.1778892702910653E-4</v>
          </cell>
        </row>
        <row r="758">
          <cell r="A758" t="str">
            <v>T_C-FC-H2O-S4</v>
          </cell>
          <cell r="B758" t="str">
            <v>VAR_fin</v>
          </cell>
          <cell r="C758" t="str">
            <v>TH2O</v>
          </cell>
          <cell r="E758">
            <v>4.7771943737256084E-4</v>
          </cell>
          <cell r="F758">
            <v>7.3892918672049208E-4</v>
          </cell>
          <cell r="G758">
            <v>3.7978829478223371E-4</v>
          </cell>
        </row>
        <row r="759">
          <cell r="A759" t="str">
            <v>T_C-FC-H2O-S4</v>
          </cell>
          <cell r="B759" t="str">
            <v>VAR_ncap</v>
          </cell>
          <cell r="C759" t="str">
            <v>-</v>
          </cell>
          <cell r="E759">
            <v>3.2628693302436003E-5</v>
          </cell>
          <cell r="F759">
            <v>1.92985430881426E-5</v>
          </cell>
          <cell r="G759">
            <v>7.2573855161160399E-6</v>
          </cell>
        </row>
        <row r="760">
          <cell r="A760" t="str">
            <v>T_C-FC-H2O-S4</v>
          </cell>
          <cell r="B760" t="str">
            <v>VAR_cap</v>
          </cell>
          <cell r="C760" t="str">
            <v>-</v>
          </cell>
          <cell r="E760">
            <v>3.2194302584244299E-5</v>
          </cell>
          <cell r="F760">
            <v>4.9281645416991686E-5</v>
          </cell>
          <cell r="G760">
            <v>2.1959387575278099E-5</v>
          </cell>
        </row>
        <row r="761">
          <cell r="A761" t="str">
            <v>T_B_c-ICEDSL-S4</v>
          </cell>
          <cell r="B761" t="str">
            <v>VAR_fout</v>
          </cell>
          <cell r="C761" t="str">
            <v>CO2_T</v>
          </cell>
          <cell r="D761">
            <v>2.6204502934938647</v>
          </cell>
          <cell r="E761">
            <v>0.34860402859745165</v>
          </cell>
          <cell r="F761">
            <v>0.49593055514163686</v>
          </cell>
          <cell r="G761">
            <v>4.774615229047291E-2</v>
          </cell>
        </row>
        <row r="762">
          <cell r="A762" t="str">
            <v>T_B_c-ICEDSL-S4</v>
          </cell>
          <cell r="B762" t="str">
            <v>VAR_fout</v>
          </cell>
          <cell r="C762" t="str">
            <v>TPBSc</v>
          </cell>
          <cell r="D762">
            <v>1.3815986834318176E-3</v>
          </cell>
          <cell r="E762">
            <v>1.8546059480531357E-4</v>
          </cell>
          <cell r="F762">
            <v>2.6601025153316318E-4</v>
          </cell>
          <cell r="G762">
            <v>2.6430536863632956E-5</v>
          </cell>
        </row>
        <row r="763">
          <cell r="A763" t="str">
            <v>T_B_c-ICEDSL-S4</v>
          </cell>
          <cell r="B763" t="str">
            <v>VAR_fin</v>
          </cell>
          <cell r="C763" t="str">
            <v>TDSL</v>
          </cell>
          <cell r="D763">
            <v>3.5749662939889071E-2</v>
          </cell>
          <cell r="E763">
            <v>4.7558530504427307E-3</v>
          </cell>
          <cell r="F763">
            <v>6.765764735902278E-3</v>
          </cell>
          <cell r="G763">
            <v>6.5137997667766507E-4</v>
          </cell>
        </row>
        <row r="764">
          <cell r="A764" t="str">
            <v>T_B_c-ICEDSL-S4</v>
          </cell>
          <cell r="B764" t="str">
            <v>VAR_ncap</v>
          </cell>
          <cell r="C764" t="str">
            <v>-</v>
          </cell>
          <cell r="E764">
            <v>4.7307731082073298E-7</v>
          </cell>
          <cell r="F764">
            <v>6.7610274839163001E-7</v>
          </cell>
          <cell r="G764">
            <v>5.37070138052862E-8</v>
          </cell>
        </row>
        <row r="765">
          <cell r="A765" t="str">
            <v>T_B_c-ICEDSL-S4</v>
          </cell>
          <cell r="B765" t="str">
            <v>VAR_cap</v>
          </cell>
          <cell r="C765" t="str">
            <v>-</v>
          </cell>
          <cell r="D765">
            <v>3.0218829538064062E-5</v>
          </cell>
          <cell r="E765">
            <v>3.5715884385527301E-6</v>
          </cell>
          <cell r="F765">
            <v>4.9442513745004578E-6</v>
          </cell>
          <cell r="G765">
            <v>-1.9310750205456862E-7</v>
          </cell>
        </row>
        <row r="766">
          <cell r="A766" t="str">
            <v>D-T-ELC-HGV</v>
          </cell>
          <cell r="B766" t="str">
            <v>VAR_fout</v>
          </cell>
          <cell r="C766" t="str">
            <v>T-ELC-HGV_BatSTGin</v>
          </cell>
          <cell r="D766">
            <v>9.6188794424934398E-3</v>
          </cell>
          <cell r="E766">
            <v>3.9611946430072473E-2</v>
          </cell>
          <cell r="F766">
            <v>5.7910155469864069E-2</v>
          </cell>
          <cell r="G766">
            <v>2.5961150897813368</v>
          </cell>
        </row>
        <row r="767">
          <cell r="A767" t="str">
            <v>D-T-ELC-HGV</v>
          </cell>
          <cell r="B767" t="str">
            <v>VAR_fin</v>
          </cell>
          <cell r="C767" t="str">
            <v>TELC</v>
          </cell>
          <cell r="D767">
            <v>9.6188794424934398E-3</v>
          </cell>
          <cell r="E767">
            <v>3.9611946430072473E-2</v>
          </cell>
          <cell r="F767">
            <v>5.7910155469864069E-2</v>
          </cell>
          <cell r="G767">
            <v>2.5961150897813368</v>
          </cell>
        </row>
        <row r="768">
          <cell r="A768" t="str">
            <v>D-T-ELC-HGV</v>
          </cell>
          <cell r="B768" t="str">
            <v>VAR_ncap</v>
          </cell>
          <cell r="C768" t="str">
            <v>-</v>
          </cell>
          <cell r="D768">
            <v>3.6861169752943298E-3</v>
          </cell>
          <cell r="E768">
            <v>3.6099989218421201E-3</v>
          </cell>
          <cell r="F768">
            <v>3.7210652872319101E-3</v>
          </cell>
          <cell r="G768">
            <v>0.32310051004875501</v>
          </cell>
        </row>
        <row r="769">
          <cell r="A769" t="str">
            <v>D-T-ELC-HGV</v>
          </cell>
          <cell r="B769" t="str">
            <v>VAR_cap</v>
          </cell>
          <cell r="C769" t="str">
            <v>-</v>
          </cell>
          <cell r="D769">
            <v>3.6861169752943298E-3</v>
          </cell>
          <cell r="E769">
            <v>7.2961158971364499E-3</v>
          </cell>
          <cell r="F769">
            <v>1.10171811843684E-2</v>
          </cell>
          <cell r="G769">
            <v>0.32748544141389502</v>
          </cell>
        </row>
        <row r="770">
          <cell r="A770" t="str">
            <v>T_TW-FCLH2O-S3</v>
          </cell>
          <cell r="B770" t="str">
            <v>VAR_fout</v>
          </cell>
          <cell r="C770" t="str">
            <v>TPTWL</v>
          </cell>
          <cell r="G770">
            <v>9.6109047913661802E-4</v>
          </cell>
        </row>
        <row r="771">
          <cell r="A771" t="str">
            <v>T_TW-FCLH2O-S3</v>
          </cell>
          <cell r="B771" t="str">
            <v>VAR_fin</v>
          </cell>
          <cell r="C771" t="str">
            <v>TH2O</v>
          </cell>
          <cell r="G771">
            <v>5.4587298937679737E-4</v>
          </cell>
        </row>
        <row r="772">
          <cell r="A772" t="str">
            <v>T_TW-FCLH2O-S3</v>
          </cell>
          <cell r="B772" t="str">
            <v>VAR_ncap</v>
          </cell>
          <cell r="C772" t="str">
            <v>-</v>
          </cell>
          <cell r="G772">
            <v>3.5118383531799698E-4</v>
          </cell>
        </row>
        <row r="773">
          <cell r="A773" t="str">
            <v>T_TW-FCLH2O-S3</v>
          </cell>
          <cell r="B773" t="str">
            <v>VAR_cap</v>
          </cell>
          <cell r="C773" t="str">
            <v>-</v>
          </cell>
          <cell r="G773">
            <v>3.5118383531799698E-4</v>
          </cell>
        </row>
        <row r="774">
          <cell r="A774" t="str">
            <v>D-T-ELC-TW_Bat_S3</v>
          </cell>
          <cell r="B774" t="str">
            <v>VAR_fout</v>
          </cell>
          <cell r="C774" t="str">
            <v>T-ELC-TWSTGin_S3</v>
          </cell>
          <cell r="D774">
            <v>1.2583784534899124E-3</v>
          </cell>
          <cell r="E774">
            <v>1.7503161666585787E-3</v>
          </cell>
          <cell r="F774">
            <v>2.422719046376635E-3</v>
          </cell>
          <cell r="G774">
            <v>4.7199790215623177E-2</v>
          </cell>
        </row>
        <row r="775">
          <cell r="A775" t="str">
            <v>D-T-ELC-TW_Bat_S3</v>
          </cell>
          <cell r="B775" t="str">
            <v>VAR_fin</v>
          </cell>
          <cell r="C775" t="str">
            <v>TELC</v>
          </cell>
          <cell r="D775">
            <v>1.2583784534899124E-3</v>
          </cell>
          <cell r="E775">
            <v>1.7503161666585787E-3</v>
          </cell>
          <cell r="F775">
            <v>2.422719046376635E-3</v>
          </cell>
          <cell r="G775">
            <v>4.7199790215623177E-2</v>
          </cell>
        </row>
        <row r="776">
          <cell r="A776" t="str">
            <v>D-T-ELC-TW_Bat_S3</v>
          </cell>
          <cell r="B776" t="str">
            <v>VAR_ncap</v>
          </cell>
          <cell r="C776" t="str">
            <v>-</v>
          </cell>
          <cell r="D776">
            <v>2.5890262116082998E-3</v>
          </cell>
          <cell r="E776">
            <v>1.74581813650908E-5</v>
          </cell>
          <cell r="F776">
            <v>7.5791478301063395E-5</v>
          </cell>
          <cell r="G776">
            <v>2.33923958451709E-3</v>
          </cell>
        </row>
        <row r="777">
          <cell r="A777" t="str">
            <v>D-T-ELC-TW_Bat_S3</v>
          </cell>
          <cell r="B777" t="str">
            <v>VAR_cap</v>
          </cell>
          <cell r="C777" t="str">
            <v>-</v>
          </cell>
          <cell r="D777">
            <v>2.5890262116082998E-3</v>
          </cell>
          <cell r="E777">
            <v>2.60648439297339E-3</v>
          </cell>
          <cell r="F777">
            <v>2.6822758712744502E-3</v>
          </cell>
          <cell r="G777">
            <v>5.0215154557915502E-3</v>
          </cell>
        </row>
        <row r="778">
          <cell r="A778" t="str">
            <v>T_TW-FCLH2O-S4</v>
          </cell>
          <cell r="B778" t="str">
            <v>VAR_fout</v>
          </cell>
          <cell r="C778" t="str">
            <v>TPTWL</v>
          </cell>
          <cell r="G778">
            <v>5.0040232972396877E-4</v>
          </cell>
        </row>
        <row r="779">
          <cell r="A779" t="str">
            <v>T_TW-FCLH2O-S4</v>
          </cell>
          <cell r="B779" t="str">
            <v>VAR_fin</v>
          </cell>
          <cell r="C779" t="str">
            <v>TH2O</v>
          </cell>
          <cell r="G779">
            <v>3.2035156088496865E-4</v>
          </cell>
        </row>
        <row r="780">
          <cell r="A780" t="str">
            <v>T_TW-FCLH2O-S4</v>
          </cell>
          <cell r="B780" t="str">
            <v>VAR_ncap</v>
          </cell>
          <cell r="C780" t="str">
            <v>-</v>
          </cell>
          <cell r="G780">
            <v>1.7761152399009E-4</v>
          </cell>
        </row>
        <row r="781">
          <cell r="A781" t="str">
            <v>T_TW-FCLH2O-S4</v>
          </cell>
          <cell r="B781" t="str">
            <v>VAR_cap</v>
          </cell>
          <cell r="C781" t="str">
            <v>-</v>
          </cell>
          <cell r="G781">
            <v>1.7761152399009E-4</v>
          </cell>
        </row>
        <row r="782">
          <cell r="A782" t="str">
            <v>D-T-ELC-TW_Bat_S4</v>
          </cell>
          <cell r="B782" t="str">
            <v>VAR_fout</v>
          </cell>
          <cell r="C782" t="str">
            <v>T-ELC-TWSTGin_S4</v>
          </cell>
          <cell r="D782">
            <v>1.5350417553464536E-3</v>
          </cell>
          <cell r="E782">
            <v>2.118432822800739E-3</v>
          </cell>
          <cell r="F782">
            <v>2.9261404777811231E-3</v>
          </cell>
          <cell r="G782">
            <v>4.7702546367560987E-2</v>
          </cell>
        </row>
        <row r="783">
          <cell r="A783" t="str">
            <v>D-T-ELC-TW_Bat_S4</v>
          </cell>
          <cell r="B783" t="str">
            <v>VAR_fin</v>
          </cell>
          <cell r="C783" t="str">
            <v>TELC</v>
          </cell>
          <cell r="D783">
            <v>1.5350417553464536E-3</v>
          </cell>
          <cell r="E783">
            <v>2.118432822800739E-3</v>
          </cell>
          <cell r="F783">
            <v>2.9261404777811231E-3</v>
          </cell>
          <cell r="G783">
            <v>4.7702546367560987E-2</v>
          </cell>
        </row>
        <row r="784">
          <cell r="A784" t="str">
            <v>D-T-ELC-TW_Bat_S4</v>
          </cell>
          <cell r="B784" t="str">
            <v>VAR_ncap</v>
          </cell>
          <cell r="C784" t="str">
            <v>-</v>
          </cell>
          <cell r="D784">
            <v>2.93674780444474E-3</v>
          </cell>
          <cell r="E784">
            <v>1.8467682127792799E-5</v>
          </cell>
          <cell r="F784">
            <v>4.2565721317769501E-5</v>
          </cell>
          <cell r="G784">
            <v>2.0798341365489302E-3</v>
          </cell>
        </row>
        <row r="785">
          <cell r="A785" t="str">
            <v>D-T-ELC-TW_Bat_S4</v>
          </cell>
          <cell r="B785" t="str">
            <v>VAR_cap</v>
          </cell>
          <cell r="C785" t="str">
            <v>-</v>
          </cell>
          <cell r="D785">
            <v>2.93674780444474E-3</v>
          </cell>
          <cell r="E785">
            <v>2.9552154865725298E-3</v>
          </cell>
          <cell r="F785">
            <v>2.9977812078903002E-3</v>
          </cell>
          <cell r="G785">
            <v>5.0776153444392303E-3</v>
          </cell>
        </row>
        <row r="786">
          <cell r="A786" t="str">
            <v>T_B_u-ICENGA-S1</v>
          </cell>
          <cell r="B786" t="str">
            <v>VAR_fout</v>
          </cell>
          <cell r="C786" t="str">
            <v>CO2_T</v>
          </cell>
          <cell r="E786">
            <v>0.13412595369375799</v>
          </cell>
          <cell r="F786">
            <v>0.28755034179832101</v>
          </cell>
          <cell r="G786">
            <v>2.9792238403456552E-2</v>
          </cell>
        </row>
        <row r="787">
          <cell r="A787" t="str">
            <v>T_B_u-ICENGA-S1</v>
          </cell>
          <cell r="B787" t="str">
            <v>VAR_fout</v>
          </cell>
          <cell r="C787" t="str">
            <v>TPBSu</v>
          </cell>
          <cell r="E787">
            <v>2.8593921996517571E-4</v>
          </cell>
          <cell r="F787">
            <v>6.2856532996014274E-4</v>
          </cell>
          <cell r="G787">
            <v>6.7452481415699098E-5</v>
          </cell>
        </row>
        <row r="788">
          <cell r="A788" t="str">
            <v>T_B_u-ICENGA-S1</v>
          </cell>
          <cell r="B788" t="str">
            <v>VAR_fin</v>
          </cell>
          <cell r="C788" t="str">
            <v>TNGA</v>
          </cell>
          <cell r="E788">
            <v>2.3781197463432296E-3</v>
          </cell>
          <cell r="F788">
            <v>5.0984103155730749E-3</v>
          </cell>
          <cell r="G788">
            <v>5.282311773662521E-4</v>
          </cell>
        </row>
        <row r="789">
          <cell r="A789" t="str">
            <v>T_B_u-ICENGA-S1</v>
          </cell>
          <cell r="B789" t="str">
            <v>VAR_ncap</v>
          </cell>
          <cell r="C789" t="str">
            <v>-</v>
          </cell>
          <cell r="E789">
            <v>6.6904024722344503E-6</v>
          </cell>
          <cell r="F789">
            <v>6.15267661752623E-6</v>
          </cell>
          <cell r="G789">
            <v>4.0539351550895102E-7</v>
          </cell>
        </row>
        <row r="790">
          <cell r="A790" t="str">
            <v>T_B_u-ICENGA-S1</v>
          </cell>
          <cell r="B790" t="str">
            <v>VAR_cap</v>
          </cell>
          <cell r="C790" t="str">
            <v>-</v>
          </cell>
          <cell r="E790">
            <v>6.6904024722344503E-6</v>
          </cell>
          <cell r="F790">
            <v>1.2804057735027064E-5</v>
          </cell>
          <cell r="G790">
            <v>1.2196658999539992E-6</v>
          </cell>
        </row>
        <row r="791">
          <cell r="A791" t="str">
            <v>T_B_u-ICENGA-S2</v>
          </cell>
          <cell r="B791" t="str">
            <v>VAR_fout</v>
          </cell>
          <cell r="C791" t="str">
            <v>CO2_T</v>
          </cell>
          <cell r="E791">
            <v>8.2614091879356893E-2</v>
          </cell>
          <cell r="F791">
            <v>0.293757872770194</v>
          </cell>
          <cell r="G791">
            <v>3.5957981924027001E-2</v>
          </cell>
        </row>
        <row r="792">
          <cell r="A792" t="str">
            <v>T_B_u-ICENGA-S2</v>
          </cell>
          <cell r="B792" t="str">
            <v>VAR_fout</v>
          </cell>
          <cell r="C792" t="str">
            <v>TPBSu</v>
          </cell>
          <cell r="E792">
            <v>1.2450423545269407E-4</v>
          </cell>
          <cell r="F792">
            <v>4.5760668100620395E-4</v>
          </cell>
          <cell r="G792">
            <v>5.7425674646853255E-5</v>
          </cell>
        </row>
        <row r="793">
          <cell r="A793" t="str">
            <v>T_B_u-ICENGA-S2</v>
          </cell>
          <cell r="B793" t="str">
            <v>VAR_fin</v>
          </cell>
          <cell r="C793" t="str">
            <v>TNGA</v>
          </cell>
          <cell r="E793">
            <v>1.4647888631091652E-3</v>
          </cell>
          <cell r="F793">
            <v>5.2084729214573371E-3</v>
          </cell>
          <cell r="G793">
            <v>6.3755287099338679E-4</v>
          </cell>
        </row>
        <row r="794">
          <cell r="A794" t="str">
            <v>T_B_u-ICENGA-S2</v>
          </cell>
          <cell r="B794" t="str">
            <v>VAR_ncap</v>
          </cell>
          <cell r="C794" t="str">
            <v>-</v>
          </cell>
          <cell r="E794">
            <v>2.72430649819412E-6</v>
          </cell>
          <cell r="F794">
            <v>5.5728982283078299E-6</v>
          </cell>
          <cell r="G794">
            <v>1.5396974258836E-7</v>
          </cell>
        </row>
        <row r="795">
          <cell r="A795" t="str">
            <v>T_B_u-ICENGA-S2</v>
          </cell>
          <cell r="B795" t="str">
            <v>VAR_cap</v>
          </cell>
          <cell r="C795" t="str">
            <v>-</v>
          </cell>
          <cell r="E795">
            <v>2.72430649819412E-6</v>
          </cell>
          <cell r="F795">
            <v>8.2776169049815855E-6</v>
          </cell>
          <cell r="G795">
            <v>4.2126992344447964E-7</v>
          </cell>
        </row>
        <row r="796">
          <cell r="A796" t="str">
            <v>T_B_c-ICEDSLEXT</v>
          </cell>
          <cell r="B796" t="str">
            <v>VAR_fout</v>
          </cell>
          <cell r="C796" t="str">
            <v>CO2_T</v>
          </cell>
          <cell r="D796">
            <v>0.44429367441163797</v>
          </cell>
          <cell r="E796">
            <v>0.441711829193707</v>
          </cell>
          <cell r="F796">
            <v>0.43407115383775102</v>
          </cell>
        </row>
        <row r="797">
          <cell r="A797" t="str">
            <v>T_B_c-ICEDSLEXT</v>
          </cell>
          <cell r="B797" t="str">
            <v>VAR_fout</v>
          </cell>
          <cell r="C797" t="str">
            <v>TPBSc</v>
          </cell>
          <cell r="D797">
            <v>6.0311500047996E-2</v>
          </cell>
          <cell r="E797">
            <v>4.8086489161902661E-2</v>
          </cell>
          <cell r="F797">
            <v>2.9751001412029274E-2</v>
          </cell>
        </row>
        <row r="798">
          <cell r="A798" t="str">
            <v>T_B_c-ICEDSLEXT</v>
          </cell>
          <cell r="B798" t="str">
            <v>VAR_fin</v>
          </cell>
          <cell r="C798" t="str">
            <v>TDSL</v>
          </cell>
          <cell r="D798">
            <v>6.0613052443606891E-3</v>
          </cell>
          <cell r="E798">
            <v>6.026082253665856E-3</v>
          </cell>
          <cell r="F798">
            <v>5.9218438449897869E-3</v>
          </cell>
        </row>
        <row r="799">
          <cell r="A799" t="str">
            <v>T_B_c-ICEDSLEXT</v>
          </cell>
          <cell r="B799" t="str">
            <v>VAR_cap</v>
          </cell>
          <cell r="C799" t="str">
            <v>-</v>
          </cell>
          <cell r="D799">
            <v>1.30332047521267E-3</v>
          </cell>
          <cell r="E799">
            <v>1.04265638017014E-3</v>
          </cell>
          <cell r="F799">
            <v>6.4448157599793503E-4</v>
          </cell>
        </row>
        <row r="800">
          <cell r="A800" t="str">
            <v>T_B_u-ICENGA-S3</v>
          </cell>
          <cell r="B800" t="str">
            <v>VAR_fout</v>
          </cell>
          <cell r="C800" t="str">
            <v>CO2_T</v>
          </cell>
          <cell r="E800">
            <v>0.12045274774294</v>
          </cell>
          <cell r="F800">
            <v>0.722664449632068</v>
          </cell>
          <cell r="G800">
            <v>6.6189740758268806E-2</v>
          </cell>
        </row>
        <row r="801">
          <cell r="A801" t="str">
            <v>T_B_u-ICENGA-S3</v>
          </cell>
          <cell r="B801" t="str">
            <v>VAR_fout</v>
          </cell>
          <cell r="C801" t="str">
            <v>TPBSu</v>
          </cell>
          <cell r="E801">
            <v>1.2050001788873909E-4</v>
          </cell>
          <cell r="F801">
            <v>7.5260424562096924E-4</v>
          </cell>
          <cell r="G801">
            <v>7.0223354229547531E-5</v>
          </cell>
        </row>
        <row r="802">
          <cell r="A802" t="str">
            <v>T_B_u-ICENGA-S3</v>
          </cell>
          <cell r="B802" t="str">
            <v>VAR_fin</v>
          </cell>
          <cell r="C802" t="str">
            <v>TNGA</v>
          </cell>
          <cell r="E802">
            <v>2.1356870167187924E-3</v>
          </cell>
          <cell r="F802">
            <v>1.2813199461561493E-2</v>
          </cell>
          <cell r="G802">
            <v>1.1735769637990902E-3</v>
          </cell>
        </row>
        <row r="803">
          <cell r="A803" t="str">
            <v>T_B_u-ICENGA-S3</v>
          </cell>
          <cell r="B803" t="str">
            <v>VAR_ncap</v>
          </cell>
          <cell r="C803" t="str">
            <v>-</v>
          </cell>
          <cell r="E803">
            <v>2.3779028944992601E-6</v>
          </cell>
          <cell r="F803">
            <v>1.08807253855762E-5</v>
          </cell>
          <cell r="G803">
            <v>4.3880139559581498E-8</v>
          </cell>
        </row>
        <row r="804">
          <cell r="A804" t="str">
            <v>T_B_u-ICENGA-S3</v>
          </cell>
          <cell r="B804" t="str">
            <v>VAR_cap</v>
          </cell>
          <cell r="C804" t="str">
            <v>-</v>
          </cell>
          <cell r="E804">
            <v>2.3779028944992601E-6</v>
          </cell>
          <cell r="F804">
            <v>1.32586282800755E-5</v>
          </cell>
          <cell r="G804">
            <v>1.4834804970919871E-7</v>
          </cell>
        </row>
        <row r="805">
          <cell r="A805" t="str">
            <v>T_B_u-ICENGA-S4</v>
          </cell>
          <cell r="B805" t="str">
            <v>VAR_fout</v>
          </cell>
          <cell r="C805" t="str">
            <v>CO2_T</v>
          </cell>
          <cell r="E805">
            <v>2.8830232576250201E-2</v>
          </cell>
          <cell r="F805">
            <v>8.2350217687518407E-2</v>
          </cell>
          <cell r="G805">
            <v>5.6572224205277397E-2</v>
          </cell>
        </row>
        <row r="806">
          <cell r="A806" t="str">
            <v>T_B_u-ICENGA-S4</v>
          </cell>
          <cell r="B806" t="str">
            <v>VAR_fout</v>
          </cell>
          <cell r="C806" t="str">
            <v>TPBSu</v>
          </cell>
          <cell r="E806">
            <v>1.926573020955691E-5</v>
          </cell>
          <cell r="F806">
            <v>5.6434863752907247E-5</v>
          </cell>
          <cell r="G806">
            <v>4.0200438603369262E-5</v>
          </cell>
        </row>
        <row r="807">
          <cell r="A807" t="str">
            <v>T_B_u-ICENGA-S4</v>
          </cell>
          <cell r="B807" t="str">
            <v>VAR_fin</v>
          </cell>
          <cell r="C807" t="str">
            <v>TNGA</v>
          </cell>
          <cell r="E807">
            <v>5.1117433645833687E-4</v>
          </cell>
          <cell r="F807">
            <v>1.460110242686498E-3</v>
          </cell>
          <cell r="G807">
            <v>1.0030536206609487E-3</v>
          </cell>
        </row>
        <row r="808">
          <cell r="A808" t="str">
            <v>T_B_u-ICENGA-S4</v>
          </cell>
          <cell r="B808" t="str">
            <v>VAR_ncap</v>
          </cell>
          <cell r="C808" t="str">
            <v>-</v>
          </cell>
          <cell r="E808">
            <v>6.8204641675086095E-8</v>
          </cell>
          <cell r="F808">
            <v>7.2135246483347502E-8</v>
          </cell>
          <cell r="G808">
            <v>4.5641684030385201E-8</v>
          </cell>
        </row>
        <row r="809">
          <cell r="A809" t="str">
            <v>T_B_u-ICENGA-S4</v>
          </cell>
          <cell r="B809" t="str">
            <v>VAR_cap</v>
          </cell>
          <cell r="C809" t="str">
            <v>-</v>
          </cell>
          <cell r="E809">
            <v>6.8204641675086095E-8</v>
          </cell>
          <cell r="F809">
            <v>1.0981129473904671E-7</v>
          </cell>
          <cell r="G809">
            <v>4.8358719496030094E-8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18.874840002774317</v>
          </cell>
          <cell r="C9">
            <v>21.791946008281279</v>
          </cell>
          <cell r="D9">
            <v>32.398774427637392</v>
          </cell>
          <cell r="E9">
            <v>54.41742758755997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</sheetData>
      <sheetData sheetId="56"/>
      <sheetData sheetId="57"/>
      <sheetData sheetId="58">
        <row r="14">
          <cell r="B14">
            <v>82.760065957019648</v>
          </cell>
          <cell r="C14">
            <v>82.759336656114726</v>
          </cell>
          <cell r="D14">
            <v>76.100906333578592</v>
          </cell>
          <cell r="E14">
            <v>69.908765460793006</v>
          </cell>
        </row>
        <row r="15">
          <cell r="B15">
            <v>66.745681606063101</v>
          </cell>
          <cell r="C15">
            <v>49.798777987808691</v>
          </cell>
          <cell r="D15">
            <v>68.970400584037336</v>
          </cell>
          <cell r="E15">
            <v>70.970232393460137</v>
          </cell>
        </row>
        <row r="16">
          <cell r="B16">
            <v>66.632430866657671</v>
          </cell>
          <cell r="C16">
            <v>55.764055694378619</v>
          </cell>
          <cell r="D16">
            <v>65.677217745587797</v>
          </cell>
          <cell r="E16">
            <v>64.853740316850036</v>
          </cell>
        </row>
        <row r="17">
          <cell r="B17">
            <v>12.841988463511951</v>
          </cell>
          <cell r="C17">
            <v>16.070677621855776</v>
          </cell>
          <cell r="D17">
            <v>2.4652736598746894</v>
          </cell>
          <cell r="E17">
            <v>44.692161507987691</v>
          </cell>
        </row>
        <row r="18">
          <cell r="B18">
            <v>3.9634894610343877E-2</v>
          </cell>
          <cell r="C18">
            <v>2.5645816070054618E-3</v>
          </cell>
          <cell r="D18">
            <v>3.759870426523073E-2</v>
          </cell>
          <cell r="E18">
            <v>5.1097582842592843E-3</v>
          </cell>
        </row>
        <row r="19">
          <cell r="B19">
            <v>6.507014407313485</v>
          </cell>
          <cell r="C19">
            <v>7.3098093015021393</v>
          </cell>
          <cell r="D19">
            <v>8.3571361255006948</v>
          </cell>
          <cell r="E19">
            <v>7.7711274439721532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0.96593191713005089</v>
          </cell>
          <cell r="C24">
            <v>1.9314762520194165E-2</v>
          </cell>
          <cell r="D24">
            <v>7.9851462797953549E-2</v>
          </cell>
          <cell r="E24">
            <v>0</v>
          </cell>
        </row>
        <row r="25">
          <cell r="B25">
            <v>3.5079983935050367E-3</v>
          </cell>
          <cell r="C25">
            <v>6.9941105787251099E-3</v>
          </cell>
          <cell r="D25">
            <v>8.7588826730875084E-3</v>
          </cell>
          <cell r="E25">
            <v>5.6067726834903492E-2</v>
          </cell>
        </row>
        <row r="26">
          <cell r="B26">
            <v>1.5475618152654813</v>
          </cell>
          <cell r="C26">
            <v>1.4286404573739921</v>
          </cell>
          <cell r="D26">
            <v>1.3579177780170089</v>
          </cell>
          <cell r="E26">
            <v>1.4936473504932808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1.8349123239430553E-3</v>
          </cell>
          <cell r="C28">
            <v>2.4504348226983604E-3</v>
          </cell>
          <cell r="D28">
            <v>8.458607703420223E-3</v>
          </cell>
          <cell r="E28">
            <v>1.9039403292679326E-3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0.54530775595618142</v>
          </cell>
          <cell r="D33">
            <v>0.50318035428973074</v>
          </cell>
          <cell r="E33">
            <v>2.0503052471689203</v>
          </cell>
        </row>
        <row r="34">
          <cell r="B34">
            <v>0</v>
          </cell>
          <cell r="C34">
            <v>0</v>
          </cell>
          <cell r="D34">
            <v>0.14061592372971998</v>
          </cell>
          <cell r="E34">
            <v>0.57957701760343749</v>
          </cell>
        </row>
        <row r="35">
          <cell r="B35">
            <v>3.517953999707534</v>
          </cell>
          <cell r="C35">
            <v>4.8486281142671022</v>
          </cell>
          <cell r="D35">
            <v>11.161305651766572</v>
          </cell>
          <cell r="E35">
            <v>19.477151131911679</v>
          </cell>
        </row>
        <row r="36">
          <cell r="B36">
            <v>2.1349390887346629</v>
          </cell>
          <cell r="C36">
            <v>3.3914827647697323</v>
          </cell>
          <cell r="D36">
            <v>4.6620329377745984</v>
          </cell>
          <cell r="E36">
            <v>11.187020787587855</v>
          </cell>
        </row>
        <row r="37">
          <cell r="B37">
            <v>0.86248322578584768</v>
          </cell>
          <cell r="C37">
            <v>1.2885477144662159</v>
          </cell>
          <cell r="D37">
            <v>2.869986314729239</v>
          </cell>
          <cell r="E37">
            <v>3.1633710222567237</v>
          </cell>
        </row>
        <row r="38">
          <cell r="B38">
            <v>2.8396236857719668</v>
          </cell>
          <cell r="C38">
            <v>3.2944605147353974</v>
          </cell>
          <cell r="D38">
            <v>9.9662483434325413</v>
          </cell>
          <cell r="E38">
            <v>17.9023480892942</v>
          </cell>
        </row>
        <row r="39">
          <cell r="B39">
            <v>0.67022153480345359</v>
          </cell>
          <cell r="C39">
            <v>0.2165257068792647</v>
          </cell>
          <cell r="D39">
            <v>0.47426138968811049</v>
          </cell>
          <cell r="E39">
            <v>5.1811120007294945E-2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7.0553886358753079E-2</v>
          </cell>
          <cell r="C41">
            <v>0.16656546239737904</v>
          </cell>
          <cell r="D41">
            <v>0.12551260495420383</v>
          </cell>
          <cell r="E41">
            <v>0.16131818156861827</v>
          </cell>
        </row>
        <row r="42">
          <cell r="B42">
            <v>0.17256107231247877</v>
          </cell>
          <cell r="C42">
            <v>0.40268154372963511</v>
          </cell>
          <cell r="D42">
            <v>1.2506960614241154</v>
          </cell>
          <cell r="E42">
            <v>2.5438574257938686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0.23014468712349984</v>
          </cell>
          <cell r="C44">
            <v>0.24358250636368389</v>
          </cell>
          <cell r="D44">
            <v>1.2725045049717524E-2</v>
          </cell>
          <cell r="E44">
            <v>1.446874655622681E-2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3.9655311133265141E-2</v>
          </cell>
          <cell r="C48">
            <v>1.2010640760934775E-2</v>
          </cell>
          <cell r="D48">
            <v>1.7645600932978896E-2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5.2667992513847454E-2</v>
          </cell>
          <cell r="C51">
            <v>1.6451254986357702E-2</v>
          </cell>
          <cell r="D51">
            <v>3.8739416109709636E-2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0.95943960649442961</v>
          </cell>
          <cell r="C54">
            <v>1.1064357631516968</v>
          </cell>
          <cell r="D54">
            <v>1.1064075775951663</v>
          </cell>
          <cell r="E54">
            <v>1.1068242607460734</v>
          </cell>
        </row>
        <row r="55">
          <cell r="B55">
            <v>0.59464229570300875</v>
          </cell>
          <cell r="C55">
            <v>0.62664260984377185</v>
          </cell>
          <cell r="D55">
            <v>0.53747126247534416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4.153084339351247E-2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70">
          <cell r="B70">
            <v>9.9717135625453548E-2</v>
          </cell>
          <cell r="C70">
            <v>4.6896170324756133E-2</v>
          </cell>
          <cell r="D70">
            <v>6.7124356785342967E-2</v>
          </cell>
          <cell r="E70">
            <v>9.463092686678605E-2</v>
          </cell>
        </row>
        <row r="71">
          <cell r="B71">
            <v>6.5281552500512124E-2</v>
          </cell>
          <cell r="C71">
            <v>6.1819133058506948E-2</v>
          </cell>
          <cell r="D71">
            <v>6.3527400894878738E-2</v>
          </cell>
          <cell r="E71">
            <v>0.18716294914312429</v>
          </cell>
        </row>
        <row r="72">
          <cell r="B72">
            <v>6.6159788967022293E-2</v>
          </cell>
          <cell r="C72">
            <v>5.603376658909813E-2</v>
          </cell>
          <cell r="D72">
            <v>5.776570356781402E-2</v>
          </cell>
          <cell r="E72">
            <v>0.12783120503251952</v>
          </cell>
        </row>
        <row r="73">
          <cell r="B73">
            <v>2.4299972021673343E-2</v>
          </cell>
          <cell r="C73">
            <v>2.4394370907758912E-2</v>
          </cell>
          <cell r="D73">
            <v>0.13167801759902142</v>
          </cell>
          <cell r="E73">
            <v>0.28044231849520646</v>
          </cell>
        </row>
        <row r="74">
          <cell r="B74">
            <v>5.1266319642339492E-2</v>
          </cell>
          <cell r="C74">
            <v>5.1392459042663659E-2</v>
          </cell>
          <cell r="D74">
            <v>0.28596347365523234</v>
          </cell>
          <cell r="E74">
            <v>0.81663865986003947</v>
          </cell>
        </row>
        <row r="75">
          <cell r="B75">
            <v>4.6514744505135805E-2</v>
          </cell>
          <cell r="C75">
            <v>4.6633373971838789E-2</v>
          </cell>
          <cell r="D75">
            <v>8.9337674316246021E-2</v>
          </cell>
          <cell r="E75">
            <v>9.1715330631372854E-2</v>
          </cell>
        </row>
        <row r="76">
          <cell r="B76">
            <v>2.527381419877003E-2</v>
          </cell>
          <cell r="C76">
            <v>2.5340972593243589E-2</v>
          </cell>
          <cell r="D76">
            <v>0.18634772672368052</v>
          </cell>
          <cell r="E76">
            <v>0.51232319654089487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</row>
        <row r="91">
          <cell r="B91">
            <v>1.8036467630566795</v>
          </cell>
          <cell r="C91">
            <v>3.7114377824545387E-2</v>
          </cell>
          <cell r="D91">
            <v>0.15994218272706601</v>
          </cell>
          <cell r="E91">
            <v>0</v>
          </cell>
        </row>
        <row r="92">
          <cell r="B92">
            <v>6.3464070776262399E-2</v>
          </cell>
          <cell r="C92">
            <v>0.48747789881660691</v>
          </cell>
          <cell r="D92">
            <v>0.49142424976382193</v>
          </cell>
          <cell r="E92">
            <v>0.15455314246977811</v>
          </cell>
        </row>
        <row r="93">
          <cell r="B93">
            <v>14.461386032860608</v>
          </cell>
          <cell r="C93">
            <v>13.06429502478572</v>
          </cell>
          <cell r="D93">
            <v>12.384524026407272</v>
          </cell>
          <cell r="E93">
            <v>13.423956535214588</v>
          </cell>
        </row>
        <row r="94">
          <cell r="B94">
            <v>9.436691951707139E-3</v>
          </cell>
          <cell r="C94">
            <v>1.2602236231020103E-2</v>
          </cell>
          <cell r="D94">
            <v>4.3501411046161162E-2</v>
          </cell>
          <cell r="E94">
            <v>9.7916931219493644E-3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1.7331149429487607</v>
          </cell>
          <cell r="C97">
            <v>0.70059861527119149</v>
          </cell>
          <cell r="D97">
            <v>7.2432940192724088E-2</v>
          </cell>
          <cell r="E97">
            <v>0</v>
          </cell>
        </row>
        <row r="98">
          <cell r="B98">
            <v>0.90187791691648245</v>
          </cell>
          <cell r="C98">
            <v>0.90182699799917021</v>
          </cell>
          <cell r="D98">
            <v>0.90183460687170802</v>
          </cell>
          <cell r="E98">
            <v>0.90182760903795767</v>
          </cell>
        </row>
        <row r="99">
          <cell r="B99">
            <v>2.9006969043703221</v>
          </cell>
          <cell r="C99">
            <v>7.6011446679458627</v>
          </cell>
          <cell r="D99">
            <v>7.5220312876419371</v>
          </cell>
          <cell r="E99">
            <v>2.1306640705997935</v>
          </cell>
        </row>
        <row r="100">
          <cell r="B100">
            <v>0.18434257993190098</v>
          </cell>
          <cell r="C100">
            <v>0.18378174247741455</v>
          </cell>
          <cell r="D100">
            <v>7.1846489861079567E-3</v>
          </cell>
          <cell r="E100">
            <v>8.9284904955794931E-3</v>
          </cell>
        </row>
        <row r="101">
          <cell r="B101">
            <v>2.4517557807960362</v>
          </cell>
          <cell r="C101">
            <v>2.2126698813532819</v>
          </cell>
          <cell r="D101">
            <v>1.8971086139180009</v>
          </cell>
          <cell r="E101">
            <v>1.71362856189693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1.2798217833901015E-3</v>
          </cell>
        </row>
        <row r="104">
          <cell r="B104">
            <v>0.9300285020017458</v>
          </cell>
          <cell r="C104">
            <v>2.0129949751913112</v>
          </cell>
          <cell r="D104">
            <v>1.3104198277838217</v>
          </cell>
          <cell r="E104">
            <v>1.2420320861859517</v>
          </cell>
        </row>
        <row r="105">
          <cell r="B105">
            <v>0.65994744305975483</v>
          </cell>
          <cell r="C105">
            <v>1.4023866118570587</v>
          </cell>
          <cell r="D105">
            <v>3.7144502899717744</v>
          </cell>
          <cell r="E105">
            <v>5.3812368622562738</v>
          </cell>
        </row>
        <row r="106">
          <cell r="B106">
            <v>1.9356600170775753</v>
          </cell>
          <cell r="C106">
            <v>1.9671878820404487</v>
          </cell>
          <cell r="D106">
            <v>9.6382372040252254E-2</v>
          </cell>
          <cell r="E106">
            <v>9.748796287784349E-2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</row>
        <row r="109">
          <cell r="B109">
            <v>9.5466489765268031E-2</v>
          </cell>
          <cell r="C109">
            <v>2.8622183062037208E-2</v>
          </cell>
          <cell r="D109">
            <v>4.1406476263365882E-2</v>
          </cell>
          <cell r="E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</row>
        <row r="112">
          <cell r="B112">
            <v>0.11441667339215134</v>
          </cell>
          <cell r="C112">
            <v>3.539099865800819E-2</v>
          </cell>
          <cell r="D112">
            <v>8.2109750926786962E-2</v>
          </cell>
          <cell r="E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5">
          <cell r="B115">
            <v>1.4244197113477317</v>
          </cell>
          <cell r="C115">
            <v>1.5790260566022303</v>
          </cell>
          <cell r="D115">
            <v>1.4835438423017189</v>
          </cell>
          <cell r="E115">
            <v>1.3249726680492411</v>
          </cell>
        </row>
        <row r="116">
          <cell r="B116">
            <v>0.69286105154594424</v>
          </cell>
          <cell r="C116">
            <v>0.75112864504069488</v>
          </cell>
          <cell r="D116">
            <v>0.67123691079052017</v>
          </cell>
          <cell r="E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3.125742423827519E-2</v>
          </cell>
        </row>
        <row r="123">
          <cell r="B123">
            <v>0</v>
          </cell>
          <cell r="C123">
            <v>4.1398524482292398</v>
          </cell>
          <cell r="D123">
            <v>4.2653255612942047</v>
          </cell>
          <cell r="E123">
            <v>11.51943336264898</v>
          </cell>
        </row>
      </sheetData>
      <sheetData sheetId="59">
        <row r="13">
          <cell r="B13">
            <v>16.052497217129396</v>
          </cell>
          <cell r="C13">
            <v>20.088411546215649</v>
          </cell>
          <cell r="D13">
            <v>3.0816247243326447</v>
          </cell>
          <cell r="E13">
            <v>55.865174673623464</v>
          </cell>
        </row>
        <row r="14">
          <cell r="B14">
            <v>250.94871707957057</v>
          </cell>
          <cell r="C14">
            <v>253.29674232384002</v>
          </cell>
          <cell r="D14">
            <v>233.18388719099903</v>
          </cell>
          <cell r="E14">
            <v>211.82063694625381</v>
          </cell>
        </row>
        <row r="15">
          <cell r="B15">
            <v>66.745681606063101</v>
          </cell>
          <cell r="C15">
            <v>49.798777987808691</v>
          </cell>
          <cell r="D15">
            <v>68.970400584037336</v>
          </cell>
          <cell r="E15">
            <v>70.970232393460137</v>
          </cell>
        </row>
        <row r="16">
          <cell r="B16">
            <v>66.632430866657671</v>
          </cell>
          <cell r="C16">
            <v>55.764055694378619</v>
          </cell>
          <cell r="D16">
            <v>65.677217745587797</v>
          </cell>
          <cell r="E16">
            <v>64.853740316850036</v>
          </cell>
        </row>
        <row r="18">
          <cell r="B18">
            <v>0.23725264665402263</v>
          </cell>
          <cell r="C18">
            <v>0.29228510052458495</v>
          </cell>
          <cell r="D18">
            <v>0.13554092101139664</v>
          </cell>
          <cell r="E18">
            <v>1.7718494471028752E-2</v>
          </cell>
        </row>
        <row r="19">
          <cell r="B19">
            <v>18.203630783692468</v>
          </cell>
          <cell r="C19">
            <v>20.449481328055573</v>
          </cell>
          <cell r="D19">
            <v>23.37941964085519</v>
          </cell>
          <cell r="E19">
            <v>21.740037121186226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L22">
            <v>2.9381085723922289</v>
          </cell>
          <cell r="M22">
            <v>0.90428017575288155</v>
          </cell>
          <cell r="N22">
            <v>0.97661515684633826</v>
          </cell>
          <cell r="O22">
            <v>3.6898687163034349E-2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L23">
            <v>7.6066531274727234E-2</v>
          </cell>
          <cell r="M23">
            <v>3.2361148076185599E-2</v>
          </cell>
          <cell r="N23">
            <v>5.5767105766502109E-2</v>
          </cell>
          <cell r="O23">
            <v>4.216440440502317E-3</v>
          </cell>
        </row>
        <row r="24">
          <cell r="B24">
            <v>4.0101610852921787</v>
          </cell>
          <cell r="C24">
            <v>8.3666921957301368E-2</v>
          </cell>
          <cell r="D24">
            <v>0.34797184820040949</v>
          </cell>
          <cell r="E24">
            <v>0</v>
          </cell>
        </row>
        <row r="25">
          <cell r="B25">
            <v>1.4503910075075148E-2</v>
          </cell>
          <cell r="C25">
            <v>3.3081899380229367E-2</v>
          </cell>
          <cell r="D25">
            <v>4.4179269800994389E-2</v>
          </cell>
          <cell r="E25">
            <v>0.21209323772649974</v>
          </cell>
        </row>
        <row r="26">
          <cell r="B26">
            <v>40.318253897903311</v>
          </cell>
          <cell r="C26">
            <v>38.764985734634266</v>
          </cell>
          <cell r="D26">
            <v>36.645937194033309</v>
          </cell>
          <cell r="E26">
            <v>40.836478007374645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0.1360994082020909</v>
          </cell>
          <cell r="C28">
            <v>0.31375256943019902</v>
          </cell>
          <cell r="D28">
            <v>9.7893394281909907E-2</v>
          </cell>
          <cell r="E28">
            <v>1.9623593185179356E-2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0.54530775595618142</v>
          </cell>
          <cell r="D33">
            <v>0.50318035428973074</v>
          </cell>
          <cell r="E33">
            <v>2.0503052471689203</v>
          </cell>
        </row>
        <row r="34">
          <cell r="B34">
            <v>0</v>
          </cell>
          <cell r="C34">
            <v>0</v>
          </cell>
          <cell r="D34">
            <v>0.14061592372971998</v>
          </cell>
          <cell r="E34">
            <v>0.57957701760343749</v>
          </cell>
        </row>
        <row r="35">
          <cell r="B35">
            <v>3.517953999707534</v>
          </cell>
          <cell r="C35">
            <v>4.8486281142671022</v>
          </cell>
          <cell r="D35">
            <v>11.161305651766572</v>
          </cell>
          <cell r="E35">
            <v>19.477151131911679</v>
          </cell>
        </row>
        <row r="36">
          <cell r="B36">
            <v>2.1349390887346629</v>
          </cell>
          <cell r="C36">
            <v>3.3914827647697323</v>
          </cell>
          <cell r="D36">
            <v>4.6620329377745984</v>
          </cell>
          <cell r="E36">
            <v>11.187020787587855</v>
          </cell>
        </row>
        <row r="37">
          <cell r="B37">
            <v>0.86248322578584768</v>
          </cell>
          <cell r="C37">
            <v>1.2885477144662159</v>
          </cell>
          <cell r="D37">
            <v>2.869986314729239</v>
          </cell>
          <cell r="E37">
            <v>3.1633710222567237</v>
          </cell>
        </row>
        <row r="38">
          <cell r="B38">
            <v>2.8396236857719668</v>
          </cell>
          <cell r="C38">
            <v>3.2944605147353974</v>
          </cell>
          <cell r="D38">
            <v>9.9662483434325413</v>
          </cell>
          <cell r="E38">
            <v>17.9023480892942</v>
          </cell>
        </row>
        <row r="39">
          <cell r="B39">
            <v>2.1011342061765723</v>
          </cell>
          <cell r="C39">
            <v>0.61721584389619677</v>
          </cell>
          <cell r="D39">
            <v>1.3509293130573314</v>
          </cell>
          <cell r="E39">
            <v>0.14801445937273203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0.39916750447814997</v>
          </cell>
          <cell r="C41">
            <v>0.67873589045973448</v>
          </cell>
          <cell r="D41">
            <v>0.51433225293203977</v>
          </cell>
          <cell r="E41">
            <v>0.61514381707296373</v>
          </cell>
        </row>
        <row r="42">
          <cell r="B42">
            <v>0.87271771145520349</v>
          </cell>
          <cell r="C42">
            <v>1.7856104341453656</v>
          </cell>
          <cell r="D42">
            <v>4.6818413972954458</v>
          </cell>
          <cell r="E42">
            <v>7.5215718293949587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3.7120638912944655</v>
          </cell>
          <cell r="C44">
            <v>3.9300157115484753</v>
          </cell>
          <cell r="D44">
            <v>0.20533323866609896</v>
          </cell>
          <cell r="E44">
            <v>0.23346986813967852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</row>
        <row r="48">
          <cell r="B48">
            <v>0.36964362496619191</v>
          </cell>
          <cell r="C48">
            <v>4.7999032411889839E-2</v>
          </cell>
          <cell r="D48">
            <v>0.16050359970602099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0.40922350646158312</v>
          </cell>
          <cell r="C51">
            <v>6.0887781202826972E-2</v>
          </cell>
          <cell r="D51">
            <v>0.22886442134637469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2.6455257427952419</v>
          </cell>
          <cell r="C54">
            <v>3.0501497583617807</v>
          </cell>
          <cell r="D54">
            <v>3.0613866770378437</v>
          </cell>
          <cell r="E54">
            <v>3.0405769708236456</v>
          </cell>
        </row>
        <row r="55">
          <cell r="B55">
            <v>1.9325400449012506</v>
          </cell>
          <cell r="C55">
            <v>1.7422029624537152</v>
          </cell>
          <cell r="D55">
            <v>1.5435360398165627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8.7433354512657865E-2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0.14259270360686971</v>
          </cell>
          <cell r="C63">
            <v>6.7111088028825455E-2</v>
          </cell>
          <cell r="D63">
            <v>9.591150856597179E-2</v>
          </cell>
          <cell r="E63">
            <v>0.13523474292896367</v>
          </cell>
        </row>
        <row r="64">
          <cell r="B64">
            <v>7.568817361514843E-2</v>
          </cell>
          <cell r="C64">
            <v>7.1510951842750053E-2</v>
          </cell>
          <cell r="D64">
            <v>7.3281443349705988E-2</v>
          </cell>
          <cell r="E64">
            <v>0.21589922497023142</v>
          </cell>
        </row>
        <row r="65">
          <cell r="B65">
            <v>7.3999378163524338E-2</v>
          </cell>
          <cell r="C65">
            <v>6.2665356006377029E-2</v>
          </cell>
          <cell r="D65">
            <v>6.4617068089746862E-2</v>
          </cell>
          <cell r="E65">
            <v>0.14298741531296721</v>
          </cell>
        </row>
        <row r="66">
          <cell r="B66">
            <v>2.6988860836167975E-2</v>
          </cell>
          <cell r="C66">
            <v>2.7063249737833448E-2</v>
          </cell>
          <cell r="D66">
            <v>0.14563440610302489</v>
          </cell>
          <cell r="E66">
            <v>0.31014545012189976</v>
          </cell>
        </row>
        <row r="67">
          <cell r="B67">
            <v>5.6926372581146967E-2</v>
          </cell>
          <cell r="C67">
            <v>5.7040408185467774E-2</v>
          </cell>
          <cell r="D67">
            <v>0.31627214219597655</v>
          </cell>
          <cell r="E67">
            <v>0.90312027066322043</v>
          </cell>
        </row>
        <row r="68">
          <cell r="B68">
            <v>5.1671772909639355E-2</v>
          </cell>
          <cell r="C68">
            <v>5.1777503542751388E-2</v>
          </cell>
          <cell r="D68">
            <v>9.8830390023417036E-2</v>
          </cell>
          <cell r="E68">
            <v>0.10145308080786458</v>
          </cell>
        </row>
        <row r="69">
          <cell r="B69">
            <v>2.8065798617031283E-2</v>
          </cell>
          <cell r="C69">
            <v>2.8114427363918042E-2</v>
          </cell>
          <cell r="D69">
            <v>0.20609229772441351</v>
          </cell>
          <cell r="E69">
            <v>0.56657435010208379</v>
          </cell>
        </row>
        <row r="90">
          <cell r="B90">
            <v>2.0283279054032661</v>
          </cell>
          <cell r="C90">
            <v>0.81993622386271225</v>
          </cell>
          <cell r="D90">
            <v>8.4770923279525318E-2</v>
          </cell>
          <cell r="E90">
            <v>0</v>
          </cell>
        </row>
        <row r="91">
          <cell r="B91">
            <v>1.1840860449880417</v>
          </cell>
          <cell r="C91">
            <v>1.1840191929471144</v>
          </cell>
          <cell r="D91">
            <v>1.1840291827246885</v>
          </cell>
          <cell r="E91">
            <v>1.1840199951870698</v>
          </cell>
        </row>
        <row r="92">
          <cell r="B92">
            <v>1.4503484521851611</v>
          </cell>
          <cell r="C92">
            <v>3.8005723339729314</v>
          </cell>
          <cell r="D92">
            <v>3.7610156438209685</v>
          </cell>
          <cell r="E92">
            <v>1.0653320352998967</v>
          </cell>
        </row>
        <row r="93">
          <cell r="B93">
            <v>0.21574287415336313</v>
          </cell>
          <cell r="C93">
            <v>0.2150865055357141</v>
          </cell>
          <cell r="D93">
            <v>8.4084578973484207E-3</v>
          </cell>
          <cell r="E93">
            <v>1.0449339496490144E-2</v>
          </cell>
        </row>
        <row r="94">
          <cell r="B94">
            <v>3.5025082582800544</v>
          </cell>
          <cell r="C94">
            <v>3.1609569733618343</v>
          </cell>
          <cell r="D94">
            <v>2.7101551627400027</v>
          </cell>
          <cell r="E94">
            <v>2.4480408027098997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2.5596435667802012E-3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0</v>
          </cell>
          <cell r="C97">
            <v>1.3799508160764142</v>
          </cell>
          <cell r="D97">
            <v>1.4217751870980675</v>
          </cell>
          <cell r="E97">
            <v>3.8398111208829926</v>
          </cell>
        </row>
      </sheetData>
      <sheetData sheetId="60">
        <row r="14">
          <cell r="B14">
            <v>3.0805574440748962</v>
          </cell>
          <cell r="C14">
            <v>3.0805512918717244</v>
          </cell>
          <cell r="D14">
            <v>2.8402357421350652</v>
          </cell>
          <cell r="E14">
            <v>2.6090378441108784</v>
          </cell>
        </row>
        <row r="15">
          <cell r="B15">
            <v>7.3394300010600002</v>
          </cell>
          <cell r="C15">
            <v>7.4068633440738028</v>
          </cell>
          <cell r="D15">
            <v>7.423698135618003</v>
          </cell>
          <cell r="E15">
            <v>7.4237970576586196</v>
          </cell>
        </row>
        <row r="16">
          <cell r="B16">
            <v>4.7247299999999992</v>
          </cell>
          <cell r="C16">
            <v>4.8168369740620012</v>
          </cell>
          <cell r="D16">
            <v>4.8809690325953117</v>
          </cell>
          <cell r="E16">
            <v>4.9033383858695121</v>
          </cell>
        </row>
        <row r="17">
          <cell r="B17">
            <v>3.3394499999999998</v>
          </cell>
          <cell r="C17">
            <v>3.9759002044846681</v>
          </cell>
          <cell r="D17">
            <v>4.364321258363618</v>
          </cell>
          <cell r="E17">
            <v>4.364321258363618</v>
          </cell>
        </row>
        <row r="18">
          <cell r="B18">
            <v>8.1232829986476796E-2</v>
          </cell>
          <cell r="C18">
            <v>3.5789385088572843E-2</v>
          </cell>
          <cell r="D18">
            <v>3.26621325943348E-2</v>
          </cell>
          <cell r="E18">
            <v>4.0101408809086622E-2</v>
          </cell>
        </row>
        <row r="19">
          <cell r="B19">
            <v>0.27864794579481322</v>
          </cell>
          <cell r="C19">
            <v>0.27853140953903349</v>
          </cell>
          <cell r="D19">
            <v>0.3117939057380455</v>
          </cell>
          <cell r="E19">
            <v>0.28992250172190026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0.10832730174213549</v>
          </cell>
          <cell r="C24">
            <v>6.1850074897967927E-3</v>
          </cell>
          <cell r="D24">
            <v>6.1699499611585912E-3</v>
          </cell>
          <cell r="E24">
            <v>-9.4486187225961693E-6</v>
          </cell>
        </row>
        <row r="25">
          <cell r="B25">
            <v>6.3088220311879883E-4</v>
          </cell>
          <cell r="C25">
            <v>1.2370814708184685E-3</v>
          </cell>
          <cell r="D25">
            <v>1.5587230261404142E-3</v>
          </cell>
          <cell r="E25">
            <v>3.8329771409397612E-3</v>
          </cell>
        </row>
        <row r="26">
          <cell r="B26">
            <v>7.8399388895541613E-2</v>
          </cell>
          <cell r="C26">
            <v>7.1209981135797421E-2</v>
          </cell>
          <cell r="D26">
            <v>7.1168742030482721E-2</v>
          </cell>
          <cell r="E26">
            <v>7.4049215095624857E-2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1.0757283737330673E-2</v>
          </cell>
          <cell r="C28">
            <v>1.0406777987479129E-2</v>
          </cell>
          <cell r="D28">
            <v>1.0067985908567135E-2</v>
          </cell>
          <cell r="E28">
            <v>5.9965843477021719E-3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8.7120000000000003E-2</v>
          </cell>
          <cell r="C33">
            <v>9.0662617745997209E-2</v>
          </cell>
          <cell r="D33">
            <v>8.365853523992621E-2</v>
          </cell>
          <cell r="E33">
            <v>0.34088408587087532</v>
          </cell>
        </row>
        <row r="34">
          <cell r="B34">
            <v>0</v>
          </cell>
          <cell r="C34">
            <v>0</v>
          </cell>
          <cell r="D34">
            <v>4.4864911900832499E-2</v>
          </cell>
          <cell r="E34">
            <v>0.12144667718272187</v>
          </cell>
        </row>
        <row r="35">
          <cell r="B35">
            <v>1.1186210000000001</v>
          </cell>
          <cell r="C35">
            <v>1.652929024573641</v>
          </cell>
          <cell r="D35">
            <v>3.56113268765997</v>
          </cell>
          <cell r="E35">
            <v>5.6147042074852802</v>
          </cell>
        </row>
        <row r="36">
          <cell r="B36">
            <v>0.67885700000000004</v>
          </cell>
          <cell r="C36">
            <v>1.1561786480868297</v>
          </cell>
          <cell r="D36">
            <v>1.487477375800486</v>
          </cell>
          <cell r="E36">
            <v>3.2249065931547394</v>
          </cell>
        </row>
        <row r="37">
          <cell r="B37">
            <v>0.27424799999999999</v>
          </cell>
          <cell r="C37">
            <v>0.43927434041024166</v>
          </cell>
          <cell r="D37">
            <v>0.91570631028671357</v>
          </cell>
          <cell r="E37">
            <v>0.91192177711104327</v>
          </cell>
        </row>
        <row r="38">
          <cell r="B38">
            <v>0.90292899999999998</v>
          </cell>
          <cell r="C38">
            <v>1.1231031287168727</v>
          </cell>
          <cell r="D38">
            <v>3.1798359897832205</v>
          </cell>
          <cell r="E38">
            <v>5.1607326569476903</v>
          </cell>
        </row>
        <row r="39">
          <cell r="B39">
            <v>4.5701033344932203E-2</v>
          </cell>
          <cell r="C39">
            <v>3.3830713134860552E-2</v>
          </cell>
          <cell r="D39">
            <v>2.5276254932664131E-2</v>
          </cell>
          <cell r="E39">
            <v>1.2310992878392848E-2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8.2975477927690958E-3</v>
          </cell>
          <cell r="C41">
            <v>2.416230990243735E-2</v>
          </cell>
          <cell r="D41">
            <v>2.4136818839332119E-2</v>
          </cell>
          <cell r="E41">
            <v>2.4120541974585231E-2</v>
          </cell>
        </row>
        <row r="42">
          <cell r="B42">
            <v>1.2870252393461221E-2</v>
          </cell>
          <cell r="C42">
            <v>1.5038137398861954E-2</v>
          </cell>
          <cell r="D42">
            <v>4.631644953856081E-2</v>
          </cell>
          <cell r="E42">
            <v>9.4195697419412902E-2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4.0001951834753802E-2</v>
          </cell>
          <cell r="C44">
            <v>1.0543202720331026E-2</v>
          </cell>
          <cell r="D44">
            <v>4.779181618425471E-3</v>
          </cell>
          <cell r="E44">
            <v>4.287235883088731E-3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4.186609550019503E-3</v>
          </cell>
          <cell r="C48">
            <v>2.5028330250821723E-3</v>
          </cell>
          <cell r="D48">
            <v>2.0891366071578588E-3</v>
          </cell>
          <cell r="E48">
            <v>1.8233478151781575E-3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1.3927684143595729E-4</v>
          </cell>
        </row>
        <row r="51">
          <cell r="B51">
            <v>1.2036453705936865E-2</v>
          </cell>
          <cell r="C51">
            <v>4.8900488044276366E-3</v>
          </cell>
          <cell r="D51">
            <v>4.8261182680332977E-3</v>
          </cell>
          <cell r="E51">
            <v>3.4719353208816361E-3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2.4619668007455696E-4</v>
          </cell>
        </row>
        <row r="54">
          <cell r="B54">
            <v>7.3508874322882001E-2</v>
          </cell>
          <cell r="C54">
            <v>8.4809279494260148E-2</v>
          </cell>
          <cell r="D54">
            <v>8.4799500733820837E-2</v>
          </cell>
          <cell r="E54">
            <v>8.49347801261357E-2</v>
          </cell>
        </row>
        <row r="55">
          <cell r="B55">
            <v>6.5195402228535926E-2</v>
          </cell>
          <cell r="C55">
            <v>4.8067676275953139E-2</v>
          </cell>
          <cell r="D55">
            <v>3.3877160342709309E-2</v>
          </cell>
          <cell r="E55">
            <v>4.2992398153878994E-3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2.5563926205390602E-4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2.5823633226281801E-3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</v>
          </cell>
          <cell r="C63">
            <v>9.997276009901121E-2</v>
          </cell>
          <cell r="D63">
            <v>9.9969443633639521E-2</v>
          </cell>
          <cell r="E63">
            <v>9.997017813003288E-2</v>
          </cell>
        </row>
        <row r="64">
          <cell r="B64">
            <v>1.2706960992768201E-2</v>
          </cell>
          <cell r="C64">
            <v>1.271593329609862E-2</v>
          </cell>
          <cell r="D64">
            <v>1.2866627606723847E-2</v>
          </cell>
          <cell r="E64">
            <v>3.1949216350766994E-2</v>
          </cell>
        </row>
        <row r="65">
          <cell r="B65">
            <v>9.6401009126476107E-3</v>
          </cell>
          <cell r="C65">
            <v>9.6497167756319675E-3</v>
          </cell>
          <cell r="D65">
            <v>9.7586707475158276E-3</v>
          </cell>
          <cell r="E65">
            <v>1.7650283203251058E-2</v>
          </cell>
        </row>
        <row r="66">
          <cell r="B66">
            <v>1.0042638807873625E-2</v>
          </cell>
          <cell r="C66">
            <v>1.0056056809871984E-2</v>
          </cell>
          <cell r="D66">
            <v>7.1502404852610613E-2</v>
          </cell>
          <cell r="E66">
            <v>0.11485678790357512</v>
          </cell>
        </row>
        <row r="67">
          <cell r="B67">
            <v>2.118490047211433E-2</v>
          </cell>
          <cell r="C67">
            <v>2.1217381428038345E-2</v>
          </cell>
          <cell r="D67">
            <v>0.15329253630117884</v>
          </cell>
          <cell r="E67">
            <v>0.33449920570524139</v>
          </cell>
        </row>
        <row r="68">
          <cell r="B68">
            <v>1.9202524602450664E-2</v>
          </cell>
          <cell r="C68">
            <v>1.9226490388208617E-2</v>
          </cell>
          <cell r="D68">
            <v>3.6728619300343449E-2</v>
          </cell>
          <cell r="E68">
            <v>3.7537359726462008E-2</v>
          </cell>
        </row>
        <row r="69">
          <cell r="B69">
            <v>1.0448184434593983E-2</v>
          </cell>
          <cell r="C69">
            <v>1.0463179400263247E-2</v>
          </cell>
          <cell r="D69">
            <v>0.12549833836302349</v>
          </cell>
          <cell r="E69">
            <v>0.20984454133192129</v>
          </cell>
        </row>
      </sheetData>
      <sheetData sheetId="61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6.7433343013801897E-2</v>
          </cell>
          <cell r="D15">
            <v>1.9269694653528339E-2</v>
          </cell>
          <cell r="E15">
            <v>0.19600321022085351</v>
          </cell>
        </row>
        <row r="16">
          <cell r="B16">
            <v>0</v>
          </cell>
          <cell r="C16">
            <v>9.77240805752062E-3</v>
          </cell>
          <cell r="D16">
            <v>3.699075894892441E-2</v>
          </cell>
          <cell r="E16">
            <v>1.9946923314106469E-3</v>
          </cell>
        </row>
        <row r="17">
          <cell r="B17">
            <v>0</v>
          </cell>
          <cell r="C17">
            <v>4.8712583636179498E-3</v>
          </cell>
          <cell r="D17">
            <v>2.59622543678957E-6</v>
          </cell>
          <cell r="E17">
            <v>2.5997829062343898E-6</v>
          </cell>
        </row>
        <row r="18">
          <cell r="B18">
            <v>0</v>
          </cell>
          <cell r="C18">
            <v>6.8119039490294295E-4</v>
          </cell>
          <cell r="D18">
            <v>1.5747048355054499E-2</v>
          </cell>
          <cell r="E18">
            <v>1.671709355842E-2</v>
          </cell>
        </row>
        <row r="19">
          <cell r="B19">
            <v>0</v>
          </cell>
          <cell r="C19">
            <v>6.2944844115577101E-6</v>
          </cell>
          <cell r="D19">
            <v>3.3303223640693103E-2</v>
          </cell>
          <cell r="E19">
            <v>4.7093043683537297E-2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3.16525421390184E-6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6.7366484568596205E-4</v>
          </cell>
          <cell r="D25">
            <v>3.2804993034795098E-4</v>
          </cell>
          <cell r="E25">
            <v>2.33579354156465E-3</v>
          </cell>
        </row>
        <row r="26">
          <cell r="B26">
            <v>0</v>
          </cell>
          <cell r="C26">
            <v>7.2413854533022801E-6</v>
          </cell>
          <cell r="D26">
            <v>4.0133576567924799E-6</v>
          </cell>
          <cell r="E26">
            <v>2.9064328118965899E-3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4.3320247787038599E-4</v>
          </cell>
          <cell r="D28">
            <v>1.4826461404456501E-4</v>
          </cell>
          <cell r="E28">
            <v>1.24311930833582E-4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7.1347297093900097E-3</v>
          </cell>
          <cell r="D33">
            <v>0.29201248831448601</v>
          </cell>
          <cell r="E33">
            <v>0.28589390713535401</v>
          </cell>
        </row>
        <row r="34">
          <cell r="B34">
            <v>0</v>
          </cell>
          <cell r="C34">
            <v>0</v>
          </cell>
          <cell r="D34">
            <v>4.490579305494672E-2</v>
          </cell>
          <cell r="E34">
            <v>0.22034307666447547</v>
          </cell>
        </row>
        <row r="35">
          <cell r="B35">
            <v>0</v>
          </cell>
          <cell r="C35">
            <v>2.0099865908369601E-6</v>
          </cell>
          <cell r="D35">
            <v>1.76790967767338</v>
          </cell>
          <cell r="E35">
            <v>2.1224874166294101</v>
          </cell>
        </row>
        <row r="36">
          <cell r="B36">
            <v>0</v>
          </cell>
          <cell r="C36">
            <v>2.7873040867991032E-4</v>
          </cell>
          <cell r="D36">
            <v>0.19804164539180591</v>
          </cell>
          <cell r="E36">
            <v>1.7743120522978684</v>
          </cell>
        </row>
        <row r="37">
          <cell r="B37">
            <v>0</v>
          </cell>
          <cell r="C37">
            <v>3.2902293382866467E-4</v>
          </cell>
          <cell r="D37">
            <v>0.43222928735288446</v>
          </cell>
          <cell r="E37">
            <v>7.9402545648480701E-3</v>
          </cell>
        </row>
        <row r="38">
          <cell r="B38">
            <v>0</v>
          </cell>
          <cell r="C38">
            <v>1.8671488626671899E-6</v>
          </cell>
          <cell r="D38">
            <v>2.0046051226343602</v>
          </cell>
          <cell r="E38">
            <v>2.0654664889237901</v>
          </cell>
        </row>
        <row r="39">
          <cell r="B39">
            <v>0</v>
          </cell>
          <cell r="C39">
            <v>1.3583102283850299E-5</v>
          </cell>
          <cell r="D39">
            <v>1.73569168056178E-3</v>
          </cell>
          <cell r="E39">
            <v>3.48541316175593E-3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2.3246857721985099E-2</v>
          </cell>
          <cell r="D41">
            <v>0</v>
          </cell>
          <cell r="E41">
            <v>0</v>
          </cell>
        </row>
        <row r="42">
          <cell r="B42">
            <v>0</v>
          </cell>
          <cell r="C42">
            <v>1.3360940420271099E-2</v>
          </cell>
          <cell r="D42">
            <v>3.12815534922702E-2</v>
          </cell>
          <cell r="E42">
            <v>4.7887059106327602E-2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6.5538495284263599E-6</v>
          </cell>
          <cell r="D44">
            <v>2.8977592202434901E-6</v>
          </cell>
          <cell r="E44">
            <v>1.1165389637362701E-5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0</v>
          </cell>
          <cell r="C48">
            <v>9.64415610812778E-4</v>
          </cell>
          <cell r="D48">
            <v>0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1.3927684143595729E-4</v>
          </cell>
        </row>
        <row r="51">
          <cell r="B51">
            <v>0</v>
          </cell>
          <cell r="C51">
            <v>1.4748962007393746E-3</v>
          </cell>
          <cell r="D51">
            <v>0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2.4619668007455696E-4</v>
          </cell>
        </row>
        <row r="54">
          <cell r="B54">
            <v>0</v>
          </cell>
          <cell r="C54">
            <v>2.6269355026159E-2</v>
          </cell>
          <cell r="D54">
            <v>6.6458896458788802E-3</v>
          </cell>
          <cell r="E54">
            <v>1.2345629759013E-2</v>
          </cell>
        </row>
        <row r="55">
          <cell r="B55">
            <v>0</v>
          </cell>
          <cell r="C55">
            <v>2.7374575293055599E-2</v>
          </cell>
          <cell r="D55">
            <v>0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2.5563926205390602E-4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2.5823633226281801E-3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</v>
          </cell>
          <cell r="C63">
            <v>9.8710089689859603E-6</v>
          </cell>
          <cell r="D63">
            <v>1.01942253928081E-5</v>
          </cell>
          <cell r="E63">
            <v>9.7242591239973706E-6</v>
          </cell>
        </row>
        <row r="64">
          <cell r="B64">
            <v>1.2706960992768201E-2</v>
          </cell>
          <cell r="C64">
            <v>2.2776678607035101E-5</v>
          </cell>
          <cell r="D64">
            <v>1.65505083251737E-4</v>
          </cell>
          <cell r="E64">
            <v>2.24933384207151E-2</v>
          </cell>
        </row>
        <row r="65">
          <cell r="B65">
            <v>9.6401009126476107E-3</v>
          </cell>
          <cell r="C65">
            <v>1.6638496562853701E-5</v>
          </cell>
          <cell r="D65">
            <v>1.19894829257338E-4</v>
          </cell>
          <cell r="E65">
            <v>1.0479613311352101E-2</v>
          </cell>
        </row>
        <row r="66">
          <cell r="B66">
            <v>1.00410939041946E-2</v>
          </cell>
          <cell r="C66">
            <v>1.8785329182832801E-5</v>
          </cell>
          <cell r="D66">
            <v>6.1457699811451397E-2</v>
          </cell>
          <cell r="E66">
            <v>4.6053601755835998E-2</v>
          </cell>
        </row>
        <row r="67">
          <cell r="B67">
            <v>2.1180689472327201E-2</v>
          </cell>
          <cell r="C67">
            <v>4.32396374258433E-5</v>
          </cell>
          <cell r="D67">
            <v>0.1320948586757755</v>
          </cell>
          <cell r="E67">
            <v>0.18690264250508282</v>
          </cell>
        </row>
        <row r="68">
          <cell r="B68">
            <v>1.9198317434659079E-2</v>
          </cell>
          <cell r="C68">
            <v>3.4923649636720602E-5</v>
          </cell>
          <cell r="D68">
            <v>1.7526191616338321E-2</v>
          </cell>
          <cell r="E68">
            <v>5.9699228842563096E-3</v>
          </cell>
        </row>
        <row r="69">
          <cell r="B69">
            <v>1.0446407934496501E-2</v>
          </cell>
          <cell r="C69">
            <v>2.03944171320226E-5</v>
          </cell>
          <cell r="D69">
            <v>0.115044101282492</v>
          </cell>
          <cell r="E69">
            <v>8.7155393664396799E-2</v>
          </cell>
        </row>
      </sheetData>
      <sheetData sheetId="62"/>
      <sheetData sheetId="63"/>
      <sheetData sheetId="64"/>
      <sheetData sheetId="65"/>
      <sheetData sheetId="66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</row>
      </sheetData>
      <sheetData sheetId="67">
        <row r="5">
          <cell r="B5">
            <v>0.13920514596278311</v>
          </cell>
          <cell r="C5">
            <v>1.2028627611103246</v>
          </cell>
          <cell r="D5">
            <v>1.2012468494261463</v>
          </cell>
          <cell r="E5">
            <v>2.0055232869130191E-2</v>
          </cell>
        </row>
        <row r="12">
          <cell r="B12">
            <v>1.4976588400328694</v>
          </cell>
          <cell r="C12">
            <v>0.33732625099450675</v>
          </cell>
          <cell r="D12">
            <v>1.5378252262442138</v>
          </cell>
          <cell r="E12">
            <v>1.985991608904857</v>
          </cell>
        </row>
        <row r="19">
          <cell r="B19">
            <v>1.3280740866753387</v>
          </cell>
          <cell r="C19">
            <v>4.3847409383883615</v>
          </cell>
          <cell r="D19">
            <v>4.3847627332042052</v>
          </cell>
          <cell r="E19">
            <v>4.3847661262857534</v>
          </cell>
        </row>
        <row r="20">
          <cell r="B20">
            <v>5.6294618300527715</v>
          </cell>
          <cell r="C20">
            <v>6.3922909624357347</v>
          </cell>
          <cell r="D20">
            <v>5.9210631640321649</v>
          </cell>
          <cell r="E20">
            <v>6.9211513247449021</v>
          </cell>
        </row>
        <row r="21">
          <cell r="B21">
            <v>0</v>
          </cell>
          <cell r="C21">
            <v>4.5821181196408333E-3</v>
          </cell>
          <cell r="D21">
            <v>2.0712679602506927E-3</v>
          </cell>
          <cell r="E21">
            <v>6.7654722153275993E-3</v>
          </cell>
        </row>
        <row r="28">
          <cell r="B28">
            <v>5.0244558197298922E-3</v>
          </cell>
          <cell r="C28">
            <v>2.0506674049789439E-2</v>
          </cell>
          <cell r="D28">
            <v>2.1291578446892351E-2</v>
          </cell>
          <cell r="E28">
            <v>9.0407771843223725E-2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8.9002583468709602E-3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8">
          <cell r="B38">
            <v>1.2891444077490366</v>
          </cell>
          <cell r="C38">
            <v>4.4599719775547415</v>
          </cell>
          <cell r="D38">
            <v>4.4599623871722374</v>
          </cell>
          <cell r="E38">
            <v>4.4608105388400263</v>
          </cell>
        </row>
        <row r="39">
          <cell r="B39">
            <v>1.176538351110521</v>
          </cell>
          <cell r="C39">
            <v>4.0703958725878522</v>
          </cell>
          <cell r="D39">
            <v>4.0703871199199924</v>
          </cell>
          <cell r="E39">
            <v>4.0711611860050017</v>
          </cell>
        </row>
      </sheetData>
      <sheetData sheetId="68">
        <row r="3">
          <cell r="B3">
            <v>48.063397652170998</v>
          </cell>
          <cell r="C3">
            <v>49.195533672950376</v>
          </cell>
          <cell r="D3">
            <v>51.968512321024363</v>
          </cell>
          <cell r="E3">
            <v>53.257031650831884</v>
          </cell>
        </row>
        <row r="6">
          <cell r="B6">
            <v>0</v>
          </cell>
          <cell r="C6">
            <v>2.084147841936673</v>
          </cell>
          <cell r="D6">
            <v>2.0840960164003799</v>
          </cell>
          <cell r="E6">
            <v>2.1606887510302721</v>
          </cell>
        </row>
        <row r="11">
          <cell r="B11">
            <v>60.070598110756912</v>
          </cell>
          <cell r="C11">
            <v>61.543511991580971</v>
          </cell>
          <cell r="D11">
            <v>64.989528642358223</v>
          </cell>
          <cell r="E11">
            <v>70.551150173109392</v>
          </cell>
        </row>
        <row r="18">
          <cell r="B18">
            <v>3.5601573608479287</v>
          </cell>
          <cell r="C18">
            <v>3.4647541095190793</v>
          </cell>
          <cell r="D18">
            <v>0.12899021100237884</v>
          </cell>
          <cell r="E18">
            <v>4.382933590500058E-3</v>
          </cell>
        </row>
        <row r="19">
          <cell r="B19">
            <v>12.729060467056971</v>
          </cell>
          <cell r="C19">
            <v>13.638637605412946</v>
          </cell>
          <cell r="D19">
            <v>13.954675063299224</v>
          </cell>
          <cell r="E19">
            <v>14.452189675714195</v>
          </cell>
        </row>
        <row r="21">
          <cell r="B21">
            <v>7.7981381713718525</v>
          </cell>
          <cell r="C21">
            <v>8.0809293328523033</v>
          </cell>
          <cell r="D21">
            <v>10.837298799724925</v>
          </cell>
          <cell r="E21">
            <v>11.462586022714868</v>
          </cell>
        </row>
        <row r="22">
          <cell r="B22">
            <v>6.8107582252723106E-2</v>
          </cell>
          <cell r="C22">
            <v>8.5601774398449418E-2</v>
          </cell>
          <cell r="D22">
            <v>0.10204303950376965</v>
          </cell>
          <cell r="E22">
            <v>2.3313497198267528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0.74902658226029528</v>
          </cell>
          <cell r="C24">
            <v>0.94984297592340505</v>
          </cell>
          <cell r="D24">
            <v>1.7980430544477612</v>
          </cell>
          <cell r="E24">
            <v>4.2220673089439389</v>
          </cell>
        </row>
        <row r="33">
          <cell r="B33">
            <v>12.00720045858591</v>
          </cell>
          <cell r="C33">
            <v>12.710150421713685</v>
          </cell>
          <cell r="D33">
            <v>13.383179962830264</v>
          </cell>
          <cell r="E33">
            <v>17.672794798769623</v>
          </cell>
        </row>
        <row r="34">
          <cell r="B34">
            <v>8.8980668457453493</v>
          </cell>
          <cell r="C34">
            <v>8.1218811327210911</v>
          </cell>
          <cell r="D34">
            <v>8.2563635840967429</v>
          </cell>
          <cell r="E34">
            <v>6.4690434250351396</v>
          </cell>
        </row>
        <row r="35">
          <cell r="B35">
            <v>2.7301536321320046</v>
          </cell>
          <cell r="C35">
            <v>2.7181992097309959</v>
          </cell>
          <cell r="D35">
            <v>4.7469976974586547E-2</v>
          </cell>
          <cell r="E35">
            <v>4.5444010651676508E-3</v>
          </cell>
        </row>
        <row r="36">
          <cell r="B36">
            <v>0</v>
          </cell>
          <cell r="C36">
            <v>0</v>
          </cell>
          <cell r="D36">
            <v>9.5850474839326251E-4</v>
          </cell>
          <cell r="E36">
            <v>0.2156609589686147</v>
          </cell>
        </row>
        <row r="37">
          <cell r="B37">
            <v>35.25330344369997</v>
          </cell>
          <cell r="C37">
            <v>31.928365904344549</v>
          </cell>
          <cell r="D37">
            <v>32.590128059217399</v>
          </cell>
          <cell r="E37">
            <v>20.588419595815022</v>
          </cell>
        </row>
        <row r="38">
          <cell r="B38">
            <v>0.29917750452568143</v>
          </cell>
          <cell r="C38">
            <v>3.3487248932358611E-3</v>
          </cell>
          <cell r="D38">
            <v>2.2793491910112467</v>
          </cell>
          <cell r="E38">
            <v>2.3526540282113944</v>
          </cell>
        </row>
        <row r="39">
          <cell r="B39">
            <v>0.43687091603376721</v>
          </cell>
          <cell r="C39">
            <v>0.55213811081003705</v>
          </cell>
          <cell r="D39">
            <v>1.6042881164276321</v>
          </cell>
          <cell r="E39">
            <v>3.1475976994673842</v>
          </cell>
        </row>
        <row r="55">
          <cell r="B55">
            <v>9.8141619496138333</v>
          </cell>
          <cell r="C55">
            <v>10.335130020858854</v>
          </cell>
          <cell r="D55">
            <v>10.597154447882525</v>
          </cell>
          <cell r="E55">
            <v>13.317086969426741</v>
          </cell>
        </row>
        <row r="56">
          <cell r="B56">
            <v>1.1089658977082459</v>
          </cell>
          <cell r="C56">
            <v>1.4009596081921354</v>
          </cell>
          <cell r="D56">
            <v>2.5872197533277985</v>
          </cell>
          <cell r="E56">
            <v>6.1196187278782199</v>
          </cell>
        </row>
        <row r="57">
          <cell r="B57">
            <v>6.91791002273958</v>
          </cell>
          <cell r="C57">
            <v>6.3246703469299703</v>
          </cell>
          <cell r="D57">
            <v>6.4457194252637864</v>
          </cell>
          <cell r="E57">
            <v>5.2391430723309336</v>
          </cell>
        </row>
        <row r="58">
          <cell r="B58">
            <v>1.8459251245252504</v>
          </cell>
          <cell r="C58">
            <v>1.8457931733678312</v>
          </cell>
          <cell r="D58">
            <v>3.244276238856901E-2</v>
          </cell>
          <cell r="E58">
            <v>3.1390450357645489E-3</v>
          </cell>
        </row>
        <row r="59">
          <cell r="B59">
            <v>28.61986559200254</v>
          </cell>
          <cell r="C59">
            <v>25.727636490005015</v>
          </cell>
          <cell r="D59">
            <v>28.100348063994108</v>
          </cell>
          <cell r="E59">
            <v>18.537435265853812</v>
          </cell>
        </row>
        <row r="60">
          <cell r="B60">
            <v>0</v>
          </cell>
          <cell r="C60">
            <v>0</v>
          </cell>
          <cell r="D60">
            <v>7.2732520008101903E-2</v>
          </cell>
          <cell r="E60">
            <v>2.6222601149550204E-2</v>
          </cell>
        </row>
        <row r="61">
          <cell r="B61">
            <v>2.3675046449638706</v>
          </cell>
          <cell r="C61">
            <v>2.307526236939708</v>
          </cell>
          <cell r="D61">
            <v>8.6100965844087857E-2</v>
          </cell>
          <cell r="E61">
            <v>2.9365655056350394E-3</v>
          </cell>
        </row>
        <row r="62">
          <cell r="B62">
            <v>5.185249597601489</v>
          </cell>
          <cell r="C62">
            <v>5.5677090452185043</v>
          </cell>
          <cell r="D62">
            <v>5.8793007002002549</v>
          </cell>
          <cell r="E62">
            <v>6.375406323532256</v>
          </cell>
        </row>
        <row r="63">
          <cell r="B63">
            <v>6.5824646464109744</v>
          </cell>
          <cell r="C63">
            <v>7.0678935623555006</v>
          </cell>
          <cell r="D63">
            <v>7.0905443365677856</v>
          </cell>
          <cell r="E63">
            <v>7.1283840021187768</v>
          </cell>
        </row>
        <row r="64">
          <cell r="B64">
            <v>5.3112538801372393</v>
          </cell>
          <cell r="C64">
            <v>6.2669954666482779</v>
          </cell>
          <cell r="D64">
            <v>6.0030768912076287</v>
          </cell>
          <cell r="E64">
            <v>7.0120500285676695</v>
          </cell>
        </row>
        <row r="65">
          <cell r="B65">
            <v>0.46159904975162597</v>
          </cell>
          <cell r="C65">
            <v>0.5446111002284405</v>
          </cell>
          <cell r="D65">
            <v>0.57530150914458866</v>
          </cell>
          <cell r="E65">
            <v>0.59338116082553971</v>
          </cell>
        </row>
        <row r="66">
          <cell r="B66">
            <v>4.1174169544843391</v>
          </cell>
          <cell r="C66">
            <v>4.2667306877460165</v>
          </cell>
          <cell r="D66">
            <v>5.7220937662547611</v>
          </cell>
          <cell r="E66">
            <v>6.0522454199934543</v>
          </cell>
        </row>
        <row r="67">
          <cell r="B67">
            <v>6.8107582252723106E-2</v>
          </cell>
          <cell r="C67">
            <v>8.5601774398449418E-2</v>
          </cell>
          <cell r="D67">
            <v>0.10204303950376965</v>
          </cell>
          <cell r="E67">
            <v>2.3313497198267528</v>
          </cell>
        </row>
        <row r="68">
          <cell r="B68">
            <v>0.31061522130000835</v>
          </cell>
          <cell r="C68">
            <v>0.39257019678593641</v>
          </cell>
          <cell r="D68">
            <v>1.1406488507800474</v>
          </cell>
          <cell r="E68">
            <v>2.2379419643213079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1.7219299153213108</v>
          </cell>
          <cell r="D70">
            <v>1.7218870968899473</v>
          </cell>
          <cell r="E70">
            <v>1.7823025050266428</v>
          </cell>
        </row>
        <row r="71">
          <cell r="B71">
            <v>72.711040163491731</v>
          </cell>
          <cell r="C71">
            <v>73.85575762499596</v>
          </cell>
          <cell r="D71">
            <v>76.156614129257775</v>
          </cell>
          <cell r="E71">
            <v>76.758643371393063</v>
          </cell>
        </row>
      </sheetData>
      <sheetData sheetId="69">
        <row r="3">
          <cell r="B3">
            <v>56.994774574912441</v>
          </cell>
          <cell r="C3">
            <v>58.701922753786299</v>
          </cell>
          <cell r="D3">
            <v>58.471789067168487</v>
          </cell>
          <cell r="E3">
            <v>55.20037694239582</v>
          </cell>
        </row>
        <row r="6">
          <cell r="B6">
            <v>0</v>
          </cell>
          <cell r="C6">
            <v>9.1196048512748433</v>
          </cell>
          <cell r="D6">
            <v>2.3236179549947895</v>
          </cell>
          <cell r="E6">
            <v>4.6907855027135685</v>
          </cell>
        </row>
        <row r="11">
          <cell r="B11">
            <v>60.950448759542525</v>
          </cell>
          <cell r="C11">
            <v>60.772458648175679</v>
          </cell>
          <cell r="D11">
            <v>61.257814825617999</v>
          </cell>
          <cell r="E11">
            <v>58.408792766706213</v>
          </cell>
        </row>
        <row r="12">
          <cell r="B12">
            <v>30.256679168903222</v>
          </cell>
          <cell r="C12">
            <v>25.799210065042509</v>
          </cell>
          <cell r="D12">
            <v>26.113314941272144</v>
          </cell>
          <cell r="E12">
            <v>15.481939363223526</v>
          </cell>
        </row>
        <row r="13">
          <cell r="B13">
            <v>0</v>
          </cell>
          <cell r="C13">
            <v>0</v>
          </cell>
          <cell r="D13">
            <v>9.3725615617091672E-4</v>
          </cell>
          <cell r="E13">
            <v>7.3603991702199485E-3</v>
          </cell>
        </row>
        <row r="14">
          <cell r="B14">
            <v>25.270451645074157</v>
          </cell>
          <cell r="C14">
            <v>25.064134787876768</v>
          </cell>
          <cell r="D14">
            <v>23.281682762432812</v>
          </cell>
          <cell r="E14">
            <v>19.366832890143371</v>
          </cell>
        </row>
        <row r="15">
          <cell r="B15">
            <v>0.27832276030007902</v>
          </cell>
          <cell r="C15">
            <v>1.6821242980812217</v>
          </cell>
          <cell r="D15">
            <v>0.68853005535634126</v>
          </cell>
          <cell r="E15">
            <v>0.71781877012478923</v>
          </cell>
        </row>
        <row r="16">
          <cell r="B16">
            <v>1.402382058800276</v>
          </cell>
          <cell r="C16">
            <v>1.5373125554946594</v>
          </cell>
          <cell r="D16">
            <v>0</v>
          </cell>
          <cell r="E16">
            <v>0</v>
          </cell>
        </row>
        <row r="17">
          <cell r="B17">
            <v>7.7270878126393789</v>
          </cell>
          <cell r="C17">
            <v>8.3699013825085071</v>
          </cell>
          <cell r="D17">
            <v>5.9482898181497221</v>
          </cell>
          <cell r="E17">
            <v>7.6471325057742057</v>
          </cell>
        </row>
        <row r="19">
          <cell r="B19">
            <v>0.62710016377056388</v>
          </cell>
          <cell r="C19">
            <v>0.68752506511414369</v>
          </cell>
          <cell r="D19">
            <v>0.55479707708111603</v>
          </cell>
          <cell r="E19">
            <v>0.60815181420141473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3.5412022876040387E-2</v>
          </cell>
        </row>
        <row r="21">
          <cell r="B21">
            <v>2.9299367761031867</v>
          </cell>
          <cell r="C21">
            <v>3.1925912129975891</v>
          </cell>
          <cell r="D21">
            <v>4.1953496469739653</v>
          </cell>
          <cell r="E21">
            <v>8.9002948089577618</v>
          </cell>
        </row>
        <row r="28">
          <cell r="B28">
            <v>3.955674184630082</v>
          </cell>
          <cell r="C28">
            <v>2.0705358943893781</v>
          </cell>
          <cell r="D28">
            <v>2.7860257584495063</v>
          </cell>
          <cell r="E28">
            <v>3.208415824310404</v>
          </cell>
        </row>
        <row r="47">
          <cell r="B47">
            <v>4.2617262197864543</v>
          </cell>
          <cell r="C47">
            <v>4.6178551473715137</v>
          </cell>
          <cell r="D47">
            <v>4.7411865930509869</v>
          </cell>
          <cell r="E47">
            <v>8.1724895490911926</v>
          </cell>
        </row>
        <row r="48">
          <cell r="B48">
            <v>24.84310667054552</v>
          </cell>
          <cell r="C48">
            <v>21.225121811907183</v>
          </cell>
          <cell r="D48">
            <v>20.675718559819455</v>
          </cell>
          <cell r="E48">
            <v>12.681970222599137</v>
          </cell>
        </row>
        <row r="49">
          <cell r="B49">
            <v>24.189797043386285</v>
          </cell>
          <cell r="C49">
            <v>25.32358573032193</v>
          </cell>
          <cell r="D49">
            <v>19.399026731304602</v>
          </cell>
          <cell r="E49">
            <v>14.580020031693589</v>
          </cell>
        </row>
        <row r="50">
          <cell r="B50">
            <v>0</v>
          </cell>
          <cell r="C50">
            <v>0</v>
          </cell>
          <cell r="D50">
            <v>2.3718667742634878</v>
          </cell>
          <cell r="E50">
            <v>6.621999952675254</v>
          </cell>
        </row>
        <row r="51">
          <cell r="B51">
            <v>2.0958461194879741</v>
          </cell>
          <cell r="C51">
            <v>2.270220433417883</v>
          </cell>
          <cell r="D51">
            <v>0</v>
          </cell>
          <cell r="E51">
            <v>0</v>
          </cell>
        </row>
        <row r="52">
          <cell r="B52">
            <v>5.553970815025008</v>
          </cell>
          <cell r="C52">
            <v>6.0159819352655468</v>
          </cell>
          <cell r="D52">
            <v>4.8845488682816356</v>
          </cell>
          <cell r="E52">
            <v>6.306409427354704</v>
          </cell>
        </row>
        <row r="53">
          <cell r="B53">
            <v>6.1736155374772199</v>
          </cell>
          <cell r="C53">
            <v>5.2279712568500267</v>
          </cell>
          <cell r="D53">
            <v>6.7954740716128024</v>
          </cell>
          <cell r="E53">
            <v>6.5084223188485115</v>
          </cell>
        </row>
        <row r="54">
          <cell r="B54">
            <v>1.8771506481142195</v>
          </cell>
          <cell r="C54">
            <v>2.1601257705803349</v>
          </cell>
          <cell r="D54">
            <v>0.36389940041924101</v>
          </cell>
          <cell r="E54">
            <v>0.47075826318942304</v>
          </cell>
        </row>
        <row r="55">
          <cell r="B55">
            <v>0.62710016377056388</v>
          </cell>
          <cell r="C55">
            <v>0.68752506511414369</v>
          </cell>
          <cell r="D55">
            <v>0.55479707708111603</v>
          </cell>
          <cell r="E55">
            <v>0.60815181420141473</v>
          </cell>
        </row>
        <row r="56">
          <cell r="B56">
            <v>1.2231576316855999</v>
          </cell>
          <cell r="C56">
            <v>1.3408440109024429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9.1196048512748433</v>
          </cell>
          <cell r="D58">
            <v>2.3236179549947895</v>
          </cell>
          <cell r="E58">
            <v>4.6907855027135685</v>
          </cell>
        </row>
        <row r="59">
          <cell r="B59">
            <v>73.239765675392817</v>
          </cell>
          <cell r="C59">
            <v>78.579259856419995</v>
          </cell>
          <cell r="D59">
            <v>62.63212379098114</v>
          </cell>
          <cell r="E59">
            <v>60.945023171262029</v>
          </cell>
        </row>
      </sheetData>
      <sheetData sheetId="70">
        <row r="3">
          <cell r="B3">
            <v>44.576954446539794</v>
          </cell>
          <cell r="C3">
            <v>44.86121202262008</v>
          </cell>
          <cell r="D3">
            <v>49.523434351803729</v>
          </cell>
          <cell r="E3">
            <v>46.920120795952762</v>
          </cell>
        </row>
        <row r="10">
          <cell r="B10">
            <v>0.4364136051451632</v>
          </cell>
          <cell r="C10">
            <v>6.6797076655323089</v>
          </cell>
          <cell r="D10">
            <v>5.1815994781206678</v>
          </cell>
          <cell r="E10">
            <v>10.575557659759664</v>
          </cell>
        </row>
        <row r="15">
          <cell r="B15">
            <v>69.47152815723193</v>
          </cell>
          <cell r="C15">
            <v>70.027173866662793</v>
          </cell>
          <cell r="D15">
            <v>69.810715902254827</v>
          </cell>
          <cell r="E15">
            <v>67.72791955081351</v>
          </cell>
        </row>
        <row r="16">
          <cell r="B16">
            <v>60.232445624915954</v>
          </cell>
          <cell r="C16">
            <v>51.320629800815716</v>
          </cell>
          <cell r="D16">
            <v>49.44595041940957</v>
          </cell>
          <cell r="E16">
            <v>24.330288031316716</v>
          </cell>
        </row>
        <row r="17">
          <cell r="B17">
            <v>0</v>
          </cell>
          <cell r="C17">
            <v>0</v>
          </cell>
          <cell r="D17">
            <v>9.3841672870306422E-4</v>
          </cell>
          <cell r="E17">
            <v>7.4030378697324548E-3</v>
          </cell>
        </row>
        <row r="18">
          <cell r="B18">
            <v>46.704322034994128</v>
          </cell>
          <cell r="C18">
            <v>45.938221712672899</v>
          </cell>
          <cell r="D18">
            <v>46.20998776189316</v>
          </cell>
          <cell r="E18">
            <v>38.100277450168925</v>
          </cell>
        </row>
        <row r="19">
          <cell r="B19">
            <v>0.29810464153124322</v>
          </cell>
          <cell r="C19">
            <v>2.2366795721130726</v>
          </cell>
          <cell r="D19">
            <v>0.86316503852493776</v>
          </cell>
          <cell r="E19">
            <v>0.95940903505680564</v>
          </cell>
        </row>
        <row r="20">
          <cell r="B20">
            <v>0.10003085333320115</v>
          </cell>
          <cell r="C20">
            <v>0.10001193872413756</v>
          </cell>
          <cell r="D20">
            <v>2.6970780686892657E-2</v>
          </cell>
          <cell r="E20">
            <v>2.3790407355146724E-4</v>
          </cell>
        </row>
        <row r="21">
          <cell r="B21">
            <v>8.1291150788064428</v>
          </cell>
          <cell r="C21">
            <v>9.7142870061617934</v>
          </cell>
          <cell r="D21">
            <v>8.3981523541129501</v>
          </cell>
          <cell r="E21">
            <v>11.104482969678028</v>
          </cell>
        </row>
        <row r="22">
          <cell r="B22">
            <v>16.992038199477904</v>
          </cell>
          <cell r="C22">
            <v>19.036801938374481</v>
          </cell>
          <cell r="D22">
            <v>17.555449899120035</v>
          </cell>
          <cell r="E22">
            <v>15.766141199350953</v>
          </cell>
        </row>
        <row r="23">
          <cell r="B23">
            <v>2.5069286589027415</v>
          </cell>
          <cell r="C23">
            <v>2.9289323022695024</v>
          </cell>
          <cell r="D23">
            <v>0.96444923400382954</v>
          </cell>
          <cell r="E23">
            <v>1.0950024147449815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4.2148526458665542E-2</v>
          </cell>
        </row>
        <row r="25">
          <cell r="B25">
            <v>15.195876644410834</v>
          </cell>
          <cell r="C25">
            <v>17.649511819360285</v>
          </cell>
          <cell r="D25">
            <v>26.405381726215662</v>
          </cell>
          <cell r="E25">
            <v>41.295065469658269</v>
          </cell>
        </row>
        <row r="26">
          <cell r="B26">
            <v>219.63038989360444</v>
          </cell>
          <cell r="C26">
            <v>218.95224995715466</v>
          </cell>
          <cell r="D26">
            <v>219.68116153295054</v>
          </cell>
          <cell r="E26">
            <v>200.42837558919013</v>
          </cell>
        </row>
        <row r="102">
          <cell r="B102">
            <v>8.9085674897203564</v>
          </cell>
          <cell r="C102">
            <v>7.8759061819298264</v>
          </cell>
          <cell r="D102">
            <v>0.82943084241698029</v>
          </cell>
          <cell r="E102">
            <v>0.21068725652402101</v>
          </cell>
        </row>
        <row r="104">
          <cell r="B104">
            <v>19.061212942335672</v>
          </cell>
          <cell r="C104">
            <v>22.090516163321695</v>
          </cell>
          <cell r="D104">
            <v>31.885182920070701</v>
          </cell>
          <cell r="E104">
            <v>41.798179508858659</v>
          </cell>
        </row>
        <row r="105">
          <cell r="B105">
            <v>45.124732449375429</v>
          </cell>
          <cell r="C105">
            <v>38.635311529864616</v>
          </cell>
          <cell r="D105">
            <v>34.597407280433458</v>
          </cell>
          <cell r="E105">
            <v>17.724732600971546</v>
          </cell>
        </row>
        <row r="106">
          <cell r="B106">
            <v>36.570240194623402</v>
          </cell>
          <cell r="C106">
            <v>39.169535469418108</v>
          </cell>
          <cell r="D106">
            <v>31.695714547827524</v>
          </cell>
          <cell r="E106">
            <v>22.816436145620465</v>
          </cell>
        </row>
        <row r="107">
          <cell r="B107">
            <v>0</v>
          </cell>
          <cell r="C107">
            <v>0</v>
          </cell>
          <cell r="D107">
            <v>5.1526365449174509</v>
          </cell>
          <cell r="E107">
            <v>13.691182211951618</v>
          </cell>
        </row>
        <row r="108">
          <cell r="B108">
            <v>7.2022214399904735E-2</v>
          </cell>
          <cell r="C108">
            <v>7.2008595881379006E-2</v>
          </cell>
          <cell r="D108">
            <v>2.1557763122038238E-2</v>
          </cell>
          <cell r="E108">
            <v>1.9032325884117376E-4</v>
          </cell>
        </row>
        <row r="109">
          <cell r="B109">
            <v>9.0200977587860984E-2</v>
          </cell>
          <cell r="C109">
            <v>4.6584744819928164E-2</v>
          </cell>
          <cell r="D109">
            <v>0</v>
          </cell>
          <cell r="E109">
            <v>0</v>
          </cell>
        </row>
        <row r="110">
          <cell r="B110">
            <v>6.2637949234016475</v>
          </cell>
          <cell r="C110">
            <v>7.6939003306302602</v>
          </cell>
          <cell r="D110">
            <v>5.9165475947607744</v>
          </cell>
          <cell r="E110">
            <v>7.5774800703476881</v>
          </cell>
        </row>
        <row r="111">
          <cell r="B111">
            <v>9.1312798097288201</v>
          </cell>
          <cell r="C111">
            <v>10.087236125273765</v>
          </cell>
          <cell r="D111">
            <v>10.23846304949334</v>
          </cell>
          <cell r="E111">
            <v>9.0203082549108444</v>
          </cell>
        </row>
        <row r="112">
          <cell r="B112">
            <v>2.6970513256776814</v>
          </cell>
          <cell r="C112">
            <v>3.1683493070209496</v>
          </cell>
          <cell r="D112">
            <v>0.32585701234233616</v>
          </cell>
          <cell r="E112">
            <v>0.39995686502393585</v>
          </cell>
        </row>
        <row r="113">
          <cell r="B113">
            <v>0.78544063424289079</v>
          </cell>
          <cell r="C113">
            <v>0.94185363396680555</v>
          </cell>
          <cell r="D113">
            <v>3.1977953162283961E-2</v>
          </cell>
          <cell r="E113">
            <v>3.4980842181890168E-2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6">
          <cell r="B116">
            <v>129.14095656623883</v>
          </cell>
          <cell r="C116">
            <v>136.46090974765966</v>
          </cell>
          <cell r="D116">
            <v>125.87637498666756</v>
          </cell>
          <cell r="E116">
            <v>123.84969173940918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</row>
        <row r="224">
          <cell r="B224">
            <v>26.979980311465653</v>
          </cell>
          <cell r="C224">
            <v>25.937099835886766</v>
          </cell>
          <cell r="D224">
            <v>21.670516389651187</v>
          </cell>
          <cell r="E224">
            <v>22.093541016334871</v>
          </cell>
        </row>
        <row r="231">
          <cell r="B231">
            <v>15.553607660927103</v>
          </cell>
          <cell r="C231">
            <v>14.84466360948994</v>
          </cell>
          <cell r="D231">
            <v>3.6516543679875149</v>
          </cell>
          <cell r="E231">
            <v>2.2199978139951031</v>
          </cell>
        </row>
        <row r="233">
          <cell r="B233">
            <v>22.301567637547354</v>
          </cell>
          <cell r="C233">
            <v>25.72610995756764</v>
          </cell>
          <cell r="D233">
            <v>36.794075774576669</v>
          </cell>
          <cell r="E233">
            <v>49.257896734017287</v>
          </cell>
        </row>
        <row r="234">
          <cell r="B234">
            <v>52.109360427208046</v>
          </cell>
          <cell r="C234">
            <v>44.489778579503209</v>
          </cell>
          <cell r="D234">
            <v>39.081105205955573</v>
          </cell>
          <cell r="E234">
            <v>19.847898855426301</v>
          </cell>
        </row>
        <row r="235">
          <cell r="B235">
            <v>42.950817943104227</v>
          </cell>
          <cell r="C235">
            <v>44.405169202419124</v>
          </cell>
          <cell r="D235">
            <v>36.905605700022825</v>
          </cell>
          <cell r="E235">
            <v>26.257424429486932</v>
          </cell>
        </row>
        <row r="236">
          <cell r="B236">
            <v>0</v>
          </cell>
          <cell r="C236">
            <v>0</v>
          </cell>
          <cell r="D236">
            <v>6.2452722581479039</v>
          </cell>
          <cell r="E236">
            <v>16.9610461676948</v>
          </cell>
        </row>
        <row r="238">
          <cell r="B238">
            <v>0.1089030252440191</v>
          </cell>
          <cell r="C238">
            <v>5.5392049669652083E-2</v>
          </cell>
          <cell r="D238">
            <v>0</v>
          </cell>
          <cell r="E238">
            <v>0</v>
          </cell>
        </row>
        <row r="239">
          <cell r="B239">
            <v>7.5625146745457199</v>
          </cell>
          <cell r="C239">
            <v>9.148507970044971</v>
          </cell>
          <cell r="D239">
            <v>6.8747707520603534</v>
          </cell>
          <cell r="E239">
            <v>9.0460329873571368</v>
          </cell>
        </row>
        <row r="240">
          <cell r="B240">
            <v>9.6518538166657404</v>
          </cell>
          <cell r="C240">
            <v>10.684528363455302</v>
          </cell>
          <cell r="D240">
            <v>11.425725549501962</v>
          </cell>
          <cell r="E240">
            <v>10.179768208125033</v>
          </cell>
        </row>
        <row r="241">
          <cell r="B241">
            <v>2.8669472140144561</v>
          </cell>
          <cell r="C241">
            <v>3.3632112877133826</v>
          </cell>
          <cell r="D241">
            <v>0.40107529281940923</v>
          </cell>
          <cell r="E241">
            <v>0.50241716187796237</v>
          </cell>
        </row>
        <row r="242">
          <cell r="B242">
            <v>2.5069286589027415</v>
          </cell>
          <cell r="C242">
            <v>2.9289323022695024</v>
          </cell>
          <cell r="D242">
            <v>0.96444923400382954</v>
          </cell>
          <cell r="E242">
            <v>1.0950024147449815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</row>
        <row r="244">
          <cell r="B244">
            <v>0.4364136051451632</v>
          </cell>
          <cell r="C244">
            <v>6.6797076655323089</v>
          </cell>
          <cell r="D244">
            <v>5.1815994781206678</v>
          </cell>
          <cell r="E244">
            <v>10.575557659759664</v>
          </cell>
        </row>
        <row r="245">
          <cell r="B245">
            <v>156.12093687770451</v>
          </cell>
          <cell r="C245">
            <v>162.39800958354641</v>
          </cell>
          <cell r="D245">
            <v>147.54689137631874</v>
          </cell>
          <cell r="E245">
            <v>145.94323275574402</v>
          </cell>
        </row>
      </sheetData>
      <sheetData sheetId="71">
        <row r="21">
          <cell r="B21">
            <v>76.266534237297392</v>
          </cell>
          <cell r="C21">
            <v>74.537908842503711</v>
          </cell>
          <cell r="D21">
            <v>69.886763387355757</v>
          </cell>
          <cell r="E21">
            <v>40.479102103545735</v>
          </cell>
        </row>
        <row r="22">
          <cell r="B22">
            <v>120.10287752597347</v>
          </cell>
          <cell r="C22">
            <v>111.02970825596023</v>
          </cell>
          <cell r="D22">
            <v>94.079108247906248</v>
          </cell>
          <cell r="E22">
            <v>55.972025252828871</v>
          </cell>
        </row>
        <row r="23">
          <cell r="B23">
            <v>1.0930498859692612</v>
          </cell>
          <cell r="C23">
            <v>1.3833975723408114</v>
          </cell>
          <cell r="D23">
            <v>1.8013970296034241</v>
          </cell>
          <cell r="E23">
            <v>2.4097922752479088</v>
          </cell>
        </row>
        <row r="24">
          <cell r="B24">
            <v>0.270885092331351</v>
          </cell>
          <cell r="C24">
            <v>0.19194701310256884</v>
          </cell>
          <cell r="D24">
            <v>0.2629467393317852</v>
          </cell>
          <cell r="E24">
            <v>6.0296739582874938E-2</v>
          </cell>
        </row>
        <row r="25">
          <cell r="B25">
            <v>4.4166450089733109</v>
          </cell>
          <cell r="C25">
            <v>4.3173317604893189</v>
          </cell>
          <cell r="D25">
            <v>4.0481845897318376</v>
          </cell>
          <cell r="E25">
            <v>3.8830770826741863</v>
          </cell>
        </row>
        <row r="26">
          <cell r="B26">
            <v>2.9709603938165858</v>
          </cell>
          <cell r="C26">
            <v>2.9721740015845719</v>
          </cell>
          <cell r="D26">
            <v>4.4006224837199213</v>
          </cell>
          <cell r="E26">
            <v>2.9658931852739499</v>
          </cell>
        </row>
        <row r="27">
          <cell r="B27">
            <v>2.371466311112809E-2</v>
          </cell>
          <cell r="C27">
            <v>2.0742710294223751E-2</v>
          </cell>
          <cell r="D27">
            <v>2.7133667197563261E-2</v>
          </cell>
          <cell r="E27">
            <v>1.2115891048111295E-2</v>
          </cell>
        </row>
        <row r="28">
          <cell r="B28">
            <v>3.18368798889021E-5</v>
          </cell>
          <cell r="C28">
            <v>1.16612611637865E-3</v>
          </cell>
          <cell r="D28">
            <v>2.0389632265815898E-2</v>
          </cell>
          <cell r="E28">
            <v>0.14069932564142101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0.33398412994859022</v>
          </cell>
        </row>
      </sheetData>
      <sheetData sheetId="72">
        <row r="11">
          <cell r="B11">
            <v>29.53691830097284</v>
          </cell>
          <cell r="C11">
            <v>58.495436317992393</v>
          </cell>
          <cell r="D11">
            <v>80.684766342315768</v>
          </cell>
          <cell r="E11">
            <v>78.507305104824454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5.0111043833762494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</sheetData>
      <sheetData sheetId="73"/>
      <sheetData sheetId="74">
        <row r="53">
          <cell r="B53">
            <v>2.6390782885561186</v>
          </cell>
          <cell r="C53">
            <v>2.3501419505059524</v>
          </cell>
          <cell r="D53">
            <v>2.3519227038231567</v>
          </cell>
          <cell r="E53">
            <v>2.3549342218346063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6.5106771036570681</v>
          </cell>
          <cell r="C55">
            <v>6.2606756884573871</v>
          </cell>
          <cell r="D55">
            <v>5.7153641632444092</v>
          </cell>
          <cell r="E55">
            <v>4.881655352714974</v>
          </cell>
        </row>
        <row r="56">
          <cell r="B56">
            <v>3.8057509330913097</v>
          </cell>
          <cell r="C56">
            <v>3.4442045735770996</v>
          </cell>
          <cell r="D56">
            <v>3.3593344913381098</v>
          </cell>
          <cell r="E56">
            <v>2.2581440813512401</v>
          </cell>
        </row>
        <row r="57">
          <cell r="B57">
            <v>7.2100943208689579</v>
          </cell>
          <cell r="C57">
            <v>6.4609055842147072</v>
          </cell>
          <cell r="D57">
            <v>6.3445985769164741</v>
          </cell>
          <cell r="E57">
            <v>3.981587075854168</v>
          </cell>
        </row>
        <row r="58">
          <cell r="B58">
            <v>14.625639279251208</v>
          </cell>
          <cell r="C58">
            <v>13.909256618885863</v>
          </cell>
          <cell r="D58">
            <v>12.377384340809217</v>
          </cell>
          <cell r="E58">
            <v>7.3773817950898968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</sheetData>
      <sheetData sheetId="75">
        <row r="99">
          <cell r="F99">
            <v>17.776396661937351</v>
          </cell>
          <cell r="G99">
            <v>17.660545177461064</v>
          </cell>
          <cell r="H99">
            <v>17.010712491903483</v>
          </cell>
          <cell r="I99">
            <v>13.301195816739526</v>
          </cell>
        </row>
      </sheetData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I1"/>
          <cell r="J1"/>
          <cell r="K1"/>
        </row>
        <row r="2">
          <cell r="B2"/>
          <cell r="C2"/>
          <cell r="D2"/>
          <cell r="I2"/>
          <cell r="J2"/>
          <cell r="K2"/>
        </row>
        <row r="3">
          <cell r="B3"/>
          <cell r="C3"/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I4">
            <v>1.2734933423965912E-3</v>
          </cell>
          <cell r="J4">
            <v>0.40223113398605814</v>
          </cell>
          <cell r="K4">
            <v>4.0959208777827278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I5">
            <v>3.4039961949168675E-4</v>
          </cell>
          <cell r="J5">
            <v>2.4705771609188746E-2</v>
          </cell>
          <cell r="K5">
            <v>1.3940389032374638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I6">
            <v>1.5134001963115908E-4</v>
          </cell>
          <cell r="J6">
            <v>1.6302354250258888E-2</v>
          </cell>
          <cell r="K6">
            <v>3.7669734313099966E-2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I7">
            <v>1.5216884422647787E-4</v>
          </cell>
          <cell r="J7">
            <v>2.1801770487469816E-2</v>
          </cell>
          <cell r="K7">
            <v>5.3825921547144995E-2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I8">
            <v>1.5120807949304047E-4</v>
          </cell>
          <cell r="J8">
            <v>1.8665445337469989E-2</v>
          </cell>
          <cell r="K8">
            <v>4.4883923297919952E-2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I9">
            <v>1.5797924707784989E-4</v>
          </cell>
          <cell r="J9">
            <v>0.15046278977463443</v>
          </cell>
          <cell r="K9">
            <v>1.2617719127618416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I10">
            <v>1.6913563350227126E-4</v>
          </cell>
          <cell r="J10">
            <v>0.15359578309491287</v>
          </cell>
          <cell r="K10">
            <v>1.2658811580892564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I11">
            <v>1.512618989741059E-4</v>
          </cell>
          <cell r="J11">
            <v>1.6697219432123187E-2</v>
          </cell>
          <cell r="K11">
            <v>3.7849324535997167E-2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I12">
            <v>0.42185309458433462</v>
          </cell>
          <cell r="J12">
            <v>1.8059830168081303</v>
          </cell>
          <cell r="K12">
            <v>2.7089780762403115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I13">
            <v>0.42185309458433462</v>
          </cell>
          <cell r="J13">
            <v>1.8059830168081303</v>
          </cell>
          <cell r="K13">
            <v>2.7089780762403115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I14">
            <v>3.3184613407266098E-7</v>
          </cell>
          <cell r="J14">
            <v>1.00109239569919E-6</v>
          </cell>
          <cell r="K14">
            <v>0.64007675675014297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I15">
            <v>4.42828656893033E-2</v>
          </cell>
          <cell r="J15">
            <v>0.18247155356449399</v>
          </cell>
          <cell r="K15">
            <v>0.31249755190751299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I16">
            <v>0.8046957974341491</v>
          </cell>
          <cell r="J16">
            <v>0.87221864510565583</v>
          </cell>
          <cell r="K16">
            <v>0.75421806379515677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I17">
            <v>0.8046957974341491</v>
          </cell>
          <cell r="J17">
            <v>0.87221864510565583</v>
          </cell>
          <cell r="K17">
            <v>0.75421806379515677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I18">
            <v>0.60840370115618447</v>
          </cell>
          <cell r="J18">
            <v>8.7159876623294594E-2</v>
          </cell>
          <cell r="K18">
            <v>0.42431076834742987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I19">
            <v>0.99017178697618213</v>
          </cell>
          <cell r="J19">
            <v>9.8717981992007445E-2</v>
          </cell>
          <cell r="K19">
            <v>0.46897505975242354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I20">
            <v>95.3387450231088</v>
          </cell>
          <cell r="J20">
            <v>13.839035357596</v>
          </cell>
          <cell r="K20">
            <v>85.305369454875404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I21">
            <v>1.6904032805515756</v>
          </cell>
          <cell r="J21">
            <v>0.24537296733326228</v>
          </cell>
          <cell r="K21">
            <v>1.5125065506183599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I22">
            <v>2.0723575282906199E-2</v>
          </cell>
          <cell r="J22">
            <v>2.8245632646235602E-7</v>
          </cell>
          <cell r="K22">
            <v>3.1321423321195599E-2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I23">
            <v>2.2729210814015903E-2</v>
          </cell>
          <cell r="J23">
            <v>2.0730138648420417E-2</v>
          </cell>
          <cell r="K23">
            <v>4.7835258431108432E-2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I24">
            <v>1.8344066164266122E-4</v>
          </cell>
          <cell r="J24">
            <v>1.3437386611558994E-4</v>
          </cell>
          <cell r="K24">
            <v>1.0064450342835383E-4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I25">
            <v>1.8344066164266122E-4</v>
          </cell>
          <cell r="J25">
            <v>1.3437386611558994E-4</v>
          </cell>
          <cell r="K25">
            <v>1.0064450342835383E-4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I26">
            <v>7.3369028055446698E-7</v>
          </cell>
          <cell r="J26">
            <v>1.0808502972563199E-6</v>
          </cell>
          <cell r="K26">
            <v>1.9263125593130401E-6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I27">
            <v>3.3009078654533397E-4</v>
          </cell>
          <cell r="J27">
            <v>3.2866211315774052E-4</v>
          </cell>
          <cell r="K27">
            <v>3.2909493220345531E-4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I28">
            <v>0.42104195650458448</v>
          </cell>
          <cell r="J28">
            <v>0.68095885701264225</v>
          </cell>
          <cell r="K28">
            <v>0.84953436563744522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I29">
            <v>0.4210419565045842</v>
          </cell>
          <cell r="J29">
            <v>0.68095885701264181</v>
          </cell>
          <cell r="K29">
            <v>0.84953436563744444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I30">
            <v>0.46561629765371187</v>
          </cell>
          <cell r="J30">
            <v>0.75304897423044881</v>
          </cell>
          <cell r="K30">
            <v>0.93947069474747691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I31">
            <v>0.46561629765371187</v>
          </cell>
          <cell r="J31">
            <v>0.75304897423044881</v>
          </cell>
          <cell r="K31">
            <v>0.93947069474747691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I32">
            <v>7.8274890204738795E-2</v>
          </cell>
          <cell r="J32">
            <v>0.37753193183654599</v>
          </cell>
          <cell r="K32">
            <v>0.37447962756245901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I33">
            <v>0.22576916048784709</v>
          </cell>
          <cell r="J33">
            <v>0.47070655849064952</v>
          </cell>
          <cell r="K33">
            <v>0.57755003874686295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I34">
            <v>3.9360805478524927E-2</v>
          </cell>
          <cell r="J34">
            <v>1.1541589341145662E-2</v>
          </cell>
          <cell r="K34">
            <v>3.7043136229535144E-5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I35">
            <v>3.9317071250215496E-2</v>
          </cell>
          <cell r="J35">
            <v>1.1541589341145677E-2</v>
          </cell>
          <cell r="K35">
            <v>3.7043136229535144E-5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I36">
            <v>4.3731141837025193E-2</v>
          </cell>
          <cell r="J36">
            <v>1.240972955968289E-2</v>
          </cell>
          <cell r="K36">
            <v>3.7043136229535144E-5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I37">
            <v>4.3731141837025193E-2</v>
          </cell>
          <cell r="J37">
            <v>1.240972955968289E-2</v>
          </cell>
          <cell r="K37">
            <v>3.7043136229535144E-5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I38">
            <v>6.3508070524725995E-5</v>
          </cell>
          <cell r="J38">
            <v>5.3393445375102201E-4</v>
          </cell>
          <cell r="K38">
            <v>1.48055757551008E-5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I39">
            <v>3.54426983462184E-3</v>
          </cell>
          <cell r="J39">
            <v>1.2039784856761467E-3</v>
          </cell>
          <cell r="K39">
            <v>4.188513951451805E-4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I40">
            <v>8.022160765081643E-4</v>
          </cell>
          <cell r="J40">
            <v>4.6591416483451073E-4</v>
          </cell>
          <cell r="K40">
            <v>0.83754257462116122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I41">
            <v>2.3674477767240824E-4</v>
          </cell>
          <cell r="J41">
            <v>1.2936901788784396E-4</v>
          </cell>
          <cell r="K41">
            <v>5.3461785010527327E-2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I42">
            <v>7.9867301668854013E-5</v>
          </cell>
          <cell r="J42">
            <v>4.9224563221427154E-5</v>
          </cell>
          <cell r="K42">
            <v>4.9621882581903433E-5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I43">
            <v>8.0721756268174294E-5</v>
          </cell>
          <cell r="J43">
            <v>4.9399583678814752E-5</v>
          </cell>
          <cell r="K43">
            <v>4.9787720415263539E-5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I44">
            <v>7.9336276049500533E-5</v>
          </cell>
          <cell r="J44">
            <v>4.9133427673868276E-5</v>
          </cell>
          <cell r="K44">
            <v>4.9568707910931694E-5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I45">
            <v>1.1675204173921192E-4</v>
          </cell>
          <cell r="J45">
            <v>6.868359479351966E-5</v>
          </cell>
          <cell r="K45">
            <v>0.37067805251257752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I46">
            <v>1.2902085222486453E-4</v>
          </cell>
          <cell r="J46">
            <v>7.0894876850734683E-5</v>
          </cell>
          <cell r="K46">
            <v>0.41320413974835624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I47">
            <v>7.9773070885150583E-5</v>
          </cell>
          <cell r="J47">
            <v>4.9209100728302194E-5</v>
          </cell>
          <cell r="K47">
            <v>4.9619038792335515E-5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4.6260496154725324E-3</v>
          </cell>
          <cell r="K48">
            <v>1.5301707804930422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4.6727773893661924E-3</v>
          </cell>
          <cell r="K49">
            <v>1.5456270510030723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I50">
            <v>1.4951048184137E-6</v>
          </cell>
          <cell r="J50">
            <v>6.9172111769931705E-4</v>
          </cell>
          <cell r="K50">
            <v>0.16416836675988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I51">
            <v>2.0338982399313299E-6</v>
          </cell>
          <cell r="J51">
            <v>6.9375501593924797E-4</v>
          </cell>
          <cell r="K51">
            <v>0.16486212177581999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I52">
            <v>0.235612331821445</v>
          </cell>
          <cell r="J52">
            <v>0.31994952721569808</v>
          </cell>
          <cell r="K52">
            <v>0.45289977720896274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I53">
            <v>0.23561233182144478</v>
          </cell>
          <cell r="J53">
            <v>0.3199495272156978</v>
          </cell>
          <cell r="K53">
            <v>0.45289977720896224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I54">
            <v>0.26055620351405295</v>
          </cell>
          <cell r="J54">
            <v>0.35382146524990993</v>
          </cell>
          <cell r="K54">
            <v>0.50084646638491692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I55">
            <v>0.26055620351405295</v>
          </cell>
          <cell r="J55">
            <v>0.35382146524990993</v>
          </cell>
          <cell r="K55">
            <v>0.50084646638491692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I56">
            <v>4.3584944510052799E-2</v>
          </cell>
          <cell r="J56">
            <v>0.20165515228995701</v>
          </cell>
          <cell r="K56">
            <v>0.205873841300206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I57">
            <v>0.12281823279256507</v>
          </cell>
          <cell r="J57">
            <v>0.25300464325090938</v>
          </cell>
          <cell r="K57">
            <v>0.31465342592632561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  <cell r="J58">
            <v>2.8372266335344314</v>
          </cell>
          <cell r="K58">
            <v>9.3323567779073375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  <cell r="J59">
            <v>728.39297976032844</v>
          </cell>
          <cell r="K59">
            <v>2395.868938103969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  <cell r="J60">
            <v>-728.39297976032901</v>
          </cell>
          <cell r="K60">
            <v>-2395.8689381039699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  <cell r="J61">
            <v>786.63886811071905</v>
          </cell>
          <cell r="K61">
            <v>2536.7200123852599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  <cell r="J62">
            <v>8.4767119408482667</v>
          </cell>
          <cell r="K62">
            <v>27.335344961048065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  <cell r="J63">
            <v>0.145645008850045</v>
          </cell>
          <cell r="K63">
            <v>0.20250527152733899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  <cell r="J64">
            <v>0.145645008850045</v>
          </cell>
          <cell r="K64">
            <v>0.34815026076015099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I65">
            <v>0.17493830465697158</v>
          </cell>
          <cell r="J65">
            <v>0.18800472466091117</v>
          </cell>
          <cell r="K65">
            <v>0.21792370585734008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I66">
            <v>6.0639862312505581</v>
          </cell>
          <cell r="J66">
            <v>6.3512613552380248</v>
          </cell>
          <cell r="K66">
            <v>5.7493909978041575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I67">
            <v>2.3207857004300281</v>
          </cell>
          <cell r="J67">
            <v>2.5043485464308541</v>
          </cell>
          <cell r="K67">
            <v>2.3855919370715299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I68">
            <v>1.7738512452647908</v>
          </cell>
          <cell r="J68">
            <v>1.9152034094695107</v>
          </cell>
          <cell r="K68">
            <v>2.9654171564651297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I69">
            <v>0.2982007433696548</v>
          </cell>
          <cell r="J69">
            <v>0.34554844450633598</v>
          </cell>
          <cell r="K69">
            <v>0.42514472245354634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I70">
            <v>11.63957675544823</v>
          </cell>
          <cell r="J70">
            <v>12.330604235573023</v>
          </cell>
          <cell r="K70">
            <v>12.71641745618955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I71">
            <v>1.01694740391482E-6</v>
          </cell>
          <cell r="J71">
            <v>3.9566134820468699E-4</v>
          </cell>
          <cell r="K71">
            <v>1.55281511726713E-7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I72">
            <v>0.62767796217303695</v>
          </cell>
          <cell r="J72">
            <v>0.62807362352124196</v>
          </cell>
          <cell r="K72">
            <v>0.62807377880275395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I73">
            <v>1.4686602671264075E-3</v>
          </cell>
          <cell r="J73">
            <v>6.8067582598292772E-4</v>
          </cell>
          <cell r="K73">
            <v>1.0952871031088194E-4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I74">
            <v>1.4673116351088457E-3</v>
          </cell>
          <cell r="J74">
            <v>6.8067582598293E-4</v>
          </cell>
          <cell r="K74">
            <v>1.0952871031088201E-4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I75">
            <v>1.7833159851852207E-3</v>
          </cell>
          <cell r="J75">
            <v>8.0391319850346102E-4</v>
          </cell>
          <cell r="K75">
            <v>9.2628683485791586E-5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I76">
            <v>1.7833159851852207E-3</v>
          </cell>
          <cell r="J76">
            <v>8.0391319850346102E-4</v>
          </cell>
          <cell r="K76">
            <v>9.2628683485791586E-5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I77">
            <v>1.20462516925543E-3</v>
          </cell>
          <cell r="J77">
            <v>3.6201939710662103E-5</v>
          </cell>
          <cell r="K77">
            <v>9.1353913265477702E-6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I78">
            <v>1.6540914550427757E-3</v>
          </cell>
          <cell r="J78">
            <v>1.2428242095763981E-3</v>
          </cell>
          <cell r="K78">
            <v>5.3408866824946753E-4</v>
          </cell>
        </row>
        <row r="79">
          <cell r="B79" t="str">
            <v>RHNS-CHPWOD</v>
          </cell>
          <cell r="C79" t="str">
            <v>VAR_fout</v>
          </cell>
          <cell r="D79" t="str">
            <v>RHNS_LTH_CHPWOD</v>
          </cell>
          <cell r="I79">
            <v>4.4382126064239826E-3</v>
          </cell>
          <cell r="J79">
            <v>4.172891958334324E-3</v>
          </cell>
          <cell r="K79">
            <v>1.6321200725842972E-3</v>
          </cell>
        </row>
        <row r="80">
          <cell r="B80" t="str">
            <v>RHNS-CHPWOD</v>
          </cell>
          <cell r="C80" t="str">
            <v>VAR_fout</v>
          </cell>
          <cell r="D80" t="str">
            <v>RHNS_KEV_WOD_ELC_CHP</v>
          </cell>
          <cell r="I80">
            <v>1.6787301087693293E-3</v>
          </cell>
          <cell r="J80">
            <v>1.6123906779606264E-3</v>
          </cell>
          <cell r="K80">
            <v>6.5670514527157791E-4</v>
          </cell>
        </row>
        <row r="81">
          <cell r="B81" t="str">
            <v>RHNS-CHPWOD</v>
          </cell>
          <cell r="C81" t="str">
            <v>VAR_fin</v>
          </cell>
          <cell r="D81" t="str">
            <v>RWOD</v>
          </cell>
          <cell r="I81">
            <v>7.468361262723603E-3</v>
          </cell>
          <cell r="J81">
            <v>6.7722102582993896E-3</v>
          </cell>
          <cell r="K81">
            <v>2.7420656159540652E-3</v>
          </cell>
        </row>
        <row r="82">
          <cell r="B82" t="str">
            <v>RHNS-CHPWOD</v>
          </cell>
          <cell r="C82" t="str">
            <v>VAR_ncap</v>
          </cell>
          <cell r="D82" t="str">
            <v>-</v>
          </cell>
          <cell r="I82">
            <v>9.7701704063091199E-5</v>
          </cell>
          <cell r="J82">
            <v>1.04584875272857E-5</v>
          </cell>
          <cell r="K82">
            <v>9.4816700140766803E-6</v>
          </cell>
        </row>
        <row r="83">
          <cell r="B83" t="str">
            <v>RHNS-CHPWOD</v>
          </cell>
          <cell r="C83" t="str">
            <v>VAR_cap</v>
          </cell>
          <cell r="D83" t="str">
            <v>-</v>
          </cell>
          <cell r="I83">
            <v>1.4926795797843998E-4</v>
          </cell>
          <cell r="J83">
            <v>1.4334144707754004E-4</v>
          </cell>
          <cell r="K83">
            <v>5.836535197960238E-5</v>
          </cell>
        </row>
        <row r="84">
          <cell r="B84" t="str">
            <v>D-ICOA</v>
          </cell>
          <cell r="C84" t="str">
            <v>VAR_fout</v>
          </cell>
          <cell r="D84" t="str">
            <v>ICOA</v>
          </cell>
          <cell r="I84">
            <v>2.2535582696409798E-3</v>
          </cell>
          <cell r="J84">
            <v>2.5928858867473818E-4</v>
          </cell>
          <cell r="K84"/>
        </row>
        <row r="85">
          <cell r="B85" t="str">
            <v>D-ICOA</v>
          </cell>
          <cell r="C85" t="str">
            <v>VAR_fout</v>
          </cell>
          <cell r="D85" t="str">
            <v>CO2</v>
          </cell>
          <cell r="I85">
            <v>0.208904851595719</v>
          </cell>
          <cell r="J85">
            <v>2.40360521701482E-2</v>
          </cell>
          <cell r="K85"/>
        </row>
        <row r="86">
          <cell r="B86" t="str">
            <v>D-ICOA</v>
          </cell>
          <cell r="C86" t="str">
            <v>VAR_fin</v>
          </cell>
          <cell r="D86" t="str">
            <v>COA</v>
          </cell>
          <cell r="I86">
            <v>2.2535582696409798E-3</v>
          </cell>
          <cell r="J86">
            <v>2.5928858867473818E-4</v>
          </cell>
          <cell r="K86"/>
        </row>
        <row r="87">
          <cell r="B87" t="str">
            <v>RHNM-SHSTG-CHPWOD</v>
          </cell>
          <cell r="C87" t="str">
            <v>VAR_fout</v>
          </cell>
          <cell r="D87" t="str">
            <v>RHNM_LTH_CHPWOD</v>
          </cell>
          <cell r="I87">
            <v>7.9024133323900968E-3</v>
          </cell>
          <cell r="J87">
            <v>9.3218318180779761E-3</v>
          </cell>
          <cell r="K87">
            <v>7.9045594633680837E-3</v>
          </cell>
        </row>
        <row r="88">
          <cell r="B88" t="str">
            <v>RHNM-SHSTG-CHPWOD</v>
          </cell>
          <cell r="C88" t="str">
            <v>VAR_fout</v>
          </cell>
          <cell r="D88" t="str">
            <v>AUX_RNM-CHPWOD_OUT</v>
          </cell>
          <cell r="I88">
            <v>7.8951567544907515E-3</v>
          </cell>
          <cell r="J88">
            <v>9.3218318180780056E-3</v>
          </cell>
          <cell r="K88">
            <v>7.9045594633680976E-3</v>
          </cell>
        </row>
        <row r="89">
          <cell r="B89" t="str">
            <v>RHNM-SHSTG-CHPWOD</v>
          </cell>
          <cell r="C89" t="str">
            <v>VAR_fin</v>
          </cell>
          <cell r="D89" t="str">
            <v>RHNM_LTH_CHPWOD</v>
          </cell>
          <cell r="I89">
            <v>9.581804938014046E-3</v>
          </cell>
          <cell r="J89">
            <v>1.0969979071551523E-2</v>
          </cell>
          <cell r="K89">
            <v>8.7860113348745862E-3</v>
          </cell>
        </row>
        <row r="90">
          <cell r="B90" t="str">
            <v>RHNM-SHSTG-CHPWOD</v>
          </cell>
          <cell r="C90" t="str">
            <v>VAR_fin</v>
          </cell>
          <cell r="D90" t="str">
            <v>AUX_RNM-CHPWOD_IN</v>
          </cell>
          <cell r="I90">
            <v>9.581804938014046E-3</v>
          </cell>
          <cell r="J90">
            <v>1.0969979071551523E-2</v>
          </cell>
          <cell r="K90">
            <v>8.7860113348745862E-3</v>
          </cell>
        </row>
        <row r="91">
          <cell r="B91" t="str">
            <v>RHNM-SHSTG-CHPWOD</v>
          </cell>
          <cell r="C91" t="str">
            <v>VAR_ncap</v>
          </cell>
          <cell r="D91" t="str">
            <v>-</v>
          </cell>
          <cell r="I91">
            <v>6.3860974182316796E-3</v>
          </cell>
          <cell r="J91">
            <v>1.89938045771636E-3</v>
          </cell>
          <cell r="K91">
            <v>2.3334884552858099E-4</v>
          </cell>
        </row>
        <row r="92">
          <cell r="B92" t="str">
            <v>RHNM-SHSTG-CHPWOD</v>
          </cell>
          <cell r="C92" t="str">
            <v>VAR_cap</v>
          </cell>
          <cell r="D92" t="str">
            <v>-</v>
          </cell>
          <cell r="I92">
            <v>6.8849472421240003E-3</v>
          </cell>
          <cell r="J92">
            <v>8.3058759878444546E-3</v>
          </cell>
          <cell r="K92">
            <v>4.2991790262818241E-3</v>
          </cell>
        </row>
        <row r="93">
          <cell r="B93" t="str">
            <v>CHPWSTCCS</v>
          </cell>
          <cell r="C93" t="str">
            <v>VAR_fout</v>
          </cell>
          <cell r="D93" t="str">
            <v>ELC35</v>
          </cell>
          <cell r="J93">
            <v>0.47459409701957339</v>
          </cell>
          <cell r="K93">
            <v>1.4946322750053092</v>
          </cell>
        </row>
        <row r="94">
          <cell r="B94" t="str">
            <v>CHPWSTCCS</v>
          </cell>
          <cell r="C94" t="str">
            <v>VAR_fout</v>
          </cell>
          <cell r="D94" t="str">
            <v>CO2_O</v>
          </cell>
          <cell r="J94">
            <v>812.50746495932844</v>
          </cell>
          <cell r="K94">
            <v>2286.0123862451564</v>
          </cell>
        </row>
        <row r="95">
          <cell r="B95" t="str">
            <v>CHPWSTCCS</v>
          </cell>
          <cell r="C95" t="str">
            <v>VAR_fout</v>
          </cell>
          <cell r="D95" t="str">
            <v>CO2</v>
          </cell>
          <cell r="J95">
            <v>-812.50746495932799</v>
          </cell>
          <cell r="K95">
            <v>-2286.0123862451601</v>
          </cell>
        </row>
        <row r="96">
          <cell r="B96" t="str">
            <v>CHPWSTCCS</v>
          </cell>
          <cell r="C96" t="str">
            <v>VAR_fout</v>
          </cell>
          <cell r="D96" t="str">
            <v>LTH</v>
          </cell>
          <cell r="J96">
            <v>4.4529595913725473</v>
          </cell>
          <cell r="K96">
            <v>13.242441956547028</v>
          </cell>
        </row>
        <row r="97">
          <cell r="B97" t="str">
            <v>CHPWSTCCS</v>
          </cell>
          <cell r="C97" t="str">
            <v>VAR_fout</v>
          </cell>
          <cell r="D97" t="str">
            <v>CO2_E</v>
          </cell>
          <cell r="J97">
            <v>912.92973590935799</v>
          </cell>
          <cell r="K97">
            <v>2568.5532429720902</v>
          </cell>
        </row>
        <row r="98">
          <cell r="B98" t="str">
            <v>CHPWSTCCS</v>
          </cell>
          <cell r="C98" t="str">
            <v>VAR_fin</v>
          </cell>
          <cell r="D98" t="str">
            <v>EWST</v>
          </cell>
          <cell r="J98">
            <v>9.837604912816369</v>
          </cell>
          <cell r="K98">
            <v>27.678375463061275</v>
          </cell>
        </row>
        <row r="99">
          <cell r="B99" t="str">
            <v>CHPWSTCCS</v>
          </cell>
          <cell r="C99" t="str">
            <v>VAR_ncap</v>
          </cell>
          <cell r="D99" t="str">
            <v>-</v>
          </cell>
          <cell r="J99">
            <v>4.8545978959438803E-2</v>
          </cell>
          <cell r="K99">
            <v>3.3114290046416299E-2</v>
          </cell>
        </row>
        <row r="100">
          <cell r="B100" t="str">
            <v>CHPWSTCCS</v>
          </cell>
          <cell r="C100" t="str">
            <v>VAR_cap</v>
          </cell>
          <cell r="D100" t="str">
            <v>-</v>
          </cell>
          <cell r="J100">
            <v>4.8545978959438803E-2</v>
          </cell>
          <cell r="K100">
            <v>8.1660249380125352E-2</v>
          </cell>
        </row>
        <row r="101">
          <cell r="B101" t="str">
            <v>D-ENGA</v>
          </cell>
          <cell r="C101" t="str">
            <v>VAR_fout</v>
          </cell>
          <cell r="D101" t="str">
            <v>CO2</v>
          </cell>
          <cell r="J101"/>
          <cell r="K101"/>
        </row>
        <row r="102">
          <cell r="B102" t="str">
            <v>D-ENGA</v>
          </cell>
          <cell r="C102" t="str">
            <v>VAR_fout</v>
          </cell>
          <cell r="D102" t="str">
            <v>ENGA</v>
          </cell>
          <cell r="J102">
            <v>2.6974139707962467E-5</v>
          </cell>
          <cell r="K102">
            <v>0.11267160388141641</v>
          </cell>
        </row>
        <row r="103">
          <cell r="B103" t="str">
            <v>D-ENGA</v>
          </cell>
          <cell r="C103" t="str">
            <v>VAR_fout</v>
          </cell>
          <cell r="D103" t="str">
            <v>EH2</v>
          </cell>
          <cell r="J103">
            <v>9.5033682185331319E-6</v>
          </cell>
          <cell r="K103">
            <v>3.3359499729485338E-3</v>
          </cell>
        </row>
        <row r="104">
          <cell r="B104" t="str">
            <v>D-ENGA</v>
          </cell>
          <cell r="C104" t="str">
            <v>VAR_fin</v>
          </cell>
          <cell r="D104" t="str">
            <v>NGA</v>
          </cell>
          <cell r="J104"/>
          <cell r="K104"/>
        </row>
        <row r="105">
          <cell r="B105" t="str">
            <v>D-ENGA</v>
          </cell>
          <cell r="C105" t="str">
            <v>VAR_fin</v>
          </cell>
          <cell r="D105" t="str">
            <v>BNGA</v>
          </cell>
          <cell r="J105">
            <v>2.7259491509658746E-5</v>
          </cell>
          <cell r="K105">
            <v>0.11304914058098613</v>
          </cell>
        </row>
        <row r="106">
          <cell r="B106" t="str">
            <v>D-ENGA</v>
          </cell>
          <cell r="C106" t="str">
            <v>VAR_fin</v>
          </cell>
          <cell r="D106" t="str">
            <v>H2</v>
          </cell>
          <cell r="J106">
            <v>1.4127175512781153E-6</v>
          </cell>
          <cell r="K106">
            <v>3.3252740712625961E-3</v>
          </cell>
        </row>
        <row r="107">
          <cell r="B107" t="str">
            <v>D-ENGA</v>
          </cell>
          <cell r="C107" t="str">
            <v>VAR_ncap</v>
          </cell>
          <cell r="D107" t="str">
            <v>-</v>
          </cell>
          <cell r="I107">
            <v>6.47371349082359E-7</v>
          </cell>
          <cell r="J107">
            <v>1.10774873640543E-6</v>
          </cell>
          <cell r="K107">
            <v>1.74327575277488E-6</v>
          </cell>
        </row>
        <row r="108">
          <cell r="B108" t="str">
            <v>D-ENGA</v>
          </cell>
          <cell r="C108" t="str">
            <v>VAR_cap</v>
          </cell>
          <cell r="D108" t="str">
            <v>-</v>
          </cell>
          <cell r="I108">
            <v>1.0275144356833117</v>
          </cell>
          <cell r="J108">
            <v>1.0275155434320482</v>
          </cell>
          <cell r="K108">
            <v>0.72468197348158092</v>
          </cell>
        </row>
        <row r="109">
          <cell r="B109" t="str">
            <v>D-ILFO</v>
          </cell>
          <cell r="C109" t="str">
            <v>VAR_fout</v>
          </cell>
          <cell r="D109" t="str">
            <v>CO2</v>
          </cell>
          <cell r="I109">
            <v>452.91007803125598</v>
          </cell>
          <cell r="J109">
            <v>239.29763546799001</v>
          </cell>
          <cell r="K109">
            <v>3.1408589016429002E-4</v>
          </cell>
        </row>
        <row r="110">
          <cell r="B110" t="str">
            <v>D-ILFO</v>
          </cell>
          <cell r="C110" t="str">
            <v>VAR_fout</v>
          </cell>
          <cell r="D110" t="str">
            <v>ILFO</v>
          </cell>
          <cell r="I110">
            <v>6.1827622242518432</v>
          </cell>
          <cell r="J110">
            <v>3.3327587696569569</v>
          </cell>
          <cell r="K110">
            <v>0.25347337143741311</v>
          </cell>
        </row>
        <row r="111">
          <cell r="B111" t="str">
            <v>D-ILFO</v>
          </cell>
          <cell r="C111" t="str">
            <v>VAR_fin</v>
          </cell>
          <cell r="D111" t="str">
            <v>LFO</v>
          </cell>
          <cell r="I111">
            <v>6.1453199190129713</v>
          </cell>
          <cell r="J111">
            <v>3.2469149995656701</v>
          </cell>
          <cell r="K111">
            <v>4.2616810062997371E-6</v>
          </cell>
        </row>
        <row r="112">
          <cell r="B112" t="str">
            <v>D-ILFO</v>
          </cell>
          <cell r="C112" t="str">
            <v>VAR_fin</v>
          </cell>
          <cell r="D112" t="str">
            <v>BDS</v>
          </cell>
          <cell r="I112">
            <v>0.1424560119553967</v>
          </cell>
          <cell r="J112">
            <v>0.14245720138500653</v>
          </cell>
          <cell r="K112">
            <v>0.2577821145806492</v>
          </cell>
        </row>
        <row r="113">
          <cell r="B113" t="str">
            <v>HPLNGA</v>
          </cell>
          <cell r="C113" t="str">
            <v>VAR_fout</v>
          </cell>
          <cell r="D113" t="str">
            <v>LTH</v>
          </cell>
          <cell r="J113"/>
          <cell r="K113"/>
        </row>
        <row r="114">
          <cell r="B114" t="str">
            <v>HPLNGA</v>
          </cell>
          <cell r="C114" t="str">
            <v>VAR_fout</v>
          </cell>
          <cell r="D114" t="str">
            <v>CO2_E</v>
          </cell>
          <cell r="J114"/>
          <cell r="K114"/>
        </row>
        <row r="115">
          <cell r="B115" t="str">
            <v>HPLNGA</v>
          </cell>
          <cell r="C115" t="str">
            <v>VAR_fin</v>
          </cell>
          <cell r="D115" t="str">
            <v>ENGA</v>
          </cell>
          <cell r="J115"/>
          <cell r="K115"/>
        </row>
        <row r="116">
          <cell r="B116" t="str">
            <v>HPLNGA</v>
          </cell>
          <cell r="C116" t="str">
            <v>VAR_ncap</v>
          </cell>
          <cell r="D116" t="str">
            <v>-</v>
          </cell>
          <cell r="I116">
            <v>2.7333946799157699E-6</v>
          </cell>
          <cell r="J116">
            <v>1.66776664871346E-6</v>
          </cell>
          <cell r="K116">
            <v>1.34196795531824E-6</v>
          </cell>
        </row>
        <row r="117">
          <cell r="B117" t="str">
            <v>HPLNGA</v>
          </cell>
          <cell r="C117" t="str">
            <v>VAR_cap</v>
          </cell>
          <cell r="D117" t="str">
            <v>-</v>
          </cell>
          <cell r="I117">
            <v>-1.5244308466670533E-6</v>
          </cell>
          <cell r="J117">
            <v>-9.7442305627143015E-7</v>
          </cell>
          <cell r="K117">
            <v>2.0189222635005205E-6</v>
          </cell>
        </row>
        <row r="118">
          <cell r="B118" t="str">
            <v>G-INTC-IMP00-AT</v>
          </cell>
          <cell r="C118" t="str">
            <v>VAR_fout</v>
          </cell>
          <cell r="D118" t="str">
            <v>ELC</v>
          </cell>
          <cell r="I118">
            <v>0.10393982516255704</v>
          </cell>
          <cell r="J118">
            <v>5.217736418173817E-2</v>
          </cell>
          <cell r="K118">
            <v>7.1817293138214362</v>
          </cell>
        </row>
        <row r="119">
          <cell r="B119" t="str">
            <v>G-INTC-IMP00-AT</v>
          </cell>
          <cell r="C119" t="str">
            <v>VAR_fin</v>
          </cell>
          <cell r="D119" t="str">
            <v>ELC_I-AT</v>
          </cell>
          <cell r="I119">
            <v>0.10393982516255704</v>
          </cell>
          <cell r="J119">
            <v>5.217736418173817E-2</v>
          </cell>
          <cell r="K119">
            <v>7.1817293138214362</v>
          </cell>
        </row>
        <row r="120">
          <cell r="B120" t="str">
            <v>G-INTC-IMP00-AT</v>
          </cell>
          <cell r="C120" t="str">
            <v>VAR_ncap</v>
          </cell>
          <cell r="D120" t="str">
            <v>-</v>
          </cell>
          <cell r="I120">
            <v>1.7279674037440502E-5</v>
          </cell>
          <cell r="J120">
            <v>1.1254075931146901</v>
          </cell>
          <cell r="K120">
            <v>2.0455433616746901</v>
          </cell>
        </row>
        <row r="121">
          <cell r="B121" t="str">
            <v>G-INTC-IMP00-AT</v>
          </cell>
          <cell r="C121" t="str">
            <v>VAR_cap</v>
          </cell>
          <cell r="D121" t="str">
            <v>-</v>
          </cell>
          <cell r="I121">
            <v>1.1395994716897784E-2</v>
          </cell>
          <cell r="J121">
            <v>1.1395829634907928E-2</v>
          </cell>
          <cell r="K121">
            <v>1.1668749533973</v>
          </cell>
        </row>
        <row r="122">
          <cell r="B122" t="str">
            <v>CHPWST</v>
          </cell>
          <cell r="C122" t="str">
            <v>VAR_fout</v>
          </cell>
          <cell r="D122" t="str">
            <v>ELC35</v>
          </cell>
          <cell r="I122">
            <v>1.2798576794733632</v>
          </cell>
          <cell r="J122">
            <v>0.91157489984914797</v>
          </cell>
          <cell r="K122">
            <v>1.5346346299441592E-4</v>
          </cell>
        </row>
        <row r="123">
          <cell r="B123" t="str">
            <v>CHPWST</v>
          </cell>
          <cell r="C123" t="str">
            <v>VAR_fout</v>
          </cell>
          <cell r="D123" t="str">
            <v>LTH</v>
          </cell>
          <cell r="I123">
            <v>12.342953031245132</v>
          </cell>
          <cell r="J123">
            <v>8.5530060719872765</v>
          </cell>
          <cell r="K123">
            <v>1.3596862821305237E-3</v>
          </cell>
        </row>
        <row r="124">
          <cell r="B124" t="str">
            <v>CHPWST</v>
          </cell>
          <cell r="C124" t="str">
            <v>VAR_fout</v>
          </cell>
          <cell r="D124" t="str">
            <v>CO2_E</v>
          </cell>
          <cell r="I124">
            <v>2535.93287203931</v>
          </cell>
          <cell r="J124">
            <v>1806.2107927536299</v>
          </cell>
          <cell r="K124">
            <v>0.30407524735458502</v>
          </cell>
        </row>
        <row r="125">
          <cell r="B125" t="str">
            <v>CHPWST</v>
          </cell>
          <cell r="C125" t="str">
            <v>VAR_fin</v>
          </cell>
          <cell r="D125" t="str">
            <v>EWST</v>
          </cell>
          <cell r="I125">
            <v>27.32686284525122</v>
          </cell>
          <cell r="J125">
            <v>19.463478370189929</v>
          </cell>
          <cell r="K125">
            <v>3.2766729240795755E-3</v>
          </cell>
        </row>
        <row r="126">
          <cell r="B126" t="str">
            <v>CHPWST</v>
          </cell>
          <cell r="C126" t="str">
            <v>VAR_ncap</v>
          </cell>
          <cell r="D126" t="str">
            <v>-</v>
          </cell>
          <cell r="I126">
            <v>2.53530124579039E-3</v>
          </cell>
          <cell r="J126">
            <v>5.7281402079606202E-6</v>
          </cell>
          <cell r="K126">
            <v>2.6115755727180302E-8</v>
          </cell>
        </row>
        <row r="127">
          <cell r="B127" t="str">
            <v>CHPWST</v>
          </cell>
          <cell r="C127" t="str">
            <v>VAR_cap</v>
          </cell>
          <cell r="D127" t="str">
            <v>-</v>
          </cell>
          <cell r="I127">
            <v>6.9925894937452909E-2</v>
          </cell>
          <cell r="J127">
            <v>4.9804456570410036E-2</v>
          </cell>
          <cell r="K127">
            <v>3.7568273795487994E-5</v>
          </cell>
        </row>
        <row r="128">
          <cell r="B128" t="str">
            <v>RHES-CHPNGA</v>
          </cell>
          <cell r="C128" t="str">
            <v>VAR_fout</v>
          </cell>
          <cell r="D128" t="str">
            <v>CO2_R</v>
          </cell>
          <cell r="I128">
            <v>0.90718413463779601</v>
          </cell>
          <cell r="J128">
            <v>0.15583705046633101</v>
          </cell>
          <cell r="K128"/>
        </row>
        <row r="129">
          <cell r="B129" t="str">
            <v>RHES-CHPNGA</v>
          </cell>
          <cell r="C129" t="str">
            <v>VAR_fout</v>
          </cell>
          <cell r="D129" t="str">
            <v>RHES_NKEV_GAS_ELC_CHP</v>
          </cell>
          <cell r="I129">
            <v>4.1438289523760231E-3</v>
          </cell>
          <cell r="J129">
            <v>7.3880358703188134E-4</v>
          </cell>
          <cell r="K129"/>
        </row>
        <row r="130">
          <cell r="B130" t="str">
            <v>RHES-CHPNGA</v>
          </cell>
          <cell r="C130" t="str">
            <v>VAR_fout</v>
          </cell>
          <cell r="D130" t="str">
            <v>RHES_LTH_CHPNGA</v>
          </cell>
          <cell r="I130">
            <v>9.3885247442304018E-3</v>
          </cell>
          <cell r="J130">
            <v>1.6590677042119426E-3</v>
          </cell>
          <cell r="K130"/>
        </row>
        <row r="131">
          <cell r="B131" t="str">
            <v>RHES-CHPNGA</v>
          </cell>
          <cell r="C131" t="str">
            <v>VAR_fin</v>
          </cell>
          <cell r="D131" t="str">
            <v>RNGA</v>
          </cell>
          <cell r="I131">
            <v>1.6084825082230424E-2</v>
          </cell>
          <cell r="J131">
            <v>2.7630682706796324E-3</v>
          </cell>
          <cell r="K131"/>
        </row>
        <row r="132">
          <cell r="B132" t="str">
            <v>RHES-CHPNGA</v>
          </cell>
          <cell r="C132" t="str">
            <v>VAR_ncap</v>
          </cell>
          <cell r="D132" t="str">
            <v>-</v>
          </cell>
          <cell r="J132"/>
          <cell r="K132"/>
        </row>
        <row r="133">
          <cell r="B133" t="str">
            <v>RHES-CHPNGA</v>
          </cell>
          <cell r="C133" t="str">
            <v>VAR_cap</v>
          </cell>
          <cell r="D133" t="str">
            <v>-</v>
          </cell>
          <cell r="I133">
            <v>3.6818283294251931E-4</v>
          </cell>
          <cell r="J133">
            <v>1.2828931377853461E-4</v>
          </cell>
          <cell r="K133"/>
        </row>
        <row r="134">
          <cell r="B134" t="str">
            <v>RHEM-CHPWOD</v>
          </cell>
          <cell r="C134" t="str">
            <v>VAR_fout</v>
          </cell>
          <cell r="D134" t="str">
            <v>RHEM_KEV_WOD_ELC_CHP</v>
          </cell>
          <cell r="I134">
            <v>0.22311515035185814</v>
          </cell>
          <cell r="J134">
            <v>0.2830804600904584</v>
          </cell>
          <cell r="K134">
            <v>0.13767914273151446</v>
          </cell>
        </row>
        <row r="135">
          <cell r="B135" t="str">
            <v>RHEM-CHPWOD</v>
          </cell>
          <cell r="C135" t="str">
            <v>VAR_fout</v>
          </cell>
          <cell r="D135" t="str">
            <v>RHEM_LTH_CHPWOD</v>
          </cell>
          <cell r="I135">
            <v>0.59350828172415526</v>
          </cell>
          <cell r="J135">
            <v>0.75302191354112213</v>
          </cell>
          <cell r="K135">
            <v>0.36624008411338876</v>
          </cell>
        </row>
        <row r="136">
          <cell r="B136" t="str">
            <v>RHEM-CHPWOD</v>
          </cell>
          <cell r="C136" t="str">
            <v>VAR_fin</v>
          </cell>
          <cell r="D136" t="str">
            <v>RWOD</v>
          </cell>
          <cell r="I136">
            <v>0.83215132855941332</v>
          </cell>
          <cell r="J136">
            <v>1.0346490133822024</v>
          </cell>
          <cell r="K136">
            <v>0.48351647129238828</v>
          </cell>
        </row>
        <row r="137">
          <cell r="B137" t="str">
            <v>RHEM-CHPWOD</v>
          </cell>
          <cell r="C137" t="str">
            <v>VAR_ncap</v>
          </cell>
          <cell r="D137" t="str">
            <v>-</v>
          </cell>
          <cell r="I137">
            <v>1.6470588566221699E-2</v>
          </cell>
          <cell r="J137">
            <v>4.4767030068489097E-3</v>
          </cell>
          <cell r="K137">
            <v>4.9129213217639504E-7</v>
          </cell>
        </row>
        <row r="138">
          <cell r="B138" t="str">
            <v>RHEM-CHPWOD</v>
          </cell>
          <cell r="C138" t="str">
            <v>VAR_cap</v>
          </cell>
          <cell r="D138" t="str">
            <v>-</v>
          </cell>
          <cell r="I138">
            <v>1.6555987233019511E-2</v>
          </cell>
          <cell r="J138">
            <v>2.1005558145060121E-2</v>
          </cell>
          <cell r="K138">
            <v>1.0216276505899454E-2</v>
          </cell>
        </row>
        <row r="139">
          <cell r="B139" t="str">
            <v>G-INTC-IMP00-FR</v>
          </cell>
          <cell r="C139" t="str">
            <v>VAR_fout</v>
          </cell>
          <cell r="D139" t="str">
            <v>ELC</v>
          </cell>
          <cell r="I139">
            <v>17.616231313908145</v>
          </cell>
          <cell r="J139">
            <v>9.0286580692247362</v>
          </cell>
          <cell r="K139">
            <v>6.2146845055808422</v>
          </cell>
        </row>
        <row r="140">
          <cell r="B140" t="str">
            <v>G-INTC-IMP00-FR</v>
          </cell>
          <cell r="C140" t="str">
            <v>VAR_fin</v>
          </cell>
          <cell r="D140" t="str">
            <v>ELC_I-FR</v>
          </cell>
          <cell r="I140">
            <v>17.616231313908145</v>
          </cell>
          <cell r="J140">
            <v>9.0286580692247362</v>
          </cell>
          <cell r="K140">
            <v>6.2146845055808422</v>
          </cell>
        </row>
        <row r="141">
          <cell r="B141" t="str">
            <v>G-INTC-IMP00-FR</v>
          </cell>
          <cell r="C141" t="str">
            <v>VAR_ncap</v>
          </cell>
          <cell r="D141" t="str">
            <v>-</v>
          </cell>
          <cell r="I141">
            <v>1.1030815407336599E-6</v>
          </cell>
          <cell r="J141">
            <v>1.7068760897198E-6</v>
          </cell>
          <cell r="K141">
            <v>2.6224515640863101E-6</v>
          </cell>
        </row>
        <row r="142">
          <cell r="B142" t="str">
            <v>G-INTC-IMP00-FR</v>
          </cell>
          <cell r="C142" t="str">
            <v>VAR_cap</v>
          </cell>
          <cell r="D142" t="str">
            <v>-</v>
          </cell>
          <cell r="I142">
            <v>1.7000009052424929</v>
          </cell>
          <cell r="J142">
            <v>1.1999996154094756</v>
          </cell>
          <cell r="K142">
            <v>1.1999996867880505</v>
          </cell>
        </row>
        <row r="143">
          <cell r="B143" t="str">
            <v>ITOT-CHPWSTCCS</v>
          </cell>
          <cell r="C143" t="str">
            <v>VAR_fout</v>
          </cell>
          <cell r="D143" t="str">
            <v>CO2_O</v>
          </cell>
          <cell r="J143">
            <v>142.86171892022534</v>
          </cell>
          <cell r="K143">
            <v>387.60569958171226</v>
          </cell>
        </row>
        <row r="144">
          <cell r="B144" t="str">
            <v>ITOT-CHPWSTCCS</v>
          </cell>
          <cell r="C144" t="str">
            <v>VAR_fout</v>
          </cell>
          <cell r="D144" t="str">
            <v>CO2</v>
          </cell>
          <cell r="J144">
            <v>-142.861718920225</v>
          </cell>
          <cell r="K144">
            <v>-387.60569958171197</v>
          </cell>
        </row>
        <row r="145">
          <cell r="B145" t="str">
            <v>ITOT-CHPWSTCCS</v>
          </cell>
          <cell r="C145" t="str">
            <v>VAR_fout</v>
          </cell>
          <cell r="D145" t="str">
            <v>ITOT_LTH_CHP</v>
          </cell>
          <cell r="J145">
            <v>0.56922533778517448</v>
          </cell>
          <cell r="K145">
            <v>1.0900973261094828</v>
          </cell>
        </row>
        <row r="146">
          <cell r="B146" t="str">
            <v>ITOT-CHPWSTCCS</v>
          </cell>
          <cell r="C146" t="str">
            <v>VAR_fout</v>
          </cell>
          <cell r="D146" t="str">
            <v>ITOT_KEV_WST_ELC_CHP</v>
          </cell>
          <cell r="J146">
            <v>0.11238321073850047</v>
          </cell>
          <cell r="K146">
            <v>0.32134960443378413</v>
          </cell>
        </row>
        <row r="147">
          <cell r="B147" t="str">
            <v>ITOT-CHPWSTCCS</v>
          </cell>
          <cell r="C147" t="str">
            <v>VAR_fout</v>
          </cell>
          <cell r="D147" t="str">
            <v>CO2_I</v>
          </cell>
          <cell r="J147">
            <v>186.98502683674201</v>
          </cell>
          <cell r="K147">
            <v>534.66673548634003</v>
          </cell>
        </row>
        <row r="148">
          <cell r="B148" t="str">
            <v>ITOT-CHPWSTCCS</v>
          </cell>
          <cell r="C148" t="str">
            <v>VAR_fin</v>
          </cell>
          <cell r="D148" t="str">
            <v>IWST</v>
          </cell>
          <cell r="J148">
            <v>2.0149248581545454</v>
          </cell>
          <cell r="K148">
            <v>5.7614949944648828</v>
          </cell>
        </row>
        <row r="149">
          <cell r="B149" t="str">
            <v>ITOT-CHPWSTCCS</v>
          </cell>
          <cell r="C149" t="str">
            <v>VAR_ncap</v>
          </cell>
          <cell r="D149" t="str">
            <v>-</v>
          </cell>
          <cell r="J149">
            <v>1.1023055378265799E-2</v>
          </cell>
          <cell r="K149">
            <v>2.17171631871125E-2</v>
          </cell>
        </row>
        <row r="150">
          <cell r="B150" t="str">
            <v>ITOT-CHPWSTCCS</v>
          </cell>
          <cell r="C150" t="str">
            <v>VAR_cap</v>
          </cell>
          <cell r="D150" t="str">
            <v>-</v>
          </cell>
          <cell r="J150">
            <v>1.1023055378265799E-2</v>
          </cell>
          <cell r="K150">
            <v>3.2740199089976232E-2</v>
          </cell>
        </row>
        <row r="151">
          <cell r="B151" t="str">
            <v>EHYD-RUNS10</v>
          </cell>
          <cell r="C151" t="str">
            <v>VAR_fout</v>
          </cell>
          <cell r="D151" t="str">
            <v>ELC35</v>
          </cell>
          <cell r="I151">
            <v>2.7570147296176141E-3</v>
          </cell>
          <cell r="J151">
            <v>2.9657480191269594E-3</v>
          </cell>
          <cell r="K151">
            <v>3.0928827822006479E-3</v>
          </cell>
        </row>
        <row r="152">
          <cell r="B152" t="str">
            <v>EHYD-RUNS10</v>
          </cell>
          <cell r="C152" t="str">
            <v>VAR_fin</v>
          </cell>
          <cell r="D152" t="str">
            <v>HYDR</v>
          </cell>
          <cell r="I152">
            <v>2.7570147296176141E-3</v>
          </cell>
          <cell r="J152">
            <v>2.9657480191269594E-3</v>
          </cell>
          <cell r="K152">
            <v>3.0928827822006479E-3</v>
          </cell>
        </row>
        <row r="153">
          <cell r="B153" t="str">
            <v>EHYD-RUNS10</v>
          </cell>
          <cell r="C153" t="str">
            <v>VAR_ncap</v>
          </cell>
          <cell r="D153" t="str">
            <v>-</v>
          </cell>
          <cell r="I153">
            <v>1.05533329432465E-7</v>
          </cell>
          <cell r="J153">
            <v>2.2977727917053198E-8</v>
          </cell>
          <cell r="K153">
            <v>3.4608641246610602E-8</v>
          </cell>
        </row>
        <row r="154">
          <cell r="B154" t="str">
            <v>EHYD-RUNS10</v>
          </cell>
          <cell r="C154" t="str">
            <v>VAR_cap</v>
          </cell>
          <cell r="D154" t="str">
            <v>-</v>
          </cell>
          <cell r="I154">
            <v>2.5337782813936502E-4</v>
          </cell>
          <cell r="J154">
            <v>2.5340080586728201E-4</v>
          </cell>
          <cell r="K154">
            <v>2.53435414508529E-4</v>
          </cell>
        </row>
        <row r="155">
          <cell r="B155" t="str">
            <v>SUP_WSTBIO</v>
          </cell>
          <cell r="C155" t="str">
            <v>VAR_fout</v>
          </cell>
          <cell r="D155" t="str">
            <v>ELC35</v>
          </cell>
          <cell r="I155">
            <v>0.15315957466586558</v>
          </cell>
          <cell r="J155">
            <v>0.16816117571558836</v>
          </cell>
          <cell r="K155">
            <v>0.19689424033412653</v>
          </cell>
        </row>
        <row r="156">
          <cell r="B156" t="str">
            <v>SUP_WSTBIO</v>
          </cell>
          <cell r="C156" t="str">
            <v>VAR_fout</v>
          </cell>
          <cell r="D156" t="str">
            <v>BIO</v>
          </cell>
          <cell r="I156">
            <v>7.6579787332932767</v>
          </cell>
          <cell r="J156">
            <v>8.4080587857794207</v>
          </cell>
          <cell r="K156">
            <v>9.8447120167063389</v>
          </cell>
        </row>
        <row r="157">
          <cell r="B157" t="str">
            <v>SUP_WSTBIO</v>
          </cell>
          <cell r="C157" t="str">
            <v>VAR_fin</v>
          </cell>
          <cell r="D157" t="str">
            <v>CWST</v>
          </cell>
          <cell r="I157">
            <v>13.167347433416829</v>
          </cell>
          <cell r="J157">
            <v>14.457056506520173</v>
          </cell>
          <cell r="K157">
            <v>16.927279119011057</v>
          </cell>
        </row>
        <row r="158">
          <cell r="B158" t="str">
            <v>SUP_WSTBIO</v>
          </cell>
          <cell r="C158" t="str">
            <v>VAR_ncap</v>
          </cell>
          <cell r="D158" t="str">
            <v>-</v>
          </cell>
          <cell r="I158">
            <v>0.145149061196964</v>
          </cell>
          <cell r="J158">
            <v>6.01367309992299E-2</v>
          </cell>
          <cell r="K158">
            <v>0.17047878567642</v>
          </cell>
        </row>
        <row r="159">
          <cell r="B159" t="str">
            <v>SUP_WSTBIO</v>
          </cell>
          <cell r="C159" t="str">
            <v>VAR_cap</v>
          </cell>
          <cell r="D159" t="str">
            <v>-</v>
          </cell>
          <cell r="I159">
            <v>0.28930163153007965</v>
          </cell>
          <cell r="J159">
            <v>0.31763756364616913</v>
          </cell>
          <cell r="K159">
            <v>0.37191092855412833</v>
          </cell>
        </row>
        <row r="160">
          <cell r="B160" t="str">
            <v>ITOT-CHPNGACCS</v>
          </cell>
          <cell r="C160" t="str">
            <v>VAR_fout</v>
          </cell>
          <cell r="D160" t="str">
            <v>CO2_O</v>
          </cell>
          <cell r="J160">
            <v>2.0394712881543509</v>
          </cell>
          <cell r="K160">
            <v>38.009953900870975</v>
          </cell>
        </row>
        <row r="161">
          <cell r="B161" t="str">
            <v>ITOT-CHPNGACCS</v>
          </cell>
          <cell r="C161" t="str">
            <v>VAR_fout</v>
          </cell>
          <cell r="D161" t="str">
            <v>CO2</v>
          </cell>
          <cell r="J161">
            <v>-2.03947128815435</v>
          </cell>
          <cell r="K161">
            <v>-38.009953900870997</v>
          </cell>
        </row>
        <row r="162">
          <cell r="B162" t="str">
            <v>ITOT-CHPNGACCS</v>
          </cell>
          <cell r="C162" t="str">
            <v>VAR_fout</v>
          </cell>
          <cell r="D162" t="str">
            <v>ITOT_NKEV_GAS_ELC_CHP</v>
          </cell>
          <cell r="J162">
            <v>1.3164170399274993E-2</v>
          </cell>
          <cell r="K162">
            <v>0.24534275766758668</v>
          </cell>
        </row>
        <row r="163">
          <cell r="B163" t="str">
            <v>ITOT-CHPNGACCS</v>
          </cell>
          <cell r="C163" t="str">
            <v>VAR_fout</v>
          </cell>
          <cell r="D163" t="str">
            <v>ITOT_LTH_CHP</v>
          </cell>
          <cell r="J163">
            <v>1.4909845983742825E-2</v>
          </cell>
          <cell r="K163">
            <v>0.27116831110628087</v>
          </cell>
        </row>
        <row r="164">
          <cell r="B164" t="str">
            <v>ITOT-CHPNGACCS</v>
          </cell>
          <cell r="C164" t="str">
            <v>VAR_fout</v>
          </cell>
          <cell r="D164" t="str">
            <v>CO2_I</v>
          </cell>
          <cell r="J164">
            <v>2.3403730686828101</v>
          </cell>
          <cell r="K164">
            <v>60.673025040011403</v>
          </cell>
        </row>
        <row r="165">
          <cell r="B165" t="str">
            <v>ITOT-CHPNGACCS</v>
          </cell>
          <cell r="C165" t="str">
            <v>VAR_fin</v>
          </cell>
          <cell r="D165" t="str">
            <v>INGA</v>
          </cell>
          <cell r="J165">
            <v>4.1495976395085322E-2</v>
          </cell>
          <cell r="K165">
            <v>1.0757628553193508</v>
          </cell>
        </row>
        <row r="166">
          <cell r="B166" t="str">
            <v>ITOT-CHPNGACCS</v>
          </cell>
          <cell r="C166" t="str">
            <v>VAR_ncap</v>
          </cell>
          <cell r="D166" t="str">
            <v>-</v>
          </cell>
          <cell r="J166">
            <v>2.0389690269927E-3</v>
          </cell>
          <cell r="K166">
            <v>2.9421797358413201E-2</v>
          </cell>
        </row>
        <row r="167">
          <cell r="B167" t="str">
            <v>ITOT-CHPNGACCS</v>
          </cell>
          <cell r="C167" t="str">
            <v>VAR_cap</v>
          </cell>
          <cell r="D167" t="str">
            <v>-</v>
          </cell>
          <cell r="J167">
            <v>2.0389690269927E-3</v>
          </cell>
          <cell r="K167">
            <v>3.1460678796899483E-2</v>
          </cell>
        </row>
        <row r="168">
          <cell r="B168" t="str">
            <v>SCOM-ESOLPV</v>
          </cell>
          <cell r="C168" t="str">
            <v>VAR_fout</v>
          </cell>
          <cell r="D168" t="str">
            <v>SCOM_SOL_ELC</v>
          </cell>
          <cell r="I168">
            <v>18.815551373147006</v>
          </cell>
          <cell r="J168">
            <v>36.183417636373782</v>
          </cell>
          <cell r="K168">
            <v>39.969006430554472</v>
          </cell>
        </row>
        <row r="169">
          <cell r="B169" t="str">
            <v>SCOM-ESOLPV</v>
          </cell>
          <cell r="C169" t="str">
            <v>VAR_fin</v>
          </cell>
          <cell r="D169" t="str">
            <v>SOL</v>
          </cell>
          <cell r="I169">
            <v>18.815551373147006</v>
          </cell>
          <cell r="J169">
            <v>36.183417636373782</v>
          </cell>
          <cell r="K169">
            <v>39.969006430554472</v>
          </cell>
        </row>
        <row r="170">
          <cell r="B170" t="str">
            <v>SCOM-ESOLPV</v>
          </cell>
          <cell r="C170" t="str">
            <v>VAR_fin</v>
          </cell>
          <cell r="D170" t="str">
            <v>SOLPVC</v>
          </cell>
          <cell r="I170">
            <v>18.815551373146999</v>
          </cell>
          <cell r="J170">
            <v>36.183417636373797</v>
          </cell>
          <cell r="K170">
            <v>39.969006430554501</v>
          </cell>
        </row>
        <row r="171">
          <cell r="B171" t="str">
            <v>SCOM-ESOLPV</v>
          </cell>
          <cell r="C171" t="str">
            <v>VAR_ncap</v>
          </cell>
          <cell r="D171" t="str">
            <v>-</v>
          </cell>
          <cell r="I171">
            <v>0.73008036389083797</v>
          </cell>
          <cell r="J171">
            <v>5.4141002821150899</v>
          </cell>
          <cell r="K171">
            <v>4.9889627695677303</v>
          </cell>
        </row>
        <row r="172">
          <cell r="B172" t="str">
            <v>SCOM-ESOLPV</v>
          </cell>
          <cell r="C172" t="str">
            <v>VAR_cap</v>
          </cell>
          <cell r="D172" t="str">
            <v>-</v>
          </cell>
          <cell r="I172">
            <v>5.4239761980282086</v>
          </cell>
          <cell r="J172">
            <v>10.430626172998588</v>
          </cell>
          <cell r="K172">
            <v>11.521900806760099</v>
          </cell>
        </row>
        <row r="173">
          <cell r="B173" t="str">
            <v>D-SCOM_LTH</v>
          </cell>
          <cell r="C173" t="str">
            <v>VAR_fout</v>
          </cell>
          <cell r="D173" t="str">
            <v>SCOM_LTH_DH</v>
          </cell>
          <cell r="I173">
            <v>8.3305128583547994</v>
          </cell>
          <cell r="J173">
            <v>9.2532925490753133</v>
          </cell>
          <cell r="K173">
            <v>8.9440161566935714</v>
          </cell>
        </row>
        <row r="174">
          <cell r="B174" t="str">
            <v>D-SCOM_LTH</v>
          </cell>
          <cell r="C174" t="str">
            <v>VAR_fin</v>
          </cell>
          <cell r="D174" t="str">
            <v>LTH</v>
          </cell>
          <cell r="I174">
            <v>9.0384950724440554</v>
          </cell>
          <cell r="J174">
            <v>10.033117879512734</v>
          </cell>
          <cell r="K174">
            <v>9.6850803328417658</v>
          </cell>
        </row>
        <row r="175">
          <cell r="B175" t="str">
            <v>D-SCOM_LTH</v>
          </cell>
          <cell r="C175" t="str">
            <v>VAR_ncap</v>
          </cell>
          <cell r="D175" t="str">
            <v>-</v>
          </cell>
          <cell r="I175">
            <v>7.9814526444066504E-8</v>
          </cell>
          <cell r="J175">
            <v>1.14436393981769E-7</v>
          </cell>
          <cell r="K175">
            <v>1.2178378601902001E-7</v>
          </cell>
        </row>
        <row r="176">
          <cell r="B176" t="str">
            <v>D-SCOM_LTH</v>
          </cell>
          <cell r="C176" t="str">
            <v>VAR_cap</v>
          </cell>
          <cell r="D176" t="str">
            <v>-</v>
          </cell>
          <cell r="I176">
            <v>0.84970041237264504</v>
          </cell>
          <cell r="J176">
            <v>0.84970052680903896</v>
          </cell>
          <cell r="K176">
            <v>0.84970064859282501</v>
          </cell>
        </row>
        <row r="177">
          <cell r="B177" t="str">
            <v>EHYD-RUNS15</v>
          </cell>
          <cell r="C177" t="str">
            <v>VAR_fout</v>
          </cell>
          <cell r="D177" t="str">
            <v>ELC35</v>
          </cell>
          <cell r="I177">
            <v>7.5679333342935943E-3</v>
          </cell>
          <cell r="J177">
            <v>1.0164561613073183E-2</v>
          </cell>
          <cell r="K177">
            <v>1.2057148750481493E-2</v>
          </cell>
        </row>
        <row r="178">
          <cell r="B178" t="str">
            <v>EHYD-RUNS15</v>
          </cell>
          <cell r="C178" t="str">
            <v>VAR_fin</v>
          </cell>
          <cell r="D178" t="str">
            <v>HYDR</v>
          </cell>
          <cell r="I178">
            <v>7.5679333342935943E-3</v>
          </cell>
          <cell r="J178">
            <v>1.0164561613073183E-2</v>
          </cell>
          <cell r="K178">
            <v>1.2057148750481493E-2</v>
          </cell>
        </row>
        <row r="179">
          <cell r="B179" t="str">
            <v>EHYD-RUNS15</v>
          </cell>
          <cell r="C179" t="str">
            <v>VAR_ncap</v>
          </cell>
          <cell r="D179" t="str">
            <v>-</v>
          </cell>
          <cell r="I179">
            <v>1.3103834508923801E-7</v>
          </cell>
          <cell r="J179">
            <v>9.3419417665920696E-5</v>
          </cell>
          <cell r="K179">
            <v>1.04368430847952E-4</v>
          </cell>
        </row>
        <row r="180">
          <cell r="B180" t="str">
            <v>EHYD-RUNS15</v>
          </cell>
          <cell r="C180" t="str">
            <v>VAR_cap</v>
          </cell>
          <cell r="D180" t="str">
            <v>-</v>
          </cell>
          <cell r="I180">
            <v>5.2083267942649601E-4</v>
          </cell>
          <cell r="J180">
            <v>6.1425209709241703E-4</v>
          </cell>
          <cell r="K180">
            <v>7.1862052794036796E-4</v>
          </cell>
        </row>
        <row r="181">
          <cell r="B181" t="str">
            <v>EHYD-RUN10</v>
          </cell>
          <cell r="C181" t="str">
            <v>VAR_fout</v>
          </cell>
          <cell r="D181" t="str">
            <v>ELC13</v>
          </cell>
          <cell r="I181">
            <v>5.7487129242349701E-2</v>
          </cell>
          <cell r="J181">
            <v>6.4652582408375806E-2</v>
          </cell>
          <cell r="K181">
            <v>6.0388547846469881E-2</v>
          </cell>
        </row>
        <row r="182">
          <cell r="B182" t="str">
            <v>EHYD-RUN10</v>
          </cell>
          <cell r="C182" t="str">
            <v>VAR_fin</v>
          </cell>
          <cell r="D182" t="str">
            <v>HYDR</v>
          </cell>
          <cell r="I182">
            <v>5.7487129242349701E-2</v>
          </cell>
          <cell r="J182">
            <v>6.4652582408375806E-2</v>
          </cell>
          <cell r="K182">
            <v>6.0388547846469881E-2</v>
          </cell>
        </row>
        <row r="183">
          <cell r="B183" t="str">
            <v>EHYD-RUN10</v>
          </cell>
          <cell r="C183" t="str">
            <v>VAR_ncap</v>
          </cell>
          <cell r="D183" t="str">
            <v>-</v>
          </cell>
          <cell r="J183"/>
          <cell r="K183">
            <v>1.5367977282239201E-8</v>
          </cell>
        </row>
        <row r="184">
          <cell r="B184" t="str">
            <v>EHYD-RUN10</v>
          </cell>
          <cell r="C184" t="str">
            <v>VAR_cap</v>
          </cell>
          <cell r="D184" t="str">
            <v>-</v>
          </cell>
          <cell r="I184">
            <v>5.0209955480037798E-3</v>
          </cell>
          <cell r="J184">
            <v>5.0209955480037798E-3</v>
          </cell>
          <cell r="K184">
            <v>5.0210109159810699E-3</v>
          </cell>
        </row>
        <row r="185">
          <cell r="B185" t="str">
            <v>ITOT-CHPWOD</v>
          </cell>
          <cell r="C185" t="str">
            <v>VAR_fout</v>
          </cell>
          <cell r="D185" t="str">
            <v>ITOT_LTH_CHP</v>
          </cell>
          <cell r="I185">
            <v>5.8732851789980955</v>
          </cell>
          <cell r="J185">
            <v>5.2534331791969793</v>
          </cell>
          <cell r="K185">
            <v>4.6922887409331651</v>
          </cell>
        </row>
        <row r="186">
          <cell r="B186" t="str">
            <v>ITOT-CHPWOD</v>
          </cell>
          <cell r="C186" t="str">
            <v>VAR_fout</v>
          </cell>
          <cell r="D186" t="str">
            <v>ITOT_KEV_WOD_ELC_CHP</v>
          </cell>
          <cell r="I186">
            <v>2.7764620846172767</v>
          </cell>
          <cell r="J186">
            <v>2.4834411392567497</v>
          </cell>
          <cell r="K186">
            <v>2.2181728593502203</v>
          </cell>
        </row>
        <row r="187">
          <cell r="B187" t="str">
            <v>ITOT-CHPWOD</v>
          </cell>
          <cell r="C187" t="str">
            <v>VAR_fin</v>
          </cell>
          <cell r="D187" t="str">
            <v>IWOD</v>
          </cell>
          <cell r="I187">
            <v>8.0317865461426816</v>
          </cell>
          <cell r="J187">
            <v>7.0463001119759472</v>
          </cell>
          <cell r="K187">
            <v>6.0346188237104492</v>
          </cell>
        </row>
        <row r="188">
          <cell r="B188" t="str">
            <v>ITOT-CHPWOD</v>
          </cell>
          <cell r="C188" t="str">
            <v>VAR_ncap</v>
          </cell>
          <cell r="D188" t="str">
            <v>-</v>
          </cell>
          <cell r="I188">
            <v>6.03875341073382E-2</v>
          </cell>
          <cell r="J188">
            <v>1.7012352955296298E-2</v>
          </cell>
          <cell r="K188">
            <v>6.5028703370606594E-2</v>
          </cell>
        </row>
        <row r="189">
          <cell r="B189" t="str">
            <v>ITOT-CHPWOD</v>
          </cell>
          <cell r="C189" t="str">
            <v>VAR_cap</v>
          </cell>
          <cell r="D189" t="str">
            <v>-</v>
          </cell>
          <cell r="I189">
            <v>0.14416708067864337</v>
          </cell>
          <cell r="J189">
            <v>0.11467269784474998</v>
          </cell>
          <cell r="K189">
            <v>0.1029186161570021</v>
          </cell>
        </row>
        <row r="190">
          <cell r="B190" t="str">
            <v>EHYD-RUN15</v>
          </cell>
          <cell r="C190" t="str">
            <v>VAR_fout</v>
          </cell>
          <cell r="D190" t="str">
            <v>ELC13</v>
          </cell>
          <cell r="I190">
            <v>1.6546635200351427</v>
          </cell>
          <cell r="J190">
            <v>2.0786719284693094</v>
          </cell>
          <cell r="K190">
            <v>6.9998115572836932</v>
          </cell>
        </row>
        <row r="191">
          <cell r="B191" t="str">
            <v>EHYD-RUN15</v>
          </cell>
          <cell r="C191" t="str">
            <v>VAR_fin</v>
          </cell>
          <cell r="D191" t="str">
            <v>HYDR</v>
          </cell>
          <cell r="I191">
            <v>1.6546635200351427</v>
          </cell>
          <cell r="J191">
            <v>2.0786719284693094</v>
          </cell>
          <cell r="K191">
            <v>6.9998115572836932</v>
          </cell>
        </row>
        <row r="192">
          <cell r="B192" t="str">
            <v>EHYD-RUN15</v>
          </cell>
          <cell r="C192" t="str">
            <v>VAR_ncap</v>
          </cell>
          <cell r="D192" t="str">
            <v>-</v>
          </cell>
          <cell r="I192">
            <v>4.9704193395166802E-7</v>
          </cell>
          <cell r="J192">
            <v>0.19254469892133899</v>
          </cell>
          <cell r="K192">
            <v>0.32487081238603499</v>
          </cell>
        </row>
        <row r="193">
          <cell r="B193" t="str">
            <v>EHYD-RUN15</v>
          </cell>
          <cell r="C193" t="str">
            <v>VAR_cap</v>
          </cell>
          <cell r="D193" t="str">
            <v>-</v>
          </cell>
          <cell r="I193">
            <v>0.117633934825199</v>
          </cell>
          <cell r="J193">
            <v>0.147777210623249</v>
          </cell>
          <cell r="K193">
            <v>0.49763132715763297</v>
          </cell>
        </row>
        <row r="194">
          <cell r="B194" t="str">
            <v>SCOM-SWHSTG-CHPWOD</v>
          </cell>
          <cell r="C194" t="str">
            <v>VAR_fout</v>
          </cell>
          <cell r="D194" t="str">
            <v>AUX_SCOM-CHPWOD_OUT</v>
          </cell>
          <cell r="I194">
            <v>2.0684485923511711E-2</v>
          </cell>
          <cell r="J194">
            <v>1.6171451665870296E-2</v>
          </cell>
          <cell r="K194">
            <v>4.1401622214481903E-2</v>
          </cell>
        </row>
        <row r="195">
          <cell r="B195" t="str">
            <v>SCOM-SWHSTG-CHPWOD</v>
          </cell>
          <cell r="C195" t="str">
            <v>VAR_fout</v>
          </cell>
          <cell r="D195" t="str">
            <v>SCOM_LTH_CHPWOD</v>
          </cell>
          <cell r="I195">
            <v>2.0707494250456628E-2</v>
          </cell>
          <cell r="J195">
            <v>1.6171451665870282E-2</v>
          </cell>
          <cell r="K195">
            <v>4.1401622214481903E-2</v>
          </cell>
        </row>
        <row r="196">
          <cell r="B196" t="str">
            <v>SCOM-SWHSTG-CHPWOD</v>
          </cell>
          <cell r="C196" t="str">
            <v>VAR_fin</v>
          </cell>
          <cell r="D196" t="str">
            <v>AUX_SCOM-CHPWOD_IN</v>
          </cell>
          <cell r="I196">
            <v>2.3002667700162537E-2</v>
          </cell>
          <cell r="J196">
            <v>1.7385387994405595E-2</v>
          </cell>
          <cell r="K196">
            <v>4.1820304853591374E-2</v>
          </cell>
        </row>
        <row r="197">
          <cell r="B197" t="str">
            <v>SCOM-SWHSTG-CHPWOD</v>
          </cell>
          <cell r="C197" t="str">
            <v>VAR_fin</v>
          </cell>
          <cell r="D197" t="str">
            <v>SCOM_LTH_CHPWOD</v>
          </cell>
          <cell r="I197">
            <v>2.3002667700162537E-2</v>
          </cell>
          <cell r="J197">
            <v>1.7385387994405595E-2</v>
          </cell>
          <cell r="K197">
            <v>4.1820304853591374E-2</v>
          </cell>
        </row>
        <row r="198">
          <cell r="B198" t="str">
            <v>SCOM-SWHSTG-CHPWOD</v>
          </cell>
          <cell r="C198" t="str">
            <v>VAR_ncap</v>
          </cell>
          <cell r="D198" t="str">
            <v>-</v>
          </cell>
          <cell r="I198">
            <v>1.32708865881693E-3</v>
          </cell>
          <cell r="J198">
            <v>8.9141663427825702E-5</v>
          </cell>
          <cell r="K198">
            <v>1.9559038447710198E-3</v>
          </cell>
        </row>
        <row r="199">
          <cell r="B199" t="str">
            <v>SCOM-SWHSTG-CHPWOD</v>
          </cell>
          <cell r="C199" t="str">
            <v>VAR_cap</v>
          </cell>
          <cell r="D199" t="str">
            <v>-</v>
          </cell>
          <cell r="I199">
            <v>1.6353026380338215E-3</v>
          </cell>
          <cell r="J199">
            <v>1.4340083919595027E-3</v>
          </cell>
          <cell r="K199">
            <v>2.5739420442482072E-3</v>
          </cell>
        </row>
        <row r="200">
          <cell r="B200" t="str">
            <v>RHNM-ESOLPV</v>
          </cell>
          <cell r="C200" t="str">
            <v>VAR_fout</v>
          </cell>
          <cell r="D200" t="str">
            <v>RHNM_SOL_ELC</v>
          </cell>
          <cell r="I200">
            <v>2.6849746885913306</v>
          </cell>
          <cell r="J200">
            <v>2.8219660702975373</v>
          </cell>
          <cell r="K200">
            <v>3.1172083234551367</v>
          </cell>
        </row>
        <row r="201">
          <cell r="B201" t="str">
            <v>RHNM-ESOLPV</v>
          </cell>
          <cell r="C201" t="str">
            <v>VAR_fin</v>
          </cell>
          <cell r="D201" t="str">
            <v>SOL</v>
          </cell>
          <cell r="I201">
            <v>2.6849746885913306</v>
          </cell>
          <cell r="J201">
            <v>2.8219660702975373</v>
          </cell>
          <cell r="K201">
            <v>3.1172083234551367</v>
          </cell>
        </row>
        <row r="202">
          <cell r="B202" t="str">
            <v>RHNM-ESOLPV</v>
          </cell>
          <cell r="C202" t="str">
            <v>VAR_fin</v>
          </cell>
          <cell r="D202" t="str">
            <v>SOLPVC</v>
          </cell>
          <cell r="I202">
            <v>2.6849746885913301</v>
          </cell>
          <cell r="J202">
            <v>2.82196607029754</v>
          </cell>
          <cell r="K202">
            <v>3.1172083234551402</v>
          </cell>
        </row>
        <row r="203">
          <cell r="B203" t="str">
            <v>RHNM-ESOLPV</v>
          </cell>
          <cell r="C203" t="str">
            <v>VAR_ncap</v>
          </cell>
          <cell r="D203" t="str">
            <v>-</v>
          </cell>
          <cell r="I203">
            <v>3.7567599791917802E-2</v>
          </cell>
          <cell r="J203">
            <v>3.9495028903588802E-2</v>
          </cell>
          <cell r="K203">
            <v>0.77899286897486497</v>
          </cell>
        </row>
        <row r="204">
          <cell r="B204" t="str">
            <v>RHNM-ESOLPV</v>
          </cell>
          <cell r="C204" t="str">
            <v>VAR_cap</v>
          </cell>
          <cell r="D204" t="str">
            <v>-</v>
          </cell>
          <cell r="I204">
            <v>0.77400099313266602</v>
          </cell>
          <cell r="J204">
            <v>0.81349227706496396</v>
          </cell>
          <cell r="K204">
            <v>0.89860187570057404</v>
          </cell>
        </row>
        <row r="205">
          <cell r="B205" t="str">
            <v>CHPNGA</v>
          </cell>
          <cell r="C205" t="str">
            <v>VAR_fout</v>
          </cell>
          <cell r="D205" t="str">
            <v>ELC35</v>
          </cell>
          <cell r="J205"/>
          <cell r="K205"/>
        </row>
        <row r="206">
          <cell r="B206" t="str">
            <v>CHPNGA</v>
          </cell>
          <cell r="C206" t="str">
            <v>VAR_fout</v>
          </cell>
          <cell r="D206" t="str">
            <v>LTH</v>
          </cell>
          <cell r="J206"/>
          <cell r="K206"/>
        </row>
        <row r="207">
          <cell r="B207" t="str">
            <v>CHPNGA</v>
          </cell>
          <cell r="C207" t="str">
            <v>VAR_fout</v>
          </cell>
          <cell r="D207" t="str">
            <v>CO2_E</v>
          </cell>
          <cell r="J207"/>
          <cell r="K207"/>
        </row>
        <row r="208">
          <cell r="B208" t="str">
            <v>CHPNGA</v>
          </cell>
          <cell r="C208" t="str">
            <v>VAR_fin</v>
          </cell>
          <cell r="D208" t="str">
            <v>ENGA</v>
          </cell>
          <cell r="J208"/>
          <cell r="K208"/>
        </row>
        <row r="209">
          <cell r="B209" t="str">
            <v>CHPNGA</v>
          </cell>
          <cell r="C209" t="str">
            <v>VAR_ncap</v>
          </cell>
          <cell r="D209" t="str">
            <v>-</v>
          </cell>
          <cell r="J209"/>
          <cell r="K209"/>
        </row>
        <row r="210">
          <cell r="B210" t="str">
            <v>CHPNGA</v>
          </cell>
          <cell r="C210" t="str">
            <v>VAR_cap</v>
          </cell>
          <cell r="D210" t="str">
            <v>-</v>
          </cell>
          <cell r="I210">
            <v>-3.3222895414472889E-7</v>
          </cell>
          <cell r="J210"/>
          <cell r="K210"/>
        </row>
        <row r="211">
          <cell r="B211" t="str">
            <v>EHYD-PUM00</v>
          </cell>
          <cell r="C211" t="str">
            <v>VAR_fout</v>
          </cell>
          <cell r="D211" t="str">
            <v>ELC</v>
          </cell>
          <cell r="I211">
            <v>12.811311607213955</v>
          </cell>
          <cell r="J211">
            <v>13.255605687242502</v>
          </cell>
          <cell r="K211">
            <v>13.545070131364769</v>
          </cell>
        </row>
        <row r="212">
          <cell r="B212" t="str">
            <v>EHYD-PUM00</v>
          </cell>
          <cell r="C212" t="str">
            <v>VAR_fout</v>
          </cell>
          <cell r="D212" t="str">
            <v>AUX_PUMP_OUT</v>
          </cell>
          <cell r="I212">
            <v>12.811311607213955</v>
          </cell>
          <cell r="J212">
            <v>13.255605687242502</v>
          </cell>
          <cell r="K212">
            <v>13.545070131364769</v>
          </cell>
        </row>
        <row r="213">
          <cell r="B213" t="str">
            <v>EHYD-PUM00</v>
          </cell>
          <cell r="C213" t="str">
            <v>VAR_fin</v>
          </cell>
          <cell r="D213" t="str">
            <v>AUX_PUMP_IN</v>
          </cell>
          <cell r="I213">
            <v>16.014138418320886</v>
          </cell>
          <cell r="J213">
            <v>16.569506444419435</v>
          </cell>
          <cell r="K213">
            <v>16.931336996011066</v>
          </cell>
        </row>
        <row r="214">
          <cell r="B214" t="str">
            <v>EHYD-PUM00</v>
          </cell>
          <cell r="C214" t="str">
            <v>VAR_fin</v>
          </cell>
          <cell r="D214" t="str">
            <v>ELC</v>
          </cell>
          <cell r="I214">
            <v>16.014138418320886</v>
          </cell>
          <cell r="J214">
            <v>16.569506444419435</v>
          </cell>
          <cell r="K214">
            <v>16.931336996011066</v>
          </cell>
        </row>
        <row r="215">
          <cell r="B215" t="str">
            <v>EHYD-PUM00</v>
          </cell>
          <cell r="C215" t="str">
            <v>VAR_cap</v>
          </cell>
          <cell r="D215" t="str">
            <v>-</v>
          </cell>
          <cell r="I215">
            <v>4.3594499999999998</v>
          </cell>
          <cell r="J215">
            <v>4.3594499999999998</v>
          </cell>
          <cell r="K215">
            <v>4.3594499999999998</v>
          </cell>
        </row>
        <row r="216">
          <cell r="B216" t="str">
            <v>RHNS-SHSTG-CHPNGA</v>
          </cell>
          <cell r="C216" t="str">
            <v>VAR_fout</v>
          </cell>
          <cell r="D216" t="str">
            <v>RHNS_LTH_CHPNGA</v>
          </cell>
          <cell r="I216">
            <v>1.0231690363020432E-3</v>
          </cell>
          <cell r="J216">
            <v>6.0276183295217766E-4</v>
          </cell>
          <cell r="K216">
            <v>1.0947294433716871E-4</v>
          </cell>
        </row>
        <row r="217">
          <cell r="B217" t="str">
            <v>RHNS-SHSTG-CHPNGA</v>
          </cell>
          <cell r="C217" t="str">
            <v>VAR_fout</v>
          </cell>
          <cell r="D217" t="str">
            <v>AUX_RNS-CHPNGA_OUT</v>
          </cell>
          <cell r="I217">
            <v>1.0222294871410705E-3</v>
          </cell>
          <cell r="J217">
            <v>6.0276183295217961E-4</v>
          </cell>
          <cell r="K217">
            <v>1.0947294433716878E-4</v>
          </cell>
        </row>
        <row r="218">
          <cell r="B218" t="str">
            <v>RHNS-SHSTG-CHPNGA</v>
          </cell>
          <cell r="C218" t="str">
            <v>VAR_fin</v>
          </cell>
          <cell r="D218" t="str">
            <v>RHNS_LTH_CHPNGA</v>
          </cell>
          <cell r="I218">
            <v>1.2433262843656273E-3</v>
          </cell>
          <cell r="J218">
            <v>7.1224967728783148E-4</v>
          </cell>
          <cell r="K218">
            <v>9.2582301203466102E-5</v>
          </cell>
        </row>
        <row r="219">
          <cell r="B219" t="str">
            <v>RHNS-SHSTG-CHPNGA</v>
          </cell>
          <cell r="C219" t="str">
            <v>VAR_fin</v>
          </cell>
          <cell r="D219" t="str">
            <v>AUX_RNS-CHPNGA_IN</v>
          </cell>
          <cell r="I219">
            <v>1.2433262843656273E-3</v>
          </cell>
          <cell r="J219">
            <v>7.1224967728783148E-4</v>
          </cell>
          <cell r="K219">
            <v>9.2582301203466102E-5</v>
          </cell>
        </row>
        <row r="220">
          <cell r="B220" t="str">
            <v>RHNS-SHSTG-CHPNGA</v>
          </cell>
          <cell r="C220" t="str">
            <v>VAR_ncap</v>
          </cell>
          <cell r="D220" t="str">
            <v>-</v>
          </cell>
          <cell r="I220">
            <v>1.2165571512216099E-3</v>
          </cell>
          <cell r="J220">
            <v>3.3072306180381001E-5</v>
          </cell>
          <cell r="K220">
            <v>8.9966639588723504E-6</v>
          </cell>
        </row>
        <row r="221">
          <cell r="B221" t="str">
            <v>RHNS-SHSTG-CHPNGA</v>
          </cell>
          <cell r="C221" t="str">
            <v>VAR_cap</v>
          </cell>
          <cell r="D221" t="str">
            <v>-</v>
          </cell>
          <cell r="I221">
            <v>1.6259176302886023E-3</v>
          </cell>
          <cell r="J221">
            <v>1.2539128287953759E-3</v>
          </cell>
          <cell r="K221">
            <v>5.3666793850337658E-4</v>
          </cell>
        </row>
        <row r="222">
          <cell r="B222" t="str">
            <v>ITOT-CHPGFC</v>
          </cell>
          <cell r="C222" t="str">
            <v>VAR_fout</v>
          </cell>
          <cell r="D222" t="str">
            <v>ITOT_NKEV_GAS_ELC_CHP</v>
          </cell>
          <cell r="I222">
            <v>1.8754644318448434E-3</v>
          </cell>
          <cell r="J222">
            <v>1.4105572765306862E-3</v>
          </cell>
          <cell r="K222">
            <v>3.4942642775521191E-4</v>
          </cell>
        </row>
        <row r="223">
          <cell r="B223" t="str">
            <v>ITOT-CHPGFC</v>
          </cell>
          <cell r="C223" t="str">
            <v>VAR_fout</v>
          </cell>
          <cell r="D223" t="str">
            <v>ITOT_LTH_CHP</v>
          </cell>
          <cell r="I223">
            <v>8.904154527336767E-4</v>
          </cell>
          <cell r="J223">
            <v>6.3410372981654727E-4</v>
          </cell>
          <cell r="K223">
            <v>1.409966287433313E-4</v>
          </cell>
        </row>
        <row r="224">
          <cell r="B224" t="str">
            <v>ITOT-CHPGFC</v>
          </cell>
          <cell r="C224" t="str">
            <v>VAR_fout</v>
          </cell>
          <cell r="D224" t="str">
            <v>CO2_I</v>
          </cell>
          <cell r="I224">
            <v>0.198640739823567</v>
          </cell>
          <cell r="J224">
            <v>0.145973266782258</v>
          </cell>
          <cell r="K224">
            <v>3.4574825483147303E-2</v>
          </cell>
        </row>
        <row r="225">
          <cell r="B225" t="str">
            <v>ITOT-CHPGFC</v>
          </cell>
          <cell r="C225" t="str">
            <v>VAR_fin</v>
          </cell>
          <cell r="D225" t="str">
            <v>INGA</v>
          </cell>
          <cell r="I225">
            <v>3.5219989330419598E-3</v>
          </cell>
          <cell r="J225">
            <v>2.5881784890471301E-3</v>
          </cell>
          <cell r="K225">
            <v>6.1302882062317884E-4</v>
          </cell>
        </row>
        <row r="226">
          <cell r="B226" t="str">
            <v>ITOT-CHPGFC</v>
          </cell>
          <cell r="C226" t="str">
            <v>VAR_ncap</v>
          </cell>
          <cell r="D226" t="str">
            <v>-</v>
          </cell>
          <cell r="I226">
            <v>1.4622845346432301E-4</v>
          </cell>
          <cell r="J226">
            <v>5.1306074034462795E-7</v>
          </cell>
          <cell r="K226">
            <v>4.0070880700940701E-6</v>
          </cell>
        </row>
        <row r="227">
          <cell r="B227" t="str">
            <v>ITOT-CHPGFC</v>
          </cell>
          <cell r="C227" t="str">
            <v>VAR_cap</v>
          </cell>
          <cell r="D227" t="str">
            <v>-</v>
          </cell>
          <cell r="I227">
            <v>1.4622845346432301E-4</v>
          </cell>
          <cell r="J227">
            <v>1.466886684483198E-4</v>
          </cell>
          <cell r="K227">
            <v>6.6149726314730479E-5</v>
          </cell>
        </row>
        <row r="228">
          <cell r="B228" t="str">
            <v>ITOT-SWSTG-CHP</v>
          </cell>
          <cell r="C228" t="str">
            <v>VAR_fout</v>
          </cell>
          <cell r="D228" t="str">
            <v>ITOT_LTH_CHP</v>
          </cell>
          <cell r="I228">
            <v>0.20443892621427739</v>
          </cell>
          <cell r="J228">
            <v>9.5511592753087945E-2</v>
          </cell>
          <cell r="K228">
            <v>0.24252967544727549</v>
          </cell>
        </row>
        <row r="229">
          <cell r="B229" t="str">
            <v>ITOT-SWSTG-CHP</v>
          </cell>
          <cell r="C229" t="str">
            <v>VAR_fout</v>
          </cell>
          <cell r="D229" t="str">
            <v>AUX_ITOT-CHP_OUT</v>
          </cell>
          <cell r="I229">
            <v>0.20421177185181741</v>
          </cell>
          <cell r="J229">
            <v>9.5511592753088015E-2</v>
          </cell>
          <cell r="K229">
            <v>0.24252967544727549</v>
          </cell>
        </row>
        <row r="230">
          <cell r="B230" t="str">
            <v>ITOT-SWSTG-CHP</v>
          </cell>
          <cell r="C230" t="str">
            <v>VAR_fin</v>
          </cell>
          <cell r="D230" t="str">
            <v>ITOT_LTH_CHP</v>
          </cell>
          <cell r="I230">
            <v>0.22715930329939052</v>
          </cell>
          <cell r="J230">
            <v>0.10270375547802046</v>
          </cell>
          <cell r="K230">
            <v>0.24498258825787525</v>
          </cell>
        </row>
        <row r="231">
          <cell r="B231" t="str">
            <v>ITOT-SWSTG-CHP</v>
          </cell>
          <cell r="C231" t="str">
            <v>VAR_fin</v>
          </cell>
          <cell r="D231" t="str">
            <v>AUX_ITOT-CHP_IN</v>
          </cell>
          <cell r="I231">
            <v>0.22715930329939052</v>
          </cell>
          <cell r="J231">
            <v>0.10270375547802046</v>
          </cell>
          <cell r="K231">
            <v>0.24498258825787525</v>
          </cell>
        </row>
        <row r="232">
          <cell r="B232" t="str">
            <v>ITOT-SWSTG-CHP</v>
          </cell>
          <cell r="C232" t="str">
            <v>VAR_ncap</v>
          </cell>
          <cell r="D232" t="str">
            <v>-</v>
          </cell>
          <cell r="I232">
            <v>4.5019670005407499E-2</v>
          </cell>
          <cell r="J232">
            <v>3.8007253039146098E-5</v>
          </cell>
          <cell r="K232">
            <v>2.5834811299244999E-2</v>
          </cell>
        </row>
        <row r="233">
          <cell r="B233" t="str">
            <v>ITOT-SWSTG-CHP</v>
          </cell>
          <cell r="C233" t="str">
            <v>VAR_cap</v>
          </cell>
          <cell r="D233" t="str">
            <v>-</v>
          </cell>
          <cell r="I233">
            <v>4.7146811504894047E-2</v>
          </cell>
          <cell r="J233">
            <v>4.509197649939433E-2</v>
          </cell>
          <cell r="K233">
            <v>4.4896278517046612E-2</v>
          </cell>
        </row>
        <row r="234">
          <cell r="B234" t="str">
            <v>D-ELFO</v>
          </cell>
          <cell r="C234" t="str">
            <v>VAR_fout</v>
          </cell>
          <cell r="D234" t="str">
            <v>CO2</v>
          </cell>
          <cell r="I234">
            <v>1.4604235951765301</v>
          </cell>
          <cell r="J234">
            <v>1.4248521892053601</v>
          </cell>
          <cell r="K234">
            <v>1.10942239659985E-2</v>
          </cell>
        </row>
        <row r="235">
          <cell r="B235" t="str">
            <v>D-ELFO</v>
          </cell>
          <cell r="C235" t="str">
            <v>VAR_fout</v>
          </cell>
          <cell r="D235" t="str">
            <v>ELFO</v>
          </cell>
          <cell r="I235">
            <v>1.9484841508359871E-2</v>
          </cell>
          <cell r="J235">
            <v>1.9010250978689622E-2</v>
          </cell>
          <cell r="K235">
            <v>1.4801814785086339E-4</v>
          </cell>
        </row>
        <row r="236">
          <cell r="B236" t="str">
            <v>D-ELFO</v>
          </cell>
          <cell r="C236" t="str">
            <v>VAR_fin</v>
          </cell>
          <cell r="D236" t="str">
            <v>LFO</v>
          </cell>
          <cell r="I236">
            <v>1.9815788265624502E-2</v>
          </cell>
          <cell r="J236">
            <v>1.9333136895595109E-2</v>
          </cell>
          <cell r="K236">
            <v>1.5053221120757816E-4</v>
          </cell>
        </row>
        <row r="237">
          <cell r="B237" t="str">
            <v>EHYD-DAM00</v>
          </cell>
          <cell r="C237" t="str">
            <v>VAR_fout</v>
          </cell>
          <cell r="D237" t="str">
            <v>ELC</v>
          </cell>
          <cell r="I237">
            <v>70.301222850813261</v>
          </cell>
          <cell r="J237">
            <v>71.398183947087389</v>
          </cell>
          <cell r="K237">
            <v>71.396757919501908</v>
          </cell>
        </row>
        <row r="238">
          <cell r="B238" t="str">
            <v>EHYD-DAM00</v>
          </cell>
          <cell r="C238" t="str">
            <v>VAR_fin</v>
          </cell>
          <cell r="D238" t="str">
            <v>HYDD</v>
          </cell>
          <cell r="I238">
            <v>70.301222850813261</v>
          </cell>
          <cell r="J238">
            <v>71.398183947087389</v>
          </cell>
          <cell r="K238">
            <v>71.396757919501908</v>
          </cell>
        </row>
        <row r="239">
          <cell r="B239" t="str">
            <v>EHYD-DAM00</v>
          </cell>
          <cell r="C239" t="str">
            <v>VAR_cap</v>
          </cell>
          <cell r="D239" t="str">
            <v>-</v>
          </cell>
          <cell r="I239">
            <v>7.3394300010600002</v>
          </cell>
          <cell r="J239">
            <v>7.3394300010600002</v>
          </cell>
          <cell r="K239">
            <v>7.3394300010600002</v>
          </cell>
        </row>
        <row r="240">
          <cell r="B240" t="str">
            <v>RHES-SHSTG-CHPWOD</v>
          </cell>
          <cell r="C240" t="str">
            <v>VAR_fout</v>
          </cell>
          <cell r="D240" t="str">
            <v>AUX_RES-CHPWOD_OUT</v>
          </cell>
          <cell r="I240">
            <v>1.1560212748377805E-3</v>
          </cell>
          <cell r="J240">
            <v>7.5653272329131245E-4</v>
          </cell>
          <cell r="K240">
            <v>7.5131860293693102E-4</v>
          </cell>
        </row>
        <row r="241">
          <cell r="B241" t="str">
            <v>RHES-SHSTG-CHPWOD</v>
          </cell>
          <cell r="C241" t="str">
            <v>VAR_fout</v>
          </cell>
          <cell r="D241" t="str">
            <v>RHES_LTH_CHPWOD</v>
          </cell>
          <cell r="I241">
            <v>1.1570837943918576E-3</v>
          </cell>
          <cell r="J241">
            <v>7.5653272329130931E-4</v>
          </cell>
          <cell r="K241">
            <v>7.5131860293693004E-4</v>
          </cell>
        </row>
        <row r="242">
          <cell r="B242" t="str">
            <v>RHES-SHSTG-CHPWOD</v>
          </cell>
          <cell r="C242" t="str">
            <v>VAR_fin</v>
          </cell>
          <cell r="D242" t="str">
            <v>AUX_RES-CHPWOD_IN</v>
          </cell>
          <cell r="I242">
            <v>1.4056483354085143E-3</v>
          </cell>
          <cell r="J242">
            <v>8.9315660709789614E-4</v>
          </cell>
          <cell r="K242">
            <v>8.3796395360439841E-4</v>
          </cell>
        </row>
        <row r="243">
          <cell r="B243" t="str">
            <v>RHES-SHSTG-CHPWOD</v>
          </cell>
          <cell r="C243" t="str">
            <v>VAR_fin</v>
          </cell>
          <cell r="D243" t="str">
            <v>RHES_LTH_CHPWOD</v>
          </cell>
          <cell r="I243">
            <v>1.4056483354085143E-3</v>
          </cell>
          <cell r="J243">
            <v>8.9315660709789614E-4</v>
          </cell>
          <cell r="K243">
            <v>8.3796395360439841E-4</v>
          </cell>
        </row>
        <row r="244">
          <cell r="B244" t="str">
            <v>RHES-SHSTG-CHPWOD</v>
          </cell>
          <cell r="C244" t="str">
            <v>VAR_ncap</v>
          </cell>
          <cell r="D244" t="str">
            <v>-</v>
          </cell>
          <cell r="I244">
            <v>1.3156486485895499E-3</v>
          </cell>
          <cell r="J244">
            <v>9.4866027334867195E-5</v>
          </cell>
          <cell r="K244">
            <v>1.9643919343991599E-4</v>
          </cell>
        </row>
        <row r="245">
          <cell r="B245" t="str">
            <v>RHES-SHSTG-CHPWOD</v>
          </cell>
          <cell r="C245" t="str">
            <v>VAR_cap</v>
          </cell>
          <cell r="D245" t="str">
            <v>-</v>
          </cell>
          <cell r="I245">
            <v>1.6351497294951835E-3</v>
          </cell>
          <cell r="J245">
            <v>1.4223931955546618E-3</v>
          </cell>
          <cell r="K245">
            <v>8.1382508236188089E-4</v>
          </cell>
        </row>
        <row r="246">
          <cell r="B246" t="str">
            <v>ENUC_GOE_EXT</v>
          </cell>
          <cell r="C246" t="str">
            <v>VAR_fout</v>
          </cell>
          <cell r="D246" t="str">
            <v>ELC</v>
          </cell>
          <cell r="I246">
            <v>29.711815979778009</v>
          </cell>
          <cell r="J246">
            <v>29.71181956740903</v>
          </cell>
          <cell r="K246">
            <v>9.7631612996123938</v>
          </cell>
        </row>
        <row r="247">
          <cell r="B247" t="str">
            <v>ENUC_GOE_EXT</v>
          </cell>
          <cell r="C247" t="str">
            <v>VAR_fin</v>
          </cell>
          <cell r="D247" t="str">
            <v>URN</v>
          </cell>
          <cell r="I247">
            <v>89.606960117104407</v>
          </cell>
          <cell r="J247">
            <v>89.606970936931532</v>
          </cell>
          <cell r="K247">
            <v>29.444420556005429</v>
          </cell>
        </row>
        <row r="248">
          <cell r="B248" t="str">
            <v>ENUC_GOE_EXT</v>
          </cell>
          <cell r="C248" t="str">
            <v>VAR_ncap</v>
          </cell>
          <cell r="D248" t="str">
            <v>-</v>
          </cell>
          <cell r="I248"/>
          <cell r="J248"/>
          <cell r="K248"/>
        </row>
        <row r="249">
          <cell r="B249" t="str">
            <v>ENUC_GOE_EXT</v>
          </cell>
          <cell r="C249" t="str">
            <v>VAR_cap</v>
          </cell>
          <cell r="D249" t="str">
            <v>-</v>
          </cell>
          <cell r="I249">
            <v>1.0099122526717685</v>
          </cell>
          <cell r="J249">
            <v>1.0099122595503638</v>
          </cell>
          <cell r="K249">
            <v>0.34591638364201976</v>
          </cell>
        </row>
        <row r="250">
          <cell r="B250" t="str">
            <v>ESOL-PV_A</v>
          </cell>
          <cell r="C250" t="str">
            <v>VAR_fout</v>
          </cell>
          <cell r="D250" t="str">
            <v>ELC35</v>
          </cell>
          <cell r="I250">
            <v>0.49011877176409713</v>
          </cell>
          <cell r="J250">
            <v>0.49011876593904707</v>
          </cell>
          <cell r="K250">
            <v>10.799990534625161</v>
          </cell>
        </row>
        <row r="251">
          <cell r="B251" t="str">
            <v>ESOL-PV_A</v>
          </cell>
          <cell r="C251" t="str">
            <v>VAR_fin</v>
          </cell>
          <cell r="D251" t="str">
            <v>SOL</v>
          </cell>
          <cell r="I251">
            <v>0.49011877176409713</v>
          </cell>
          <cell r="J251">
            <v>0.49011876593904707</v>
          </cell>
          <cell r="K251">
            <v>10.799990534625161</v>
          </cell>
        </row>
        <row r="252">
          <cell r="B252" t="str">
            <v>ESOL-PV_A</v>
          </cell>
          <cell r="C252" t="str">
            <v>VAR_fin</v>
          </cell>
          <cell r="D252" t="str">
            <v>SOLPVC</v>
          </cell>
          <cell r="I252">
            <v>0.49011877176409702</v>
          </cell>
          <cell r="J252">
            <v>0.49011876593904702</v>
          </cell>
          <cell r="K252">
            <v>10.7999905346252</v>
          </cell>
        </row>
        <row r="253">
          <cell r="B253" t="str">
            <v>ESOL-PV_A</v>
          </cell>
          <cell r="C253" t="str">
            <v>VAR_ncap</v>
          </cell>
          <cell r="D253" t="str">
            <v>-</v>
          </cell>
          <cell r="I253">
            <v>8.9937346180302302E-7</v>
          </cell>
          <cell r="J253">
            <v>4.7635676317765301E-7</v>
          </cell>
          <cell r="K253">
            <v>2.78836344855304</v>
          </cell>
        </row>
        <row r="254">
          <cell r="B254" t="str">
            <v>ESOL-PV_A</v>
          </cell>
          <cell r="C254" t="str">
            <v>VAR_cap</v>
          </cell>
          <cell r="D254" t="str">
            <v>-</v>
          </cell>
          <cell r="I254">
            <v>7.5754345357769801E-2</v>
          </cell>
          <cell r="J254">
            <v>7.5755160006111197E-2</v>
          </cell>
          <cell r="K254">
            <v>1.6692719410229899</v>
          </cell>
        </row>
        <row r="255">
          <cell r="B255" t="str">
            <v>G-INTC-IND</v>
          </cell>
          <cell r="C255" t="str">
            <v>VAR_fout</v>
          </cell>
          <cell r="D255" t="str">
            <v>ELC35</v>
          </cell>
          <cell r="I255">
            <v>1.5540441924841439E-3</v>
          </cell>
          <cell r="J255">
            <v>9.4922870067906803E-4</v>
          </cell>
          <cell r="K255">
            <v>6.4929777238361449E-4</v>
          </cell>
        </row>
        <row r="256">
          <cell r="B256" t="str">
            <v>G-INTC-IND</v>
          </cell>
          <cell r="C256" t="str">
            <v>VAR_fout</v>
          </cell>
          <cell r="D256" t="str">
            <v>ITOT_ELC</v>
          </cell>
          <cell r="I256">
            <v>65.388736160215274</v>
          </cell>
          <cell r="J256">
            <v>56.782804250390839</v>
          </cell>
          <cell r="K256">
            <v>56.896608600396291</v>
          </cell>
        </row>
        <row r="257">
          <cell r="B257" t="str">
            <v>G-INTC-IND</v>
          </cell>
          <cell r="C257" t="str">
            <v>VAR_fout</v>
          </cell>
          <cell r="D257" t="str">
            <v>ELC13</v>
          </cell>
          <cell r="I257">
            <v>1.1236560862873286E-3</v>
          </cell>
          <cell r="J257">
            <v>7.1050775147311613E-4</v>
          </cell>
          <cell r="K257">
            <v>5.4104545557366135E-4</v>
          </cell>
        </row>
        <row r="258">
          <cell r="B258" t="str">
            <v>G-INTC-IND</v>
          </cell>
          <cell r="C258" t="str">
            <v>VAR_fin</v>
          </cell>
          <cell r="D258" t="str">
            <v>ELC3</v>
          </cell>
          <cell r="I258">
            <v>65.367222191780513</v>
          </cell>
          <cell r="J258">
            <v>25.791340039307119</v>
          </cell>
          <cell r="K258">
            <v>25.676472536774913</v>
          </cell>
        </row>
        <row r="259">
          <cell r="B259" t="str">
            <v>G-INTC-IND</v>
          </cell>
          <cell r="C259" t="str">
            <v>VAR_fin</v>
          </cell>
          <cell r="D259" t="str">
            <v>ELC5</v>
          </cell>
          <cell r="I259">
            <v>2.4178295428149948E-2</v>
          </cell>
          <cell r="J259">
            <v>30.99312394753591</v>
          </cell>
          <cell r="K259">
            <v>31.221313857462846</v>
          </cell>
        </row>
        <row r="260">
          <cell r="B260" t="str">
            <v>G-INTC-IND</v>
          </cell>
          <cell r="C260" t="str">
            <v>VAR_ncap</v>
          </cell>
          <cell r="D260" t="str">
            <v>-</v>
          </cell>
          <cell r="I260">
            <v>1.4565083442183E-6</v>
          </cell>
          <cell r="J260">
            <v>1.5238454437112899E-6</v>
          </cell>
          <cell r="K260">
            <v>2.1157688875279298E-6</v>
          </cell>
        </row>
        <row r="261">
          <cell r="B261" t="str">
            <v>G-INTC-IND</v>
          </cell>
          <cell r="C261" t="str">
            <v>VAR_cap</v>
          </cell>
          <cell r="D261" t="str">
            <v>-</v>
          </cell>
          <cell r="I261">
            <v>4.4927403991105024</v>
          </cell>
          <cell r="J261">
            <v>4.4927422385804254</v>
          </cell>
          <cell r="K261">
            <v>4.4927445943038382</v>
          </cell>
        </row>
        <row r="262">
          <cell r="B262" t="str">
            <v>D-IH2R</v>
          </cell>
          <cell r="C262" t="str">
            <v>VAR_fout</v>
          </cell>
          <cell r="D262" t="str">
            <v>IH2</v>
          </cell>
          <cell r="I262">
            <v>7.6376587031043384</v>
          </cell>
          <cell r="J262">
            <v>9.1843290504123978</v>
          </cell>
          <cell r="K262">
            <v>8.0544332761560575</v>
          </cell>
        </row>
        <row r="263">
          <cell r="B263" t="str">
            <v>D-IH2R</v>
          </cell>
          <cell r="C263" t="str">
            <v>VAR_fin</v>
          </cell>
          <cell r="D263" t="str">
            <v>H2</v>
          </cell>
          <cell r="I263">
            <v>7.6376587031043384</v>
          </cell>
          <cell r="J263">
            <v>9.1843290504123978</v>
          </cell>
          <cell r="K263">
            <v>8.0544332761560575</v>
          </cell>
        </row>
        <row r="264">
          <cell r="B264" t="str">
            <v>D-IH2R</v>
          </cell>
          <cell r="C264" t="str">
            <v>VAR_ncap</v>
          </cell>
          <cell r="D264" t="str">
            <v>-</v>
          </cell>
          <cell r="I264">
            <v>0.26990908014388398</v>
          </cell>
          <cell r="J264">
            <v>0.36232114374166502</v>
          </cell>
          <cell r="K264">
            <v>0.16207041639684999</v>
          </cell>
        </row>
        <row r="265">
          <cell r="B265" t="str">
            <v>D-IH2R</v>
          </cell>
          <cell r="C265" t="str">
            <v>VAR_cap</v>
          </cell>
          <cell r="D265" t="str">
            <v>-</v>
          </cell>
          <cell r="I265">
            <v>0.26990935805409799</v>
          </cell>
          <cell r="J265">
            <v>0.41012795912237598</v>
          </cell>
          <cell r="K265">
            <v>0.28617310627308201</v>
          </cell>
        </row>
        <row r="266">
          <cell r="B266" t="str">
            <v>ESOL-PV_E</v>
          </cell>
          <cell r="C266" t="str">
            <v>VAR_fout</v>
          </cell>
          <cell r="D266" t="str">
            <v>CELC_E</v>
          </cell>
          <cell r="I266">
            <v>5.015844597979558E-4</v>
          </cell>
          <cell r="J266">
            <v>22.727243360013862</v>
          </cell>
          <cell r="K266">
            <v>22.727245273793113</v>
          </cell>
        </row>
        <row r="267">
          <cell r="B267" t="str">
            <v>ESOL-PV_E</v>
          </cell>
          <cell r="C267" t="str">
            <v>VAR_fin</v>
          </cell>
          <cell r="D267" t="str">
            <v>SOL</v>
          </cell>
          <cell r="I267">
            <v>5.015844597979558E-4</v>
          </cell>
          <cell r="J267">
            <v>22.727243360013862</v>
          </cell>
          <cell r="K267">
            <v>22.727245273793113</v>
          </cell>
        </row>
        <row r="268">
          <cell r="B268" t="str">
            <v>ESOL-PV_E</v>
          </cell>
          <cell r="C268" t="str">
            <v>VAR_fin</v>
          </cell>
          <cell r="D268" t="str">
            <v>SOLPVC</v>
          </cell>
          <cell r="I268">
            <v>5.0158445979795504E-4</v>
          </cell>
          <cell r="J268">
            <v>22.727243360013901</v>
          </cell>
          <cell r="K268">
            <v>22.727245273793098</v>
          </cell>
        </row>
        <row r="269">
          <cell r="B269" t="str">
            <v>ESOL-PV_E</v>
          </cell>
          <cell r="C269" t="str">
            <v>VAR_ncap</v>
          </cell>
          <cell r="D269" t="str">
            <v>-</v>
          </cell>
          <cell r="I269">
            <v>2.87917643031542E-6</v>
          </cell>
          <cell r="J269">
            <v>6.5514570599206001</v>
          </cell>
          <cell r="K269">
            <v>1.1934264358605299E-6</v>
          </cell>
        </row>
        <row r="270">
          <cell r="B270" t="str">
            <v>ESOL-PV_E</v>
          </cell>
          <cell r="C270" t="str">
            <v>VAR_cap</v>
          </cell>
          <cell r="D270" t="str">
            <v>-</v>
          </cell>
          <cell r="I270">
            <v>1.4459655132413601E-4</v>
          </cell>
          <cell r="J270">
            <v>6.5516016564719299</v>
          </cell>
          <cell r="K270">
            <v>6.5516028498983596</v>
          </cell>
        </row>
        <row r="271">
          <cell r="B271" t="str">
            <v>EWSTINC</v>
          </cell>
          <cell r="C271" t="str">
            <v>VAR_fout</v>
          </cell>
          <cell r="D271" t="str">
            <v>ELC35</v>
          </cell>
          <cell r="I271">
            <v>7.491861317284302</v>
          </cell>
          <cell r="J271">
            <v>5.4495867389513197</v>
          </cell>
          <cell r="K271">
            <v>9.6306054981620619E-4</v>
          </cell>
        </row>
        <row r="272">
          <cell r="B272" t="str">
            <v>EWSTINC</v>
          </cell>
          <cell r="C272" t="str">
            <v>VAR_fout</v>
          </cell>
          <cell r="D272" t="str">
            <v>CO2_E</v>
          </cell>
          <cell r="I272">
            <v>1944.97469675875</v>
          </cell>
          <cell r="J272">
            <v>1414.77636413249</v>
          </cell>
          <cell r="K272">
            <v>0.25002176648914098</v>
          </cell>
        </row>
        <row r="273">
          <cell r="B273" t="str">
            <v>EWSTINC</v>
          </cell>
          <cell r="C273" t="str">
            <v>VAR_fin</v>
          </cell>
          <cell r="D273" t="str">
            <v>EWST</v>
          </cell>
          <cell r="I273">
            <v>20.95877905990028</v>
          </cell>
          <cell r="J273">
            <v>15.245434958324228</v>
          </cell>
          <cell r="K273">
            <v>2.6942000699260874E-3</v>
          </cell>
        </row>
        <row r="274">
          <cell r="B274" t="str">
            <v>EWSTINC</v>
          </cell>
          <cell r="C274" t="str">
            <v>VAR_ncap</v>
          </cell>
          <cell r="D274" t="str">
            <v>-</v>
          </cell>
          <cell r="I274">
            <v>7.5987019849830403E-2</v>
          </cell>
          <cell r="J274">
            <v>3.83039964467169E-8</v>
          </cell>
          <cell r="K274">
            <v>2.4711643836849201E-8</v>
          </cell>
        </row>
        <row r="275">
          <cell r="B275" t="str">
            <v>EWSTINC</v>
          </cell>
          <cell r="C275" t="str">
            <v>VAR_cap</v>
          </cell>
          <cell r="D275" t="str">
            <v>-</v>
          </cell>
          <cell r="I275">
            <v>0.27948867630014196</v>
          </cell>
          <cell r="J275">
            <v>0.21747324140433891</v>
          </cell>
          <cell r="K275">
            <v>5.9316316277702175E-5</v>
          </cell>
        </row>
        <row r="276">
          <cell r="B276" t="str">
            <v>D-IBIO</v>
          </cell>
          <cell r="C276" t="str">
            <v>VAR_fout</v>
          </cell>
          <cell r="D276" t="str">
            <v>IBIO</v>
          </cell>
          <cell r="I276">
            <v>3.2308088950196003</v>
          </cell>
          <cell r="J276">
            <v>3.2308108102816564</v>
          </cell>
          <cell r="K276">
            <v>4.3332886279920011</v>
          </cell>
        </row>
        <row r="277">
          <cell r="B277" t="str">
            <v>D-IBIO</v>
          </cell>
          <cell r="C277" t="str">
            <v>VAR_fin</v>
          </cell>
          <cell r="D277" t="str">
            <v>BIO</v>
          </cell>
          <cell r="I277">
            <v>3.2308088950196003</v>
          </cell>
          <cell r="J277">
            <v>3.2308108102816564</v>
          </cell>
          <cell r="K277">
            <v>4.3332886279920011</v>
          </cell>
        </row>
        <row r="278">
          <cell r="B278" t="str">
            <v>D-EWOD</v>
          </cell>
          <cell r="C278" t="str">
            <v>VAR_fout</v>
          </cell>
          <cell r="D278" t="str">
            <v>EWOD</v>
          </cell>
          <cell r="I278">
            <v>5.6072440369533574</v>
          </cell>
          <cell r="J278">
            <v>6.0031098112376453</v>
          </cell>
          <cell r="K278">
            <v>10.825152824192738</v>
          </cell>
        </row>
        <row r="279">
          <cell r="B279" t="str">
            <v>D-EWOD</v>
          </cell>
          <cell r="C279" t="str">
            <v>VAR_fin</v>
          </cell>
          <cell r="D279" t="str">
            <v>WOD</v>
          </cell>
          <cell r="I279">
            <v>5.6072440369533574</v>
          </cell>
          <cell r="J279">
            <v>6.0031098112376453</v>
          </cell>
          <cell r="K279">
            <v>10.825152824192738</v>
          </cell>
        </row>
        <row r="280">
          <cell r="B280" t="str">
            <v>HPLWOD</v>
          </cell>
          <cell r="C280" t="str">
            <v>VAR_fout</v>
          </cell>
          <cell r="D280" t="str">
            <v>LTH</v>
          </cell>
          <cell r="I280">
            <v>2.3667667897730595</v>
          </cell>
          <cell r="J280">
            <v>2.079643581342594</v>
          </cell>
          <cell r="K280">
            <v>2.934351378398159</v>
          </cell>
        </row>
        <row r="281">
          <cell r="B281" t="str">
            <v>HPLWOD</v>
          </cell>
          <cell r="C281" t="str">
            <v>VAR_fin</v>
          </cell>
          <cell r="D281" t="str">
            <v>EWOD</v>
          </cell>
          <cell r="I281">
            <v>3.3810954139615177</v>
          </cell>
          <cell r="J281">
            <v>2.9709194019179899</v>
          </cell>
          <cell r="K281">
            <v>4.1919305405688023</v>
          </cell>
        </row>
        <row r="282">
          <cell r="B282" t="str">
            <v>HPLWOD</v>
          </cell>
          <cell r="C282" t="str">
            <v>VAR_ncap</v>
          </cell>
          <cell r="D282" t="str">
            <v>-</v>
          </cell>
          <cell r="I282">
            <v>3.6980125298276499E-6</v>
          </cell>
          <cell r="J282">
            <v>8.0020616483994E-2</v>
          </cell>
          <cell r="K282">
            <v>0.28112895754525002</v>
          </cell>
        </row>
        <row r="283">
          <cell r="B283" t="str">
            <v>HPLWOD</v>
          </cell>
          <cell r="C283" t="str">
            <v>VAR_cap</v>
          </cell>
          <cell r="D283" t="str">
            <v>-</v>
          </cell>
          <cell r="I283">
            <v>0.38669051238167501</v>
          </cell>
          <cell r="J283">
            <v>0.26378857787986798</v>
          </cell>
          <cell r="K283">
            <v>0.38053363527467599</v>
          </cell>
        </row>
        <row r="284">
          <cell r="B284" t="str">
            <v>ENGA-GTCC</v>
          </cell>
          <cell r="C284" t="str">
            <v>VAR_fout</v>
          </cell>
          <cell r="D284" t="str">
            <v>ELC13</v>
          </cell>
          <cell r="I284"/>
          <cell r="J284">
            <v>7.3582798023619039E-6</v>
          </cell>
          <cell r="K284">
            <v>2.051370316476858E-3</v>
          </cell>
        </row>
        <row r="285">
          <cell r="B285" t="str">
            <v>ENGA-GTCC</v>
          </cell>
          <cell r="C285" t="str">
            <v>VAR_fout</v>
          </cell>
          <cell r="D285" t="str">
            <v>CO2_E</v>
          </cell>
          <cell r="I285"/>
          <cell r="J285">
            <v>8.6899899580074097E-4</v>
          </cell>
          <cell r="K285">
            <v>0.19901553876275099</v>
          </cell>
        </row>
        <row r="286">
          <cell r="B286" t="str">
            <v>ENGA-GTCC</v>
          </cell>
          <cell r="C286" t="str">
            <v>VAR_fin</v>
          </cell>
          <cell r="D286" t="str">
            <v>ENGA</v>
          </cell>
          <cell r="I286"/>
          <cell r="J286">
            <v>1.5407783613488297E-5</v>
          </cell>
          <cell r="K286">
            <v>3.5286443043040963E-3</v>
          </cell>
        </row>
        <row r="287">
          <cell r="B287" t="str">
            <v>ENGA-GTCC</v>
          </cell>
          <cell r="C287" t="str">
            <v>VAR_fin</v>
          </cell>
          <cell r="D287" t="str">
            <v>GTC</v>
          </cell>
          <cell r="I287"/>
          <cell r="J287">
            <v>2.8845410669911799E-6</v>
          </cell>
          <cell r="K287">
            <v>2.3702529270610342E-4</v>
          </cell>
        </row>
        <row r="288">
          <cell r="B288" t="str">
            <v>ENGA-GTCC</v>
          </cell>
          <cell r="C288" t="str">
            <v>VAR_ncap</v>
          </cell>
          <cell r="D288" t="str">
            <v>-</v>
          </cell>
          <cell r="I288"/>
          <cell r="J288">
            <v>5.9908763094371402E-6</v>
          </cell>
          <cell r="K288">
            <v>3.1241602872401003E-4</v>
          </cell>
        </row>
        <row r="289">
          <cell r="B289" t="str">
            <v>ENGA-GTCC</v>
          </cell>
          <cell r="C289" t="str">
            <v>VAR_cap</v>
          </cell>
          <cell r="D289" t="str">
            <v>-</v>
          </cell>
          <cell r="I289"/>
          <cell r="J289">
            <v>2.8845410669911799E-6</v>
          </cell>
          <cell r="K289">
            <v>2.3702529270610328E-4</v>
          </cell>
        </row>
        <row r="290">
          <cell r="B290" t="str">
            <v>D-SNGA</v>
          </cell>
          <cell r="C290" t="str">
            <v>VAR_fout</v>
          </cell>
          <cell r="D290" t="str">
            <v>CO2</v>
          </cell>
          <cell r="I290">
            <v>807.92215062063497</v>
          </cell>
          <cell r="J290">
            <v>544.43389110656199</v>
          </cell>
          <cell r="K290">
            <v>291.73514939539098</v>
          </cell>
        </row>
        <row r="291">
          <cell r="B291" t="str">
            <v>D-SNGA</v>
          </cell>
          <cell r="C291" t="str">
            <v>VAR_fout</v>
          </cell>
          <cell r="D291" t="str">
            <v>SNGA</v>
          </cell>
          <cell r="I291">
            <v>15.47248028442287</v>
          </cell>
          <cell r="J291">
            <v>11.243631212324901</v>
          </cell>
          <cell r="K291">
            <v>7.2063580662548041</v>
          </cell>
        </row>
        <row r="292">
          <cell r="B292" t="str">
            <v>D-SNGA</v>
          </cell>
          <cell r="C292" t="str">
            <v>VAR_fout</v>
          </cell>
          <cell r="D292" t="str">
            <v>RSH2</v>
          </cell>
          <cell r="I292">
            <v>1.9673835599219153E-3</v>
          </cell>
          <cell r="J292">
            <v>4.5001975508082567E-3</v>
          </cell>
          <cell r="K292">
            <v>2.1673110263949274E-3</v>
          </cell>
        </row>
        <row r="293">
          <cell r="B293" t="str">
            <v>D-SNGA</v>
          </cell>
          <cell r="C293" t="str">
            <v>VAR_fin</v>
          </cell>
          <cell r="D293" t="str">
            <v>NGA</v>
          </cell>
          <cell r="I293">
            <v>14.324860826607008</v>
          </cell>
          <cell r="J293">
            <v>9.6530831756482574</v>
          </cell>
          <cell r="K293">
            <v>5.1726090318331686</v>
          </cell>
        </row>
        <row r="294">
          <cell r="B294" t="str">
            <v>D-SNGA</v>
          </cell>
          <cell r="C294" t="str">
            <v>VAR_fin</v>
          </cell>
          <cell r="D294" t="str">
            <v>BNGA</v>
          </cell>
          <cell r="I294">
            <v>1.1970637309612313</v>
          </cell>
          <cell r="J294">
            <v>1.6264906160985544</v>
          </cell>
          <cell r="K294">
            <v>2.0568762913707648</v>
          </cell>
        </row>
        <row r="295">
          <cell r="B295" t="str">
            <v>D-SNGA</v>
          </cell>
          <cell r="C295" t="str">
            <v>VAR_fin</v>
          </cell>
          <cell r="D295" t="str">
            <v>H2</v>
          </cell>
          <cell r="I295">
            <v>1.9660801190036106E-3</v>
          </cell>
          <cell r="J295">
            <v>4.4961045321229107E-3</v>
          </cell>
          <cell r="K295">
            <v>2.1638432171622573E-3</v>
          </cell>
        </row>
        <row r="296">
          <cell r="B296" t="str">
            <v>D-SNGA</v>
          </cell>
          <cell r="C296" t="str">
            <v>VAR_ncap</v>
          </cell>
          <cell r="D296" t="str">
            <v>-</v>
          </cell>
          <cell r="I296">
            <v>2.4778387924361001E-7</v>
          </cell>
          <cell r="J296">
            <v>2.6962176344550099E-7</v>
          </cell>
          <cell r="K296">
            <v>5.8385844717343801E-7</v>
          </cell>
        </row>
        <row r="297">
          <cell r="B297" t="str">
            <v>D-SNGA</v>
          </cell>
          <cell r="C297" t="str">
            <v>VAR_cap</v>
          </cell>
          <cell r="D297" t="str">
            <v>-</v>
          </cell>
          <cell r="I297">
            <v>2.2350534220493667</v>
          </cell>
          <cell r="J297">
            <v>2.2350536916711303</v>
          </cell>
          <cell r="K297">
            <v>1.1208925763932973</v>
          </cell>
        </row>
        <row r="298">
          <cell r="B298" t="str">
            <v>RHES-CHPWOD</v>
          </cell>
          <cell r="C298" t="str">
            <v>VAR_fout</v>
          </cell>
          <cell r="D298" t="str">
            <v>RHES_KEV_WOD_ELC_CHP</v>
          </cell>
          <cell r="I298">
            <v>7.76984834383531E-4</v>
          </cell>
          <cell r="J298">
            <v>6.9119907738625418E-4</v>
          </cell>
          <cell r="K298">
            <v>3.4313094765008907E-4</v>
          </cell>
        </row>
        <row r="299">
          <cell r="B299" t="str">
            <v>RHES-CHPWOD</v>
          </cell>
          <cell r="C299" t="str">
            <v>VAR_fout</v>
          </cell>
          <cell r="D299" t="str">
            <v>RHES_LTH_CHPWOD</v>
          </cell>
          <cell r="I299">
            <v>2.054185999850367E-3</v>
          </cell>
          <cell r="J299">
            <v>1.7888338794424818E-3</v>
          </cell>
          <cell r="K299">
            <v>8.5278897419477817E-4</v>
          </cell>
        </row>
        <row r="300">
          <cell r="B300" t="str">
            <v>RHES-CHPWOD</v>
          </cell>
          <cell r="C300" t="str">
            <v>VAR_fin</v>
          </cell>
          <cell r="D300" t="str">
            <v>RWOD</v>
          </cell>
          <cell r="I300">
            <v>3.8486928373340679E-3</v>
          </cell>
          <cell r="J300">
            <v>3.1489530367369957E-3</v>
          </cell>
          <cell r="K300">
            <v>1.5531097466370217E-3</v>
          </cell>
        </row>
        <row r="301">
          <cell r="B301" t="str">
            <v>RHES-CHPWOD</v>
          </cell>
          <cell r="C301" t="str">
            <v>VAR_ncap</v>
          </cell>
          <cell r="D301" t="str">
            <v>-</v>
          </cell>
          <cell r="I301">
            <v>3.9725159226845003E-5</v>
          </cell>
          <cell r="J301">
            <v>1.67174109030278E-6</v>
          </cell>
          <cell r="K301">
            <v>1.2452332939773701E-5</v>
          </cell>
        </row>
        <row r="302">
          <cell r="B302" t="str">
            <v>RHES-CHPWOD</v>
          </cell>
          <cell r="C302" t="str">
            <v>VAR_cap</v>
          </cell>
          <cell r="D302" t="str">
            <v>-</v>
          </cell>
          <cell r="I302">
            <v>6.9048454321976599E-5</v>
          </cell>
          <cell r="J302">
            <v>6.1397144739828801E-5</v>
          </cell>
          <cell r="K302">
            <v>3.0445578297808624E-5</v>
          </cell>
        </row>
        <row r="303">
          <cell r="B303" t="str">
            <v>G-INTC-RES</v>
          </cell>
          <cell r="C303" t="str">
            <v>VAR_fout</v>
          </cell>
          <cell r="D303" t="str">
            <v>RHNS_ELC</v>
          </cell>
          <cell r="I303">
            <v>10.655194694870628</v>
          </cell>
          <cell r="J303">
            <v>10.287441213972329</v>
          </cell>
          <cell r="K303">
            <v>9.0589678426035913</v>
          </cell>
        </row>
        <row r="304">
          <cell r="B304" t="str">
            <v>G-INTC-RES</v>
          </cell>
          <cell r="C304" t="str">
            <v>VAR_fout</v>
          </cell>
          <cell r="D304" t="str">
            <v>ELC35</v>
          </cell>
          <cell r="I304">
            <v>9.806117445212599E-4</v>
          </cell>
          <cell r="J304">
            <v>2.9487989302870096E-2</v>
          </cell>
          <cell r="K304">
            <v>7.905565371689665E-3</v>
          </cell>
        </row>
        <row r="305">
          <cell r="B305" t="str">
            <v>G-INTC-RES</v>
          </cell>
          <cell r="C305" t="str">
            <v>VAR_fout</v>
          </cell>
          <cell r="D305" t="str">
            <v>RHES_ELC</v>
          </cell>
          <cell r="I305">
            <v>14.7681748459409</v>
          </cell>
          <cell r="J305">
            <v>14.39672163956749</v>
          </cell>
          <cell r="K305">
            <v>12.191150094028723</v>
          </cell>
        </row>
        <row r="306">
          <cell r="B306" t="str">
            <v>G-INTC-RES</v>
          </cell>
          <cell r="C306" t="str">
            <v>VAR_fout</v>
          </cell>
          <cell r="D306" t="str">
            <v>RHNM_ELC</v>
          </cell>
          <cell r="I306">
            <v>11.258669815374407</v>
          </cell>
          <cell r="J306">
            <v>10.851150588377036</v>
          </cell>
          <cell r="K306">
            <v>9.6605891867505846</v>
          </cell>
        </row>
        <row r="307">
          <cell r="B307" t="str">
            <v>G-INTC-RES</v>
          </cell>
          <cell r="C307" t="str">
            <v>VAR_fout</v>
          </cell>
          <cell r="D307" t="str">
            <v>RHEM_ELC</v>
          </cell>
          <cell r="I307">
            <v>13.478498039868011</v>
          </cell>
          <cell r="J307">
            <v>13.5505357773787</v>
          </cell>
          <cell r="K307">
            <v>11.949808605197536</v>
          </cell>
        </row>
        <row r="308">
          <cell r="B308" t="str">
            <v>G-INTC-RES</v>
          </cell>
          <cell r="C308" t="str">
            <v>VAR_fin</v>
          </cell>
          <cell r="D308" t="str">
            <v>ELC5</v>
          </cell>
          <cell r="I308">
            <v>50.161518007798513</v>
          </cell>
          <cell r="J308">
            <v>49.115320742648422</v>
          </cell>
          <cell r="K308">
            <v>42.86840589496726</v>
          </cell>
        </row>
        <row r="309">
          <cell r="B309" t="str">
            <v>G-INTC-RES</v>
          </cell>
          <cell r="C309" t="str">
            <v>VAR_ncap</v>
          </cell>
          <cell r="D309" t="str">
            <v>-</v>
          </cell>
          <cell r="I309">
            <v>8.4194229255005598E-8</v>
          </cell>
          <cell r="J309">
            <v>1.11774397050077E-7</v>
          </cell>
          <cell r="K309">
            <v>1.6733886314188201E-7</v>
          </cell>
        </row>
        <row r="310">
          <cell r="B310" t="str">
            <v>G-INTC-RES</v>
          </cell>
          <cell r="C310" t="str">
            <v>VAR_cap</v>
          </cell>
          <cell r="D310" t="str">
            <v>-</v>
          </cell>
          <cell r="I310">
            <v>4.330092758441741</v>
          </cell>
          <cell r="J310">
            <v>4.3300928761786377</v>
          </cell>
          <cell r="K310">
            <v>4.3300930579596253</v>
          </cell>
        </row>
        <row r="311">
          <cell r="B311" t="str">
            <v>SCOM-CHPNGA</v>
          </cell>
          <cell r="C311" t="str">
            <v>VAR_fout</v>
          </cell>
          <cell r="D311" t="str">
            <v>CO2_S</v>
          </cell>
          <cell r="I311">
            <v>0.55542710542460005</v>
          </cell>
          <cell r="J311">
            <v>9.9829190076021299E-2</v>
          </cell>
          <cell r="K311"/>
        </row>
        <row r="312">
          <cell r="B312" t="str">
            <v>SCOM-CHPNGA</v>
          </cell>
          <cell r="C312" t="str">
            <v>VAR_fout</v>
          </cell>
          <cell r="D312" t="str">
            <v>SCOM_NKEV_GAS_ELC_CHP</v>
          </cell>
          <cell r="I312">
            <v>3.0856123650562484E-3</v>
          </cell>
          <cell r="J312">
            <v>5.7876014569149207E-4</v>
          </cell>
          <cell r="K312"/>
        </row>
        <row r="313">
          <cell r="B313" t="str">
            <v>SCOM-CHPNGA</v>
          </cell>
          <cell r="C313" t="str">
            <v>VAR_fout</v>
          </cell>
          <cell r="D313" t="str">
            <v>SCOM_LTH_CHPNGA</v>
          </cell>
          <cell r="I313">
            <v>4.3703363585002371E-3</v>
          </cell>
          <cell r="J313">
            <v>8.6814021853723778E-4</v>
          </cell>
          <cell r="K313"/>
        </row>
        <row r="314">
          <cell r="B314" t="str">
            <v>SCOM-CHPNGA</v>
          </cell>
          <cell r="C314" t="str">
            <v>VAR_fin</v>
          </cell>
          <cell r="D314" t="str">
            <v>SNGA</v>
          </cell>
          <cell r="I314">
            <v>9.847998323131206E-3</v>
          </cell>
          <cell r="J314">
            <v>1.7700211006386757E-3</v>
          </cell>
          <cell r="K314"/>
        </row>
        <row r="315">
          <cell r="B315" t="str">
            <v>SCOM-CHPNGA</v>
          </cell>
          <cell r="C315" t="str">
            <v>VAR_ncap</v>
          </cell>
          <cell r="D315" t="str">
            <v>-</v>
          </cell>
          <cell r="I315"/>
          <cell r="J315"/>
          <cell r="K315"/>
        </row>
        <row r="316">
          <cell r="B316" t="str">
            <v>SCOM-CHPNGA</v>
          </cell>
          <cell r="C316" t="str">
            <v>VAR_cap</v>
          </cell>
          <cell r="D316" t="str">
            <v>-</v>
          </cell>
          <cell r="I316">
            <v>1.8095905792793812E-4</v>
          </cell>
          <cell r="J316">
            <v>9.3617459768800121E-5</v>
          </cell>
          <cell r="K316"/>
        </row>
        <row r="317">
          <cell r="B317" t="str">
            <v>D-IPLT</v>
          </cell>
          <cell r="C317" t="str">
            <v>VAR_fout</v>
          </cell>
          <cell r="D317" t="str">
            <v>IPLT</v>
          </cell>
          <cell r="I317">
            <v>0.73251067660690816</v>
          </cell>
          <cell r="J317">
            <v>0.73046663761283104</v>
          </cell>
          <cell r="K317">
            <v>0.72641480099944711</v>
          </cell>
        </row>
        <row r="318">
          <cell r="B318" t="str">
            <v>D-IPLT</v>
          </cell>
          <cell r="C318" t="str">
            <v>VAR_fin</v>
          </cell>
          <cell r="D318" t="str">
            <v>PLT</v>
          </cell>
          <cell r="I318">
            <v>0.73251067660690816</v>
          </cell>
          <cell r="J318">
            <v>0.73046663761283104</v>
          </cell>
          <cell r="K318">
            <v>0.72641480099944711</v>
          </cell>
        </row>
        <row r="319">
          <cell r="B319" t="str">
            <v>LTH-STG</v>
          </cell>
          <cell r="C319" t="str">
            <v>VAR_fout</v>
          </cell>
          <cell r="D319" t="str">
            <v>AUX_LTH-STG_OUT</v>
          </cell>
          <cell r="I319">
            <v>1.2770185468534308E-3</v>
          </cell>
          <cell r="J319">
            <v>9.9289200921053099E-4</v>
          </cell>
          <cell r="K319">
            <v>0.22605495733823894</v>
          </cell>
        </row>
        <row r="320">
          <cell r="B320" t="str">
            <v>LTH-STG</v>
          </cell>
          <cell r="C320" t="str">
            <v>VAR_fout</v>
          </cell>
          <cell r="D320" t="str">
            <v>LTH</v>
          </cell>
          <cell r="I320">
            <v>1.2781922771354641E-3</v>
          </cell>
          <cell r="J320">
            <v>9.928920092105273E-4</v>
          </cell>
          <cell r="K320">
            <v>0.22605495733823844</v>
          </cell>
        </row>
        <row r="321">
          <cell r="B321" t="str">
            <v>LTH-STG</v>
          </cell>
          <cell r="C321" t="str">
            <v>VAR_fin</v>
          </cell>
          <cell r="D321" t="str">
            <v>AUX_LTH-STG_IN</v>
          </cell>
          <cell r="I321">
            <v>1.5514804378337077E-3</v>
          </cell>
          <cell r="J321">
            <v>1.1691936901470433E-3</v>
          </cell>
          <cell r="K321">
            <v>0.25117299488372569</v>
          </cell>
        </row>
        <row r="322">
          <cell r="B322" t="str">
            <v>LTH-STG</v>
          </cell>
          <cell r="C322" t="str">
            <v>VAR_fin</v>
          </cell>
          <cell r="D322" t="str">
            <v>LTH</v>
          </cell>
          <cell r="I322">
            <v>1.5514804378337077E-3</v>
          </cell>
          <cell r="J322">
            <v>1.1691936901470433E-3</v>
          </cell>
          <cell r="K322">
            <v>0.25117299488372569</v>
          </cell>
        </row>
        <row r="323">
          <cell r="B323" t="str">
            <v>LTH-STG</v>
          </cell>
          <cell r="C323" t="str">
            <v>VAR_ncap</v>
          </cell>
          <cell r="D323" t="str">
            <v>-</v>
          </cell>
          <cell r="I323">
            <v>7.5678588605174302E-5</v>
          </cell>
          <cell r="J323">
            <v>3.3213659141615999E-5</v>
          </cell>
          <cell r="K323">
            <v>4.5773077513808699E-2</v>
          </cell>
        </row>
        <row r="324">
          <cell r="B324" t="str">
            <v>LTH-STG</v>
          </cell>
          <cell r="C324" t="str">
            <v>VAR_cap</v>
          </cell>
          <cell r="D324" t="str">
            <v>-</v>
          </cell>
          <cell r="I324">
            <v>1.5156978848864766E-4</v>
          </cell>
          <cell r="J324">
            <v>1.2726642277407051E-4</v>
          </cell>
          <cell r="K324">
            <v>4.5865612189412611E-2</v>
          </cell>
        </row>
        <row r="325">
          <cell r="B325" t="str">
            <v>ITOT-CHPOIL</v>
          </cell>
          <cell r="C325" t="str">
            <v>VAR_fout</v>
          </cell>
          <cell r="D325" t="str">
            <v>ITOT_LTH_CHP</v>
          </cell>
          <cell r="I325">
            <v>0.82677470305929135</v>
          </cell>
          <cell r="J325"/>
          <cell r="K325"/>
        </row>
        <row r="326">
          <cell r="B326" t="str">
            <v>ITOT-CHPOIL</v>
          </cell>
          <cell r="C326" t="str">
            <v>VAR_fout</v>
          </cell>
          <cell r="D326" t="str">
            <v>ITOT_NKEV_OIL_ELC_CHP</v>
          </cell>
          <cell r="I326">
            <v>0.16675587277879184</v>
          </cell>
          <cell r="J326"/>
          <cell r="K326"/>
        </row>
        <row r="327">
          <cell r="B327" t="str">
            <v>ITOT-CHPOIL</v>
          </cell>
          <cell r="C327" t="str">
            <v>VAR_fout</v>
          </cell>
          <cell r="D327" t="str">
            <v>CO2_I</v>
          </cell>
          <cell r="I327">
            <v>46.710592643791401</v>
          </cell>
          <cell r="J327"/>
          <cell r="K327"/>
        </row>
        <row r="328">
          <cell r="B328" t="str">
            <v>ITOT-CHPOIL</v>
          </cell>
          <cell r="C328" t="str">
            <v>VAR_fin</v>
          </cell>
          <cell r="D328" t="str">
            <v>ILFO</v>
          </cell>
          <cell r="I328">
            <v>0.63379365866745518</v>
          </cell>
          <cell r="J328"/>
          <cell r="K328"/>
        </row>
        <row r="329">
          <cell r="B329" t="str">
            <v>ITOT-CHPOIL</v>
          </cell>
          <cell r="C329" t="str">
            <v>VAR_ncap</v>
          </cell>
          <cell r="D329" t="str">
            <v>-</v>
          </cell>
          <cell r="I329"/>
          <cell r="J329"/>
          <cell r="K329"/>
        </row>
        <row r="330">
          <cell r="B330" t="str">
            <v>ITOT-CHPOIL</v>
          </cell>
          <cell r="C330" t="str">
            <v>VAR_cap</v>
          </cell>
          <cell r="D330" t="str">
            <v>-</v>
          </cell>
          <cell r="I330">
            <v>1.0847297296829634E-2</v>
          </cell>
          <cell r="J330"/>
          <cell r="K330"/>
        </row>
        <row r="331">
          <cell r="B331" t="str">
            <v>ENUC_GOE</v>
          </cell>
          <cell r="C331" t="str">
            <v>VAR_fout</v>
          </cell>
          <cell r="D331" t="str">
            <v>ELC</v>
          </cell>
          <cell r="I331"/>
          <cell r="J331"/>
          <cell r="K331"/>
        </row>
        <row r="332">
          <cell r="B332" t="str">
            <v>ENUC_GOE</v>
          </cell>
          <cell r="C332" t="str">
            <v>VAR_fin</v>
          </cell>
          <cell r="D332" t="str">
            <v>URN</v>
          </cell>
          <cell r="I332"/>
          <cell r="J332"/>
          <cell r="K332"/>
        </row>
        <row r="333">
          <cell r="B333" t="str">
            <v>ENUC_GOE</v>
          </cell>
          <cell r="C333" t="str">
            <v>VAR_cap</v>
          </cell>
          <cell r="D333" t="str">
            <v>-</v>
          </cell>
          <cell r="I333"/>
          <cell r="J333"/>
          <cell r="K333"/>
        </row>
        <row r="334">
          <cell r="B334" t="str">
            <v>D-RNGA</v>
          </cell>
          <cell r="C334" t="str">
            <v>VAR_fout</v>
          </cell>
          <cell r="D334" t="str">
            <v>CO2</v>
          </cell>
          <cell r="I334">
            <v>1614.6933325263401</v>
          </cell>
          <cell r="J334">
            <v>1066.0525624834399</v>
          </cell>
          <cell r="K334">
            <v>678.56599038914999</v>
          </cell>
        </row>
        <row r="335">
          <cell r="B335" t="str">
            <v>D-RNGA</v>
          </cell>
          <cell r="C335" t="str">
            <v>VAR_fout</v>
          </cell>
          <cell r="D335" t="str">
            <v>RNGA</v>
          </cell>
          <cell r="I335">
            <v>30.355967301929955</v>
          </cell>
          <cell r="J335">
            <v>21.817306641433529</v>
          </cell>
          <cell r="K335">
            <v>14.838806570075732</v>
          </cell>
        </row>
        <row r="336">
          <cell r="B336" t="str">
            <v>D-RNGA</v>
          </cell>
          <cell r="C336" t="str">
            <v>VAR_fout</v>
          </cell>
          <cell r="D336" t="str">
            <v>RSH2</v>
          </cell>
          <cell r="I336">
            <v>3.4142735155024227E-3</v>
          </cell>
          <cell r="J336">
            <v>1.2301108454400075E-2</v>
          </cell>
          <cell r="K336">
            <v>7.7868716919802699E-3</v>
          </cell>
        </row>
        <row r="337">
          <cell r="B337" t="str">
            <v>D-RNGA</v>
          </cell>
          <cell r="C337" t="str">
            <v>VAR_fin</v>
          </cell>
          <cell r="D337" t="str">
            <v>NGA</v>
          </cell>
          <cell r="I337">
            <v>28.629314406495347</v>
          </cell>
          <cell r="J337">
            <v>18.901641178784327</v>
          </cell>
          <cell r="K337">
            <v>12.03131188633246</v>
          </cell>
        </row>
        <row r="338">
          <cell r="B338" t="str">
            <v>D-RNGA</v>
          </cell>
          <cell r="C338" t="str">
            <v>VAR_fin</v>
          </cell>
          <cell r="D338" t="str">
            <v>BNGA</v>
          </cell>
          <cell r="I338">
            <v>1.8236566942450483</v>
          </cell>
          <cell r="J338">
            <v>2.9854149798255758</v>
          </cell>
          <cell r="K338">
            <v>2.8550290262963016</v>
          </cell>
        </row>
        <row r="339">
          <cell r="B339" t="str">
            <v>D-RNGA</v>
          </cell>
          <cell r="C339" t="str">
            <v>VAR_fin</v>
          </cell>
          <cell r="D339" t="str">
            <v>H2</v>
          </cell>
          <cell r="I339">
            <v>3.4129707756844975E-3</v>
          </cell>
          <cell r="J339">
            <v>1.2300059795647375E-2</v>
          </cell>
          <cell r="K339">
            <v>7.784037337914467E-3</v>
          </cell>
        </row>
        <row r="340">
          <cell r="B340" t="str">
            <v>D-RNGA</v>
          </cell>
          <cell r="C340" t="str">
            <v>VAR_ncap</v>
          </cell>
          <cell r="D340" t="str">
            <v>-</v>
          </cell>
          <cell r="I340">
            <v>9.4975143233556396E-8</v>
          </cell>
          <cell r="J340">
            <v>1.21433830265381E-7</v>
          </cell>
          <cell r="K340">
            <v>2.1495233918032399E-7</v>
          </cell>
        </row>
        <row r="341">
          <cell r="B341" t="str">
            <v>D-RNGA</v>
          </cell>
          <cell r="C341" t="str">
            <v>VAR_cap</v>
          </cell>
          <cell r="D341" t="str">
            <v>-</v>
          </cell>
          <cell r="I341">
            <v>3.0972404269995093</v>
          </cell>
          <cell r="J341">
            <v>3.0972405484333394</v>
          </cell>
          <cell r="K341">
            <v>1.5532830040259786</v>
          </cell>
        </row>
        <row r="342">
          <cell r="B342" t="str">
            <v>ITOT-CHPHFC</v>
          </cell>
          <cell r="C342" t="str">
            <v>VAR_fout</v>
          </cell>
          <cell r="D342" t="str">
            <v>ITOT_LTH_CHP</v>
          </cell>
          <cell r="I342">
            <v>2.9931716224596387E-3</v>
          </cell>
          <cell r="J342">
            <v>6.2889013840053298E-2</v>
          </cell>
          <cell r="K342">
            <v>0.10696404261499522</v>
          </cell>
        </row>
        <row r="343">
          <cell r="B343" t="str">
            <v>ITOT-CHPHFC</v>
          </cell>
          <cell r="C343" t="str">
            <v>VAR_fout</v>
          </cell>
          <cell r="D343" t="str">
            <v>ITOT_KEV_HFC_ELC_CHP</v>
          </cell>
          <cell r="I343">
            <v>4.4426385400825243E-3</v>
          </cell>
          <cell r="J343">
            <v>0.10481502306675558</v>
          </cell>
          <cell r="K343">
            <v>0.21392808522999046</v>
          </cell>
        </row>
        <row r="344">
          <cell r="B344" t="str">
            <v>ITOT-CHPHFC</v>
          </cell>
          <cell r="C344" t="str">
            <v>VAR_fin</v>
          </cell>
          <cell r="D344" t="str">
            <v>IH2</v>
          </cell>
          <cell r="I344">
            <v>8.5026574929809116E-3</v>
          </cell>
          <cell r="J344">
            <v>0.19057276921228283</v>
          </cell>
          <cell r="K344">
            <v>0.35654680871665034</v>
          </cell>
        </row>
        <row r="345">
          <cell r="B345" t="str">
            <v>ITOT-CHPHFC</v>
          </cell>
          <cell r="C345" t="str">
            <v>VAR_ncap</v>
          </cell>
          <cell r="D345" t="str">
            <v>-</v>
          </cell>
          <cell r="I345">
            <v>3.5386796974438701E-4</v>
          </cell>
          <cell r="J345">
            <v>1.2089291899522601E-2</v>
          </cell>
          <cell r="K345">
            <v>1.2236225311259201E-2</v>
          </cell>
        </row>
        <row r="346">
          <cell r="B346" t="str">
            <v>ITOT-CHPHFC</v>
          </cell>
          <cell r="C346" t="str">
            <v>VAR_cap</v>
          </cell>
          <cell r="D346" t="str">
            <v>-</v>
          </cell>
          <cell r="I346">
            <v>3.5386796974438701E-4</v>
          </cell>
          <cell r="J346">
            <v>1.2443119537910712E-2</v>
          </cell>
          <cell r="K346">
            <v>2.1159407123674936E-2</v>
          </cell>
        </row>
        <row r="347">
          <cell r="B347" t="str">
            <v>G-INTC-TRA</v>
          </cell>
          <cell r="C347" t="str">
            <v>VAR_fout</v>
          </cell>
          <cell r="D347" t="str">
            <v>TRAN_ELC</v>
          </cell>
          <cell r="I347">
            <v>42.033232374399937</v>
          </cell>
          <cell r="J347">
            <v>35.462966107581316</v>
          </cell>
          <cell r="K347">
            <v>36.572667764553486</v>
          </cell>
        </row>
        <row r="348">
          <cell r="B348" t="str">
            <v>G-INTC-TRA</v>
          </cell>
          <cell r="C348" t="str">
            <v>VAR_fin</v>
          </cell>
          <cell r="D348" t="str">
            <v>ELC3</v>
          </cell>
          <cell r="I348">
            <v>41.900746190438298</v>
          </cell>
          <cell r="J348">
            <v>18.513754364987328</v>
          </cell>
          <cell r="K348">
            <v>16.781762107152701</v>
          </cell>
        </row>
        <row r="349">
          <cell r="B349" t="str">
            <v>G-INTC-TRA</v>
          </cell>
          <cell r="C349" t="str">
            <v>VAR_fin</v>
          </cell>
          <cell r="D349" t="str">
            <v>ELC5</v>
          </cell>
          <cell r="I349">
            <v>0.13248618396166059</v>
          </cell>
          <cell r="J349">
            <v>16.949211742594038</v>
          </cell>
          <cell r="K349">
            <v>19.790905657400767</v>
          </cell>
        </row>
        <row r="350">
          <cell r="B350" t="str">
            <v>G-INTC-TRA</v>
          </cell>
          <cell r="C350" t="str">
            <v>VAR_ncap</v>
          </cell>
          <cell r="D350" t="str">
            <v>-</v>
          </cell>
          <cell r="I350">
            <v>2.1983474213955798E-6</v>
          </cell>
          <cell r="J350">
            <v>1.6164972853496401E-6</v>
          </cell>
          <cell r="K350">
            <v>3.2105839469146599E-6</v>
          </cell>
        </row>
        <row r="351">
          <cell r="B351" t="str">
            <v>G-INTC-TRA</v>
          </cell>
          <cell r="C351" t="str">
            <v>VAR_cap</v>
          </cell>
          <cell r="D351" t="str">
            <v>-</v>
          </cell>
          <cell r="I351">
            <v>1.354065093260971</v>
          </cell>
          <cell r="J351">
            <v>1.3540675405327032</v>
          </cell>
          <cell r="K351">
            <v>1.3540707544208381</v>
          </cell>
        </row>
        <row r="352">
          <cell r="B352" t="str">
            <v>SCOM-SWHSTG-CHPBIO</v>
          </cell>
          <cell r="C352" t="str">
            <v>VAR_fout</v>
          </cell>
          <cell r="D352" t="str">
            <v>AUX_SCOM-CHPBIO_OUT</v>
          </cell>
          <cell r="I352">
            <v>10.472716455875583</v>
          </cell>
          <cell r="J352">
            <v>13.364389965360665</v>
          </cell>
          <cell r="K352">
            <v>99.585794543311806</v>
          </cell>
        </row>
        <row r="353">
          <cell r="B353" t="str">
            <v>SCOM-SWHSTG-CHPBIO</v>
          </cell>
          <cell r="C353" t="str">
            <v>VAR_fout</v>
          </cell>
          <cell r="D353" t="str">
            <v>SCOM_LTH_CHPBIO</v>
          </cell>
          <cell r="I353">
            <v>10.484365751154627</v>
          </cell>
          <cell r="J353">
            <v>13.364389965360653</v>
          </cell>
          <cell r="K353">
            <v>99.585794543311806</v>
          </cell>
        </row>
        <row r="354">
          <cell r="B354" t="str">
            <v>SCOM-SWHSTG-CHPBIO</v>
          </cell>
          <cell r="C354" t="str">
            <v>VAR_fin</v>
          </cell>
          <cell r="D354" t="str">
            <v>SCOM_LTH_CHPBIO</v>
          </cell>
          <cell r="I354">
            <v>11.649291140614309</v>
          </cell>
          <cell r="J354">
            <v>14.370309018379032</v>
          </cell>
          <cell r="K354">
            <v>100.5917135326426</v>
          </cell>
        </row>
        <row r="355">
          <cell r="B355" t="str">
            <v>SCOM-SWHSTG-CHPBIO</v>
          </cell>
          <cell r="C355" t="str">
            <v>VAR_fin</v>
          </cell>
          <cell r="D355" t="str">
            <v>AUX_SCOM-CHPBIO_IN</v>
          </cell>
          <cell r="I355">
            <v>11.649291140614309</v>
          </cell>
          <cell r="J355">
            <v>14.370309018379032</v>
          </cell>
          <cell r="K355">
            <v>100.5917135326426</v>
          </cell>
        </row>
        <row r="356">
          <cell r="B356" t="str">
            <v>SCOM-SWHSTG-CHPBIO</v>
          </cell>
          <cell r="C356" t="str">
            <v>VAR_ncap</v>
          </cell>
          <cell r="D356" t="str">
            <v>-</v>
          </cell>
          <cell r="I356">
            <v>0.101820404331082</v>
          </cell>
          <cell r="J356">
            <v>0.60059470009305904</v>
          </cell>
          <cell r="K356">
            <v>5.7091669541285901</v>
          </cell>
        </row>
        <row r="357">
          <cell r="B357" t="str">
            <v>SCOM-SWHSTG-CHPBIO</v>
          </cell>
          <cell r="C357" t="str">
            <v>VAR_cap</v>
          </cell>
          <cell r="D357" t="str">
            <v>-</v>
          </cell>
          <cell r="I357">
            <v>0.6554217054196354</v>
          </cell>
          <cell r="J357">
            <v>0.83389729181602812</v>
          </cell>
          <cell r="K357">
            <v>6.1881001713795696</v>
          </cell>
        </row>
        <row r="358">
          <cell r="B358" t="str">
            <v>SCOM-SWHSTG-CHPHFC</v>
          </cell>
          <cell r="C358" t="str">
            <v>VAR_fout</v>
          </cell>
          <cell r="D358" t="str">
            <v>AUX_SCOM-CHPHFC_OUT</v>
          </cell>
          <cell r="I358">
            <v>1.8302172412176066E-2</v>
          </cell>
          <cell r="J358">
            <v>7.7187966932795976E-2</v>
          </cell>
          <cell r="K358">
            <v>0.32711528765749032</v>
          </cell>
        </row>
        <row r="359">
          <cell r="B359" t="str">
            <v>SCOM-SWHSTG-CHPHFC</v>
          </cell>
          <cell r="C359" t="str">
            <v>VAR_fout</v>
          </cell>
          <cell r="D359" t="str">
            <v>SCOM_LTH_CHPHFC</v>
          </cell>
          <cell r="I359">
            <v>1.832253077970904E-2</v>
          </cell>
          <cell r="J359">
            <v>7.7187966932795907E-2</v>
          </cell>
          <cell r="K359">
            <v>0.32711528765749021</v>
          </cell>
        </row>
        <row r="360">
          <cell r="B360" t="str">
            <v>SCOM-SWHSTG-CHPHFC</v>
          </cell>
          <cell r="C360" t="str">
            <v>VAR_fin</v>
          </cell>
          <cell r="D360" t="str">
            <v>SCOM_LTH_CHPHFC</v>
          </cell>
          <cell r="I360">
            <v>2.0352513812642904E-2</v>
          </cell>
          <cell r="J360">
            <v>8.2996000915675189E-2</v>
          </cell>
          <cell r="K360">
            <v>0.33042035167529271</v>
          </cell>
        </row>
        <row r="361">
          <cell r="B361" t="str">
            <v>SCOM-SWHSTG-CHPHFC</v>
          </cell>
          <cell r="C361" t="str">
            <v>VAR_fin</v>
          </cell>
          <cell r="D361" t="str">
            <v>AUX_SCOM-CHPHFC_IN</v>
          </cell>
          <cell r="I361">
            <v>2.0352513812642904E-2</v>
          </cell>
          <cell r="J361">
            <v>8.2996000915675189E-2</v>
          </cell>
          <cell r="K361">
            <v>0.33042035167529271</v>
          </cell>
        </row>
        <row r="362">
          <cell r="B362" t="str">
            <v>SCOM-SWHSTG-CHPHFC</v>
          </cell>
          <cell r="C362" t="str">
            <v>VAR_ncap</v>
          </cell>
          <cell r="D362" t="str">
            <v>-</v>
          </cell>
          <cell r="I362">
            <v>1.3702444326516401E-3</v>
          </cell>
          <cell r="J362">
            <v>3.4527752824247801E-3</v>
          </cell>
          <cell r="K362">
            <v>1.7248421834578701E-2</v>
          </cell>
        </row>
        <row r="363">
          <cell r="B363" t="str">
            <v>SCOM-SWHSTG-CHPHFC</v>
          </cell>
          <cell r="C363" t="str">
            <v>VAR_cap</v>
          </cell>
          <cell r="D363" t="str">
            <v>-</v>
          </cell>
          <cell r="I363">
            <v>1.685472625149335E-3</v>
          </cell>
          <cell r="J363">
            <v>4.8439797213168387E-3</v>
          </cell>
          <cell r="K363">
            <v>2.0325867773895591E-2</v>
          </cell>
        </row>
        <row r="364">
          <cell r="B364" t="str">
            <v>D-IHFO</v>
          </cell>
          <cell r="C364" t="str">
            <v>VAR_fout</v>
          </cell>
          <cell r="D364" t="str">
            <v>CO2</v>
          </cell>
          <cell r="I364">
            <v>0.25273370308519699</v>
          </cell>
          <cell r="J364">
            <v>2.0091062863888599E-2</v>
          </cell>
          <cell r="K364"/>
        </row>
        <row r="365">
          <cell r="B365" t="str">
            <v>D-IHFO</v>
          </cell>
          <cell r="C365" t="str">
            <v>VAR_fout</v>
          </cell>
          <cell r="D365" t="str">
            <v>IHFO</v>
          </cell>
          <cell r="I365">
            <v>3.2274383858308543E-3</v>
          </cell>
          <cell r="J365">
            <v>2.5656517792245687E-4</v>
          </cell>
          <cell r="K365"/>
        </row>
        <row r="366">
          <cell r="B366" t="str">
            <v>D-IHFO</v>
          </cell>
          <cell r="C366" t="str">
            <v>VAR_fin</v>
          </cell>
          <cell r="D366" t="str">
            <v>HFO</v>
          </cell>
          <cell r="I366">
            <v>3.2822558842233339E-3</v>
          </cell>
          <cell r="J366">
            <v>2.6092289433621584E-4</v>
          </cell>
          <cell r="K366"/>
        </row>
        <row r="367">
          <cell r="B367" t="str">
            <v>RHNM-CHPNGA</v>
          </cell>
          <cell r="C367" t="str">
            <v>VAR_fout</v>
          </cell>
          <cell r="D367" t="str">
            <v>CO2_R</v>
          </cell>
          <cell r="I367">
            <v>0.51867985066210198</v>
          </cell>
          <cell r="J367">
            <v>0.16339419824031901</v>
          </cell>
          <cell r="K367"/>
        </row>
        <row r="368">
          <cell r="B368" t="str">
            <v>RHNM-CHPNGA</v>
          </cell>
          <cell r="C368" t="str">
            <v>VAR_fout</v>
          </cell>
          <cell r="D368" t="str">
            <v>RHNM_NKEV_GAS_ELC_CHP</v>
          </cell>
          <cell r="I368">
            <v>2.3636164491522885E-3</v>
          </cell>
          <cell r="J368">
            <v>8.338910799467374E-4</v>
          </cell>
          <cell r="K368"/>
        </row>
        <row r="369">
          <cell r="B369" t="str">
            <v>RHNM-CHPNGA</v>
          </cell>
          <cell r="C369" t="str">
            <v>VAR_fout</v>
          </cell>
          <cell r="D369" t="str">
            <v>RHNM_LTH_CHPNGA</v>
          </cell>
          <cell r="I369">
            <v>4.8253940185972542E-3</v>
          </cell>
          <cell r="J369">
            <v>1.6814525054663718E-3</v>
          </cell>
          <cell r="K369"/>
        </row>
        <row r="370">
          <cell r="B370" t="str">
            <v>RHNM-CHPNGA</v>
          </cell>
          <cell r="C370" t="str">
            <v>VAR_fin</v>
          </cell>
          <cell r="D370" t="str">
            <v>RNGA</v>
          </cell>
          <cell r="I370">
            <v>9.1964512528741552E-3</v>
          </cell>
          <cell r="J370">
            <v>2.8970602524879263E-3</v>
          </cell>
          <cell r="K370"/>
        </row>
        <row r="371">
          <cell r="B371" t="str">
            <v>RHNM-CHPNGA</v>
          </cell>
          <cell r="C371" t="str">
            <v>VAR_ncap</v>
          </cell>
          <cell r="D371" t="str">
            <v>-</v>
          </cell>
          <cell r="I371"/>
          <cell r="J371"/>
          <cell r="K371"/>
        </row>
        <row r="372">
          <cell r="B372" t="str">
            <v>RHNM-CHPNGA</v>
          </cell>
          <cell r="C372" t="str">
            <v>VAR_cap</v>
          </cell>
          <cell r="D372" t="str">
            <v>-</v>
          </cell>
          <cell r="I372">
            <v>1.7520535243763526E-4</v>
          </cell>
          <cell r="J372">
            <v>9.0780411862161165E-5</v>
          </cell>
          <cell r="K372"/>
        </row>
        <row r="373">
          <cell r="B373" t="str">
            <v>G-INTC-EXP00-DE</v>
          </cell>
          <cell r="C373" t="str">
            <v>VAR_fout</v>
          </cell>
          <cell r="D373" t="str">
            <v>ELC_E-DE</v>
          </cell>
          <cell r="I373">
            <v>5.1026639012443763E-4</v>
          </cell>
          <cell r="J373">
            <v>9.7891078312534337E-4</v>
          </cell>
          <cell r="K373">
            <v>2.7547550337927561E-4</v>
          </cell>
        </row>
        <row r="374">
          <cell r="B374" t="str">
            <v>G-INTC-EXP00-DE</v>
          </cell>
          <cell r="C374" t="str">
            <v>VAR_fin</v>
          </cell>
          <cell r="D374" t="str">
            <v>ELC</v>
          </cell>
          <cell r="I374">
            <v>5.1026639012443763E-4</v>
          </cell>
          <cell r="J374">
            <v>9.7891078312534337E-4</v>
          </cell>
          <cell r="K374">
            <v>2.7547550337927561E-4</v>
          </cell>
        </row>
        <row r="375">
          <cell r="B375" t="str">
            <v>G-INTC-EXP00-DE</v>
          </cell>
          <cell r="C375" t="str">
            <v>VAR_ncap</v>
          </cell>
          <cell r="D375" t="str">
            <v>-</v>
          </cell>
          <cell r="I375">
            <v>2.8313622859978298E-6</v>
          </cell>
          <cell r="J375">
            <v>4.6112979202496997E-6</v>
          </cell>
          <cell r="K375">
            <v>7.5960601049712598E-6</v>
          </cell>
        </row>
        <row r="376">
          <cell r="B376" t="str">
            <v>G-INTC-EXP00-DE</v>
          </cell>
          <cell r="C376" t="str">
            <v>VAR_cap</v>
          </cell>
          <cell r="D376" t="str">
            <v>-</v>
          </cell>
          <cell r="I376">
            <v>4.6507023781661161E-4</v>
          </cell>
          <cell r="J376">
            <v>4.6552734681348795E-4</v>
          </cell>
          <cell r="K376">
            <v>2.4060056288321974E-4</v>
          </cell>
        </row>
        <row r="377">
          <cell r="B377" t="str">
            <v>ENUC_BMGL_EXT</v>
          </cell>
          <cell r="C377" t="str">
            <v>VAR_fout</v>
          </cell>
          <cell r="D377" t="str">
            <v>ELC</v>
          </cell>
          <cell r="I377">
            <v>33.169438267747246</v>
          </cell>
          <cell r="J377">
            <v>33.169439970282539</v>
          </cell>
          <cell r="K377">
            <v>24.072174671666779</v>
          </cell>
        </row>
        <row r="378">
          <cell r="B378" t="str">
            <v>ENUC_BMGL_EXT</v>
          </cell>
          <cell r="C378" t="str">
            <v>VAR_fin</v>
          </cell>
          <cell r="D378" t="str">
            <v>URN</v>
          </cell>
          <cell r="I378">
            <v>100.03469777773542</v>
          </cell>
          <cell r="J378">
            <v>100.03470291235976</v>
          </cell>
          <cell r="K378">
            <v>72.598537807453567</v>
          </cell>
        </row>
        <row r="379">
          <cell r="B379" t="str">
            <v>ENUC_BMGL_EXT</v>
          </cell>
          <cell r="C379" t="str">
            <v>VAR_ncap</v>
          </cell>
          <cell r="D379" t="str">
            <v>-</v>
          </cell>
          <cell r="I379"/>
          <cell r="J379"/>
          <cell r="K379"/>
        </row>
        <row r="380">
          <cell r="B380" t="str">
            <v>ENUC_BMGL_EXT</v>
          </cell>
          <cell r="C380" t="str">
            <v>VAR_cap</v>
          </cell>
          <cell r="D380" t="str">
            <v>-</v>
          </cell>
          <cell r="I380">
            <v>1.232959460142361</v>
          </cell>
          <cell r="J380">
            <v>1.2329594747787678</v>
          </cell>
          <cell r="K380">
            <v>0.89480001347550864</v>
          </cell>
        </row>
        <row r="381">
          <cell r="B381" t="str">
            <v>CEN-EBAT</v>
          </cell>
          <cell r="C381" t="str">
            <v>VAR_fout</v>
          </cell>
          <cell r="D381" t="str">
            <v>ELC13</v>
          </cell>
          <cell r="I381">
            <v>6.6205511641296191E-2</v>
          </cell>
          <cell r="J381">
            <v>0.64043119260990911</v>
          </cell>
          <cell r="K381">
            <v>2.8140368400382441</v>
          </cell>
        </row>
        <row r="382">
          <cell r="B382" t="str">
            <v>CEN-EBAT</v>
          </cell>
          <cell r="C382" t="str">
            <v>VAR_fout</v>
          </cell>
          <cell r="D382" t="str">
            <v>AUX_CEN-EBAT_OUT</v>
          </cell>
          <cell r="I382">
            <v>6.6205511641295969E-2</v>
          </cell>
          <cell r="J382">
            <v>0.64043119260990755</v>
          </cell>
          <cell r="K382">
            <v>2.8140368400382352</v>
          </cell>
        </row>
        <row r="383">
          <cell r="B383" t="str">
            <v>CEN-EBAT</v>
          </cell>
          <cell r="C383" t="str">
            <v>VAR_fin</v>
          </cell>
          <cell r="D383" t="str">
            <v>AUX_CEN-EBAT_IN</v>
          </cell>
          <cell r="I383">
            <v>7.6359854286181056E-2</v>
          </cell>
          <cell r="J383">
            <v>0.73864308008470858</v>
          </cell>
          <cell r="K383">
            <v>3.2455704243028296</v>
          </cell>
        </row>
        <row r="384">
          <cell r="B384" t="str">
            <v>CEN-EBAT</v>
          </cell>
          <cell r="C384" t="str">
            <v>VAR_fin</v>
          </cell>
          <cell r="D384" t="str">
            <v>ELC13</v>
          </cell>
          <cell r="I384">
            <v>7.6359854286181056E-2</v>
          </cell>
          <cell r="J384">
            <v>0.73864308008470858</v>
          </cell>
          <cell r="K384">
            <v>3.2455704243028296</v>
          </cell>
        </row>
        <row r="385">
          <cell r="B385" t="str">
            <v>CEN-EBAT</v>
          </cell>
          <cell r="C385" t="str">
            <v>VAR_ncap</v>
          </cell>
          <cell r="D385" t="str">
            <v>-</v>
          </cell>
          <cell r="I385">
            <v>3.7987237880243402E-3</v>
          </cell>
          <cell r="J385">
            <v>0.48565681196602201</v>
          </cell>
          <cell r="K385">
            <v>0.69457793314307703</v>
          </cell>
        </row>
        <row r="386">
          <cell r="B386" t="str">
            <v>CEN-EBAT</v>
          </cell>
          <cell r="C386" t="str">
            <v>VAR_cap</v>
          </cell>
          <cell r="D386" t="str">
            <v>-</v>
          </cell>
          <cell r="I386">
            <v>1.1842662710487619E-2</v>
          </cell>
          <cell r="J386">
            <v>0.49034720072199767</v>
          </cell>
          <cell r="K386">
            <v>0.93880361062943884</v>
          </cell>
        </row>
        <row r="387">
          <cell r="B387" t="str">
            <v>ESOL-PV</v>
          </cell>
          <cell r="C387" t="str">
            <v>VAR_fout</v>
          </cell>
          <cell r="D387" t="str">
            <v>ELC35</v>
          </cell>
          <cell r="I387">
            <v>0.25293159613577348</v>
          </cell>
          <cell r="J387">
            <v>1.4212540377562146</v>
          </cell>
          <cell r="K387">
            <v>5.8670695598002078</v>
          </cell>
        </row>
        <row r="388">
          <cell r="B388" t="str">
            <v>ESOL-PV</v>
          </cell>
          <cell r="C388" t="str">
            <v>VAR_fin</v>
          </cell>
          <cell r="D388" t="str">
            <v>SOL</v>
          </cell>
          <cell r="I388">
            <v>0.25293159613577348</v>
          </cell>
          <cell r="J388">
            <v>1.4212540377562146</v>
          </cell>
          <cell r="K388">
            <v>5.8670695598002078</v>
          </cell>
        </row>
        <row r="389">
          <cell r="B389" t="str">
            <v>ESOL-PV</v>
          </cell>
          <cell r="C389" t="str">
            <v>VAR_fin</v>
          </cell>
          <cell r="D389" t="str">
            <v>SOLPVC</v>
          </cell>
          <cell r="I389">
            <v>0.25293159613577298</v>
          </cell>
          <cell r="J389">
            <v>1.4212540377562199</v>
          </cell>
          <cell r="K389">
            <v>5.8670695598002096</v>
          </cell>
        </row>
        <row r="390">
          <cell r="B390" t="str">
            <v>ESOL-PV</v>
          </cell>
          <cell r="C390" t="str">
            <v>VAR_ncap</v>
          </cell>
          <cell r="D390" t="str">
            <v>-</v>
          </cell>
          <cell r="I390">
            <v>4.2888743040286597E-3</v>
          </cell>
          <cell r="J390">
            <v>0.33679473445839703</v>
          </cell>
          <cell r="K390">
            <v>1.3449330040088601</v>
          </cell>
        </row>
        <row r="391">
          <cell r="B391" t="str">
            <v>ESOL-PV</v>
          </cell>
          <cell r="C391" t="str">
            <v>VAR_cap</v>
          </cell>
          <cell r="D391" t="str">
            <v>-</v>
          </cell>
          <cell r="I391">
            <v>7.2914149199665698E-2</v>
          </cell>
          <cell r="J391">
            <v>0.40970888365806302</v>
          </cell>
          <cell r="K391">
            <v>1.6913084245585901</v>
          </cell>
        </row>
        <row r="392">
          <cell r="B392" t="str">
            <v>RHEM-SHSTG-CHPNGA</v>
          </cell>
          <cell r="C392" t="str">
            <v>VAR_fout</v>
          </cell>
          <cell r="D392" t="str">
            <v>RHEM_LTH_CHPNGA</v>
          </cell>
          <cell r="I392">
            <v>1.4646195140070894E-3</v>
          </cell>
          <cell r="J392">
            <v>6.732804046780497E-4</v>
          </cell>
          <cell r="K392">
            <v>1.6105824635508605E-4</v>
          </cell>
        </row>
        <row r="393">
          <cell r="B393" t="str">
            <v>RHEM-SHSTG-CHPNGA</v>
          </cell>
          <cell r="C393" t="str">
            <v>VAR_fout</v>
          </cell>
          <cell r="D393" t="str">
            <v>AUX_REM-CHPNGA_OUT</v>
          </cell>
          <cell r="I393">
            <v>1.463274592506628E-3</v>
          </cell>
          <cell r="J393">
            <v>6.7328040467805219E-4</v>
          </cell>
          <cell r="K393">
            <v>1.6105824635508618E-4</v>
          </cell>
        </row>
        <row r="394">
          <cell r="B394" t="str">
            <v>RHEM-SHSTG-CHPNGA</v>
          </cell>
          <cell r="C394" t="str">
            <v>VAR_fin</v>
          </cell>
          <cell r="D394" t="str">
            <v>AUX_REM-CHPNGA_IN</v>
          </cell>
          <cell r="I394">
            <v>1.7784178210992702E-3</v>
          </cell>
          <cell r="J394">
            <v>7.9521270284818829E-4</v>
          </cell>
          <cell r="K394">
            <v>1.3401565612096813E-4</v>
          </cell>
        </row>
        <row r="395">
          <cell r="B395" t="str">
            <v>RHEM-SHSTG-CHPNGA</v>
          </cell>
          <cell r="C395" t="str">
            <v>VAR_fin</v>
          </cell>
          <cell r="D395" t="str">
            <v>RHEM_LTH_CHPNGA</v>
          </cell>
          <cell r="I395">
            <v>1.7784178210992702E-3</v>
          </cell>
          <cell r="J395">
            <v>7.9521270284818829E-4</v>
          </cell>
          <cell r="K395">
            <v>1.3401565612096813E-4</v>
          </cell>
        </row>
        <row r="396">
          <cell r="B396" t="str">
            <v>RHEM-SHSTG-CHPNGA</v>
          </cell>
          <cell r="C396" t="str">
            <v>VAR_ncap</v>
          </cell>
          <cell r="D396" t="str">
            <v>-</v>
          </cell>
          <cell r="I396">
            <v>1.9155721845567899E-3</v>
          </cell>
          <cell r="J396">
            <v>6.0917127456106799E-5</v>
          </cell>
          <cell r="K396">
            <v>1.2966089838219699E-5</v>
          </cell>
        </row>
        <row r="397">
          <cell r="B397" t="str">
            <v>RHEM-SHSTG-CHPNGA</v>
          </cell>
          <cell r="C397" t="str">
            <v>VAR_cap</v>
          </cell>
          <cell r="D397" t="str">
            <v>-</v>
          </cell>
          <cell r="I397">
            <v>2.6387452014028766E-3</v>
          </cell>
          <cell r="J397">
            <v>1.9797322305502392E-3</v>
          </cell>
          <cell r="K397">
            <v>8.4986986459289213E-4</v>
          </cell>
        </row>
        <row r="398">
          <cell r="B398" t="str">
            <v>RHNS-ESOLPV</v>
          </cell>
          <cell r="C398" t="str">
            <v>VAR_fout</v>
          </cell>
          <cell r="D398" t="str">
            <v>RHNS_SOL_ELC</v>
          </cell>
          <cell r="I398">
            <v>7.1908112362139205</v>
          </cell>
          <cell r="J398">
            <v>7.5576165435841949</v>
          </cell>
          <cell r="K398">
            <v>8.3483119448840437</v>
          </cell>
        </row>
        <row r="399">
          <cell r="B399" t="str">
            <v>RHNS-ESOLPV</v>
          </cell>
          <cell r="C399" t="str">
            <v>VAR_fin</v>
          </cell>
          <cell r="D399" t="str">
            <v>SOL</v>
          </cell>
          <cell r="I399">
            <v>7.1908112362139205</v>
          </cell>
          <cell r="J399">
            <v>7.5576165435841949</v>
          </cell>
          <cell r="K399">
            <v>8.3483119448840437</v>
          </cell>
        </row>
        <row r="400">
          <cell r="B400" t="str">
            <v>RHNS-ESOLPV</v>
          </cell>
          <cell r="C400" t="str">
            <v>VAR_fin</v>
          </cell>
          <cell r="D400" t="str">
            <v>SOLPVC</v>
          </cell>
          <cell r="I400">
            <v>7.1908112362139196</v>
          </cell>
          <cell r="J400">
            <v>7.5576165435841904</v>
          </cell>
          <cell r="K400">
            <v>8.3483119448840508</v>
          </cell>
        </row>
        <row r="401">
          <cell r="B401" t="str">
            <v>RHNS-ESOLPV</v>
          </cell>
          <cell r="C401" t="str">
            <v>VAR_ncap</v>
          </cell>
          <cell r="D401" t="str">
            <v>-</v>
          </cell>
          <cell r="I401">
            <v>0.100607510255053</v>
          </cell>
          <cell r="J401">
            <v>0.105742813388913</v>
          </cell>
          <cell r="K401">
            <v>1.70786272731889</v>
          </cell>
        </row>
        <row r="402">
          <cell r="B402" t="str">
            <v>RHNS-ESOLPV</v>
          </cell>
          <cell r="C402" t="str">
            <v>VAR_cap</v>
          </cell>
          <cell r="D402" t="str">
            <v>-</v>
          </cell>
          <cell r="I402">
            <v>2.0729022621764002</v>
          </cell>
          <cell r="J402">
            <v>2.1786418501178599</v>
          </cell>
          <cell r="K402">
            <v>2.4065757955216101</v>
          </cell>
        </row>
        <row r="403">
          <cell r="B403" t="str">
            <v>RHSA-WHSTG-CHP</v>
          </cell>
          <cell r="C403" t="str">
            <v>VAR_fout</v>
          </cell>
          <cell r="D403" t="str">
            <v>AUX_RHSA-CHP_OUT</v>
          </cell>
          <cell r="I403">
            <v>6.1645893792439087E-3</v>
          </cell>
          <cell r="J403">
            <v>1.054430042611776E-2</v>
          </cell>
          <cell r="K403">
            <v>1.2488177906841478E-2</v>
          </cell>
        </row>
        <row r="404">
          <cell r="B404" t="str">
            <v>RHSA-WHSTG-CHP</v>
          </cell>
          <cell r="C404" t="str">
            <v>VAR_fout</v>
          </cell>
          <cell r="D404" t="str">
            <v>RHSA_LTH</v>
          </cell>
          <cell r="I404">
            <v>6.1702553621292297E-3</v>
          </cell>
          <cell r="J404">
            <v>1.054430042611772E-2</v>
          </cell>
          <cell r="K404">
            <v>1.2488177906841454E-2</v>
          </cell>
        </row>
        <row r="405">
          <cell r="B405" t="str">
            <v>RHSA-WHSTG-CHP</v>
          </cell>
          <cell r="C405" t="str">
            <v>VAR_fin</v>
          </cell>
          <cell r="D405" t="str">
            <v>RHSA_LTH</v>
          </cell>
          <cell r="I405">
            <v>7.4822196250549514E-3</v>
          </cell>
          <cell r="J405">
            <v>1.2408177433948238E-2</v>
          </cell>
          <cell r="K405">
            <v>1.3878929113392564E-2</v>
          </cell>
        </row>
        <row r="406">
          <cell r="B406" t="str">
            <v>RHSA-WHSTG-CHP</v>
          </cell>
          <cell r="C406" t="str">
            <v>VAR_fin</v>
          </cell>
          <cell r="D406" t="str">
            <v>AUX_RHSA-CHP_IN</v>
          </cell>
          <cell r="I406">
            <v>7.4822196250549514E-3</v>
          </cell>
          <cell r="J406">
            <v>1.2408177433948238E-2</v>
          </cell>
          <cell r="K406">
            <v>1.3878929113392564E-2</v>
          </cell>
        </row>
        <row r="407">
          <cell r="B407" t="str">
            <v>RHSA-WHSTG-CHP</v>
          </cell>
          <cell r="C407" t="str">
            <v>VAR_ncap</v>
          </cell>
          <cell r="D407" t="str">
            <v>-</v>
          </cell>
          <cell r="I407">
            <v>3.8166981436965099E-3</v>
          </cell>
          <cell r="J407">
            <v>5.6690635888012502E-3</v>
          </cell>
          <cell r="K407">
            <v>5.4907700913680104E-4</v>
          </cell>
        </row>
        <row r="408">
          <cell r="B408" t="str">
            <v>RHSA-WHSTG-CHP</v>
          </cell>
          <cell r="C408" t="str">
            <v>VAR_cap</v>
          </cell>
          <cell r="D408" t="str">
            <v>-</v>
          </cell>
          <cell r="I408">
            <v>4.5248267479692812E-3</v>
          </cell>
          <cell r="J408">
            <v>9.4858790074619261E-3</v>
          </cell>
          <cell r="K408">
            <v>6.2658353501954733E-3</v>
          </cell>
        </row>
        <row r="409">
          <cell r="B409" t="str">
            <v>G-INTC-SER</v>
          </cell>
          <cell r="C409" t="str">
            <v>VAR_fout</v>
          </cell>
          <cell r="D409" t="str">
            <v>ELC35</v>
          </cell>
          <cell r="I409">
            <v>9.9199647799711518E-4</v>
          </cell>
          <cell r="J409">
            <v>4.0002038335168404E-2</v>
          </cell>
          <cell r="K409">
            <v>8.0259266829543867E-3</v>
          </cell>
        </row>
        <row r="410">
          <cell r="B410" t="str">
            <v>G-INTC-SER</v>
          </cell>
          <cell r="C410" t="str">
            <v>VAR_fout</v>
          </cell>
          <cell r="D410" t="str">
            <v>SCOM_ELC</v>
          </cell>
          <cell r="I410">
            <v>39.285787003700399</v>
          </cell>
          <cell r="J410">
            <v>31.509782128346234</v>
          </cell>
          <cell r="K410">
            <v>28.288269888562116</v>
          </cell>
        </row>
        <row r="411">
          <cell r="B411" t="str">
            <v>G-INTC-SER</v>
          </cell>
          <cell r="C411" t="str">
            <v>VAR_fin</v>
          </cell>
          <cell r="D411" t="str">
            <v>ELC5</v>
          </cell>
          <cell r="I411">
            <v>39.286779000178441</v>
          </cell>
          <cell r="J411">
            <v>31.549779668592905</v>
          </cell>
          <cell r="K411">
            <v>28.296291003534741</v>
          </cell>
        </row>
        <row r="412">
          <cell r="B412" t="str">
            <v>G-INTC-SER</v>
          </cell>
          <cell r="C412" t="str">
            <v>VAR_ncap</v>
          </cell>
          <cell r="D412" t="str">
            <v>-</v>
          </cell>
          <cell r="I412">
            <v>1.38983991262572E-7</v>
          </cell>
          <cell r="J412">
            <v>1.8352675686476599E-7</v>
          </cell>
          <cell r="K412">
            <v>2.5847664303973201E-7</v>
          </cell>
        </row>
        <row r="413">
          <cell r="B413" t="str">
            <v>G-INTC-SER</v>
          </cell>
          <cell r="C413" t="str">
            <v>VAR_cap</v>
          </cell>
          <cell r="D413" t="str">
            <v>-</v>
          </cell>
          <cell r="I413">
            <v>4.3683891852228731</v>
          </cell>
          <cell r="J413">
            <v>4.3683893791031503</v>
          </cell>
          <cell r="K413">
            <v>4.368389665527201</v>
          </cell>
        </row>
        <row r="414">
          <cell r="B414" t="str">
            <v>CHPWOD</v>
          </cell>
          <cell r="C414" t="str">
            <v>VAR_fout</v>
          </cell>
          <cell r="D414" t="str">
            <v>ELC35</v>
          </cell>
          <cell r="I414">
            <v>0.64682091147942034</v>
          </cell>
          <cell r="J414">
            <v>0.92700154539332968</v>
          </cell>
          <cell r="K414">
            <v>0.94532728246018416</v>
          </cell>
        </row>
        <row r="415">
          <cell r="B415" t="str">
            <v>CHPWOD</v>
          </cell>
          <cell r="C415" t="str">
            <v>VAR_fout</v>
          </cell>
          <cell r="D415" t="str">
            <v>LTH</v>
          </cell>
          <cell r="I415">
            <v>1.6915561742891922</v>
          </cell>
          <cell r="J415">
            <v>2.424280291277507</v>
          </cell>
          <cell r="K415">
            <v>2.4722054791211332</v>
          </cell>
        </row>
        <row r="416">
          <cell r="B416" t="str">
            <v>CHPWOD</v>
          </cell>
          <cell r="C416" t="str">
            <v>VAR_fin</v>
          </cell>
          <cell r="D416" t="str">
            <v>EWOD</v>
          </cell>
          <cell r="I416">
            <v>2.2261486229918463</v>
          </cell>
          <cell r="J416">
            <v>3.0275543759495247</v>
          </cell>
          <cell r="K416">
            <v>3.0872429515970561</v>
          </cell>
        </row>
        <row r="417">
          <cell r="B417" t="str">
            <v>CHPWOD</v>
          </cell>
          <cell r="C417" t="str">
            <v>VAR_ncap</v>
          </cell>
          <cell r="D417" t="str">
            <v>-</v>
          </cell>
          <cell r="I417">
            <v>2.35826466064042E-2</v>
          </cell>
          <cell r="J417">
            <v>3.5018328710696399E-2</v>
          </cell>
          <cell r="K417">
            <v>4.9644545210219701E-2</v>
          </cell>
        </row>
        <row r="418">
          <cell r="B418" t="str">
            <v>CHPWOD</v>
          </cell>
          <cell r="C418" t="str">
            <v>VAR_cap</v>
          </cell>
          <cell r="D418" t="str">
            <v>-</v>
          </cell>
          <cell r="I418">
            <v>2.4132787538108179E-2</v>
          </cell>
          <cell r="J418">
            <v>5.9131308600830615E-2</v>
          </cell>
          <cell r="K418">
            <v>0.10358517159927304</v>
          </cell>
        </row>
        <row r="419">
          <cell r="B419" t="str">
            <v>D-EH2R</v>
          </cell>
          <cell r="C419" t="str">
            <v>VAR_fout</v>
          </cell>
          <cell r="D419" t="str">
            <v>EH2</v>
          </cell>
          <cell r="I419"/>
          <cell r="J419">
            <v>2.1202293647413022E-3</v>
          </cell>
          <cell r="K419">
            <v>5.9556467202220393E-3</v>
          </cell>
        </row>
        <row r="420">
          <cell r="B420" t="str">
            <v>D-EH2R</v>
          </cell>
          <cell r="C420" t="str">
            <v>VAR_fin</v>
          </cell>
          <cell r="D420" t="str">
            <v>H2</v>
          </cell>
          <cell r="I420"/>
          <cell r="J420">
            <v>2.1202293647413022E-3</v>
          </cell>
          <cell r="K420">
            <v>5.9556467202220393E-3</v>
          </cell>
        </row>
        <row r="421">
          <cell r="B421" t="str">
            <v>D-EH2R</v>
          </cell>
          <cell r="C421" t="str">
            <v>VAR_ncap</v>
          </cell>
          <cell r="D421" t="str">
            <v>-</v>
          </cell>
          <cell r="I421">
            <v>7.88933347006373E-7</v>
          </cell>
          <cell r="J421">
            <v>2.6197626232649503E-4</v>
          </cell>
          <cell r="K421">
            <v>3.60539959772143E-4</v>
          </cell>
        </row>
        <row r="422">
          <cell r="B422" t="str">
            <v>D-EH2R</v>
          </cell>
          <cell r="C422" t="str">
            <v>VAR_cap</v>
          </cell>
          <cell r="D422" t="str">
            <v>-</v>
          </cell>
          <cell r="I422">
            <v>7.88933347006373E-7</v>
          </cell>
          <cell r="J422">
            <v>2.6211599971824102E-4</v>
          </cell>
          <cell r="K422">
            <v>4.5027239576163699E-4</v>
          </cell>
        </row>
        <row r="423">
          <cell r="B423" t="str">
            <v>G-INTC1</v>
          </cell>
          <cell r="C423" t="str">
            <v>VAR_fout</v>
          </cell>
          <cell r="D423" t="str">
            <v>ELC13</v>
          </cell>
          <cell r="I423">
            <v>145.7280585371926</v>
          </cell>
          <cell r="J423">
            <v>130.61195113762511</v>
          </cell>
          <cell r="K423">
            <v>104.29914329752071</v>
          </cell>
        </row>
        <row r="424">
          <cell r="B424" t="str">
            <v>G-INTC1</v>
          </cell>
          <cell r="C424" t="str">
            <v>VAR_fin</v>
          </cell>
          <cell r="D424" t="str">
            <v>ELC</v>
          </cell>
          <cell r="I424">
            <v>148.10906367509352</v>
          </cell>
          <cell r="J424">
            <v>132.27086805120254</v>
          </cell>
          <cell r="K424">
            <v>104.87315569539409</v>
          </cell>
        </row>
        <row r="425">
          <cell r="B425" t="str">
            <v>G-INTC1</v>
          </cell>
          <cell r="C425" t="str">
            <v>VAR_ncap</v>
          </cell>
          <cell r="D425" t="str">
            <v>-</v>
          </cell>
          <cell r="I425">
            <v>2.3463457575932801E-7</v>
          </cell>
          <cell r="J425">
            <v>3.8286404539462999E-7</v>
          </cell>
          <cell r="K425">
            <v>1.28708437802369E-6</v>
          </cell>
        </row>
        <row r="426">
          <cell r="B426" t="str">
            <v>G-INTC1</v>
          </cell>
          <cell r="C426" t="str">
            <v>VAR_cap</v>
          </cell>
          <cell r="D426" t="str">
            <v>-</v>
          </cell>
          <cell r="I426">
            <v>15.305609508222043</v>
          </cell>
          <cell r="J426">
            <v>15.305609623517126</v>
          </cell>
          <cell r="K426">
            <v>15.305610371334629</v>
          </cell>
        </row>
        <row r="427">
          <cell r="B427" t="str">
            <v>EHYD-RUNS00</v>
          </cell>
          <cell r="C427" t="str">
            <v>VAR_fout</v>
          </cell>
          <cell r="D427" t="str">
            <v>ELC35</v>
          </cell>
          <cell r="I427">
            <v>12.261723234151217</v>
          </cell>
          <cell r="J427">
            <v>12.269691664534767</v>
          </cell>
          <cell r="K427">
            <v>12.285917389775868</v>
          </cell>
        </row>
        <row r="428">
          <cell r="B428" t="str">
            <v>EHYD-RUNS00</v>
          </cell>
          <cell r="C428" t="str">
            <v>VAR_fin</v>
          </cell>
          <cell r="D428" t="str">
            <v>HYDR</v>
          </cell>
          <cell r="I428">
            <v>12.261723234151217</v>
          </cell>
          <cell r="J428">
            <v>12.269691664534767</v>
          </cell>
          <cell r="K428">
            <v>12.285917389775868</v>
          </cell>
        </row>
        <row r="429">
          <cell r="B429" t="str">
            <v>EHYD-RUNS00</v>
          </cell>
          <cell r="C429" t="str">
            <v>VAR_cap</v>
          </cell>
          <cell r="D429" t="str">
            <v>-</v>
          </cell>
          <cell r="I429">
            <v>0.89707999999999899</v>
          </cell>
          <cell r="J429">
            <v>0.89707999999999899</v>
          </cell>
          <cell r="K429">
            <v>0.89707999999999899</v>
          </cell>
        </row>
        <row r="430">
          <cell r="B430" t="str">
            <v>RHNS-SHSTG-CHPWOD</v>
          </cell>
          <cell r="C430" t="str">
            <v>VAR_fout</v>
          </cell>
          <cell r="D430" t="str">
            <v>AUX_RNS-CHPWOD_OUT</v>
          </cell>
          <cell r="I430">
            <v>1.3737965366300111E-3</v>
          </cell>
          <cell r="J430">
            <v>9.2216810722378683E-4</v>
          </cell>
          <cell r="K430">
            <v>8.5271856677673907E-4</v>
          </cell>
        </row>
        <row r="431">
          <cell r="B431" t="str">
            <v>RHNS-SHSTG-CHPWOD</v>
          </cell>
          <cell r="C431" t="str">
            <v>VAR_fout</v>
          </cell>
          <cell r="D431" t="str">
            <v>RHNS_LTH_CHPWOD</v>
          </cell>
          <cell r="I431">
            <v>1.3750592172702936E-3</v>
          </cell>
          <cell r="J431">
            <v>9.2216810722378336E-4</v>
          </cell>
          <cell r="K431">
            <v>8.5271856677673831E-4</v>
          </cell>
        </row>
        <row r="432">
          <cell r="B432" t="str">
            <v>RHNS-SHSTG-CHPWOD</v>
          </cell>
          <cell r="C432" t="str">
            <v>VAR_fin</v>
          </cell>
          <cell r="D432" t="str">
            <v>AUX_RNS-CHPWOD_IN</v>
          </cell>
          <cell r="I432">
            <v>1.6698609628006456E-3</v>
          </cell>
          <cell r="J432">
            <v>1.0880217646656123E-3</v>
          </cell>
          <cell r="K432">
            <v>9.5063073727596104E-4</v>
          </cell>
        </row>
        <row r="433">
          <cell r="B433" t="str">
            <v>RHNS-SHSTG-CHPWOD</v>
          </cell>
          <cell r="C433" t="str">
            <v>VAR_fin</v>
          </cell>
          <cell r="D433" t="str">
            <v>RHNS_LTH_CHPWOD</v>
          </cell>
          <cell r="I433">
            <v>1.6698609628006456E-3</v>
          </cell>
          <cell r="J433">
            <v>1.0880217646656123E-3</v>
          </cell>
          <cell r="K433">
            <v>9.5063073727596104E-4</v>
          </cell>
        </row>
        <row r="434">
          <cell r="B434" t="str">
            <v>RHNS-SHSTG-CHPWOD</v>
          </cell>
          <cell r="C434" t="str">
            <v>VAR_ncap</v>
          </cell>
          <cell r="D434" t="str">
            <v>-</v>
          </cell>
          <cell r="I434">
            <v>1.31649214467061E-3</v>
          </cell>
          <cell r="J434">
            <v>9.5135519870292393E-5</v>
          </cell>
          <cell r="K434">
            <v>1.96883546057242E-4</v>
          </cell>
        </row>
        <row r="435">
          <cell r="B435" t="str">
            <v>RHNS-SHSTG-CHPWOD</v>
          </cell>
          <cell r="C435" t="str">
            <v>VAR_cap</v>
          </cell>
          <cell r="D435" t="str">
            <v>-</v>
          </cell>
          <cell r="I435">
            <v>1.6359749082236618E-3</v>
          </cell>
          <cell r="J435">
            <v>1.4235042578025535E-3</v>
          </cell>
          <cell r="K435">
            <v>8.1482223009048593E-4</v>
          </cell>
        </row>
        <row r="436">
          <cell r="B436" t="str">
            <v>HPLOIL</v>
          </cell>
          <cell r="C436" t="str">
            <v>VAR_fout</v>
          </cell>
          <cell r="D436" t="str">
            <v>LTH</v>
          </cell>
          <cell r="I436">
            <v>4.3116252019336368E-5</v>
          </cell>
          <cell r="J436">
            <v>1.1561557906139955E-4</v>
          </cell>
          <cell r="K436">
            <v>3.3829792718287675E-6</v>
          </cell>
        </row>
        <row r="437">
          <cell r="B437" t="str">
            <v>HPLOIL</v>
          </cell>
          <cell r="C437" t="str">
            <v>VAR_fout</v>
          </cell>
          <cell r="D437" t="str">
            <v>CO2_E</v>
          </cell>
          <cell r="I437">
            <v>3.71894100040696E-3</v>
          </cell>
          <cell r="J437">
            <v>9.9722841647832405E-3</v>
          </cell>
          <cell r="K437">
            <v>2.9179485062589899E-4</v>
          </cell>
        </row>
        <row r="438">
          <cell r="B438" t="str">
            <v>HPLOIL</v>
          </cell>
          <cell r="C438" t="str">
            <v>VAR_fin</v>
          </cell>
          <cell r="D438" t="str">
            <v>ELFO</v>
          </cell>
          <cell r="I438">
            <v>5.046052917784203E-5</v>
          </cell>
          <cell r="J438">
            <v>1.353091474190398E-4</v>
          </cell>
          <cell r="K438">
            <v>3.959224567515594E-6</v>
          </cell>
        </row>
        <row r="439">
          <cell r="B439" t="str">
            <v>HPLOIL</v>
          </cell>
          <cell r="C439" t="str">
            <v>VAR_ncap</v>
          </cell>
          <cell r="D439" t="str">
            <v>-</v>
          </cell>
          <cell r="I439">
            <v>2.85618211342708E-4</v>
          </cell>
          <cell r="J439">
            <v>1.6069834023609701E-5</v>
          </cell>
          <cell r="K439">
            <v>8.1089874026873194E-6</v>
          </cell>
        </row>
        <row r="440">
          <cell r="B440" t="str">
            <v>HPLOIL</v>
          </cell>
          <cell r="C440" t="str">
            <v>VAR_cap</v>
          </cell>
          <cell r="D440" t="str">
            <v>-</v>
          </cell>
          <cell r="I440">
            <v>3.0239510995411868E-4</v>
          </cell>
          <cell r="J440">
            <v>3.0989618813974271E-4</v>
          </cell>
          <cell r="K440">
            <v>2.4887567000082491E-4</v>
          </cell>
        </row>
        <row r="441">
          <cell r="B441" t="str">
            <v>V2G</v>
          </cell>
          <cell r="C441" t="str">
            <v>VAR_fout</v>
          </cell>
          <cell r="D441" t="str">
            <v>ELC35</v>
          </cell>
          <cell r="I441">
            <v>8.361366760928006E-2</v>
          </cell>
          <cell r="J441">
            <v>0.92206180804225379</v>
          </cell>
          <cell r="K441">
            <v>1.1166272025586534</v>
          </cell>
        </row>
        <row r="442">
          <cell r="B442" t="str">
            <v>V2G</v>
          </cell>
          <cell r="C442" t="str">
            <v>VAR_fin</v>
          </cell>
          <cell r="D442" t="str">
            <v>T-ELC-Bus_c_BatSTGout_S1</v>
          </cell>
          <cell r="I442">
            <v>2.9299519859078645E-3</v>
          </cell>
          <cell r="J442">
            <v>1.9494495958499352E-3</v>
          </cell>
          <cell r="K442">
            <v>7.071269358891937E-4</v>
          </cell>
        </row>
        <row r="443">
          <cell r="B443" t="str">
            <v>V2G</v>
          </cell>
          <cell r="C443" t="str">
            <v>VAR_fin</v>
          </cell>
          <cell r="D443" t="str">
            <v>T-ELC-Bus_c_BatSTGout_S2</v>
          </cell>
          <cell r="I443">
            <v>2.9731338599878385E-3</v>
          </cell>
          <cell r="J443">
            <v>2.2402778223796055E-3</v>
          </cell>
          <cell r="K443">
            <v>7.7182851728336112E-4</v>
          </cell>
        </row>
        <row r="444">
          <cell r="B444" t="str">
            <v>V2G</v>
          </cell>
          <cell r="C444" t="str">
            <v>VAR_fin</v>
          </cell>
          <cell r="D444" t="str">
            <v>T-ELC-Bus_c_BatSTGout_S3</v>
          </cell>
          <cell r="I444">
            <v>1.5922067172399481E-3</v>
          </cell>
          <cell r="J444">
            <v>1.1177553598998788E-3</v>
          </cell>
          <cell r="K444">
            <v>5.0041234681408092E-4</v>
          </cell>
        </row>
        <row r="445">
          <cell r="B445" t="str">
            <v>V2G</v>
          </cell>
          <cell r="C445" t="str">
            <v>VAR_fin</v>
          </cell>
          <cell r="D445" t="str">
            <v>T-ELC-Bus_c_BatSTGout_S4</v>
          </cell>
          <cell r="I445">
            <v>2.4397482204221543E-5</v>
          </cell>
          <cell r="J445">
            <v>2.3670272963133754E-4</v>
          </cell>
          <cell r="K445">
            <v>1.765473416489129E-4</v>
          </cell>
        </row>
        <row r="446">
          <cell r="B446" t="str">
            <v>V2G</v>
          </cell>
          <cell r="C446" t="str">
            <v>VAR_fin</v>
          </cell>
          <cell r="D446" t="str">
            <v>T-ELC-car-BatSTGOut_S1</v>
          </cell>
          <cell r="I446">
            <v>1.2071568759705394E-2</v>
          </cell>
          <cell r="J446">
            <v>0.34435349297249068</v>
          </cell>
          <cell r="K446">
            <v>0.40842486819592522</v>
          </cell>
        </row>
        <row r="447">
          <cell r="B447" t="str">
            <v>V2G</v>
          </cell>
          <cell r="C447" t="str">
            <v>VAR_fin</v>
          </cell>
          <cell r="D447" t="str">
            <v>T-ELC-car-BatSTGOut_S2</v>
          </cell>
          <cell r="I447">
            <v>8.0653129010717674E-3</v>
          </cell>
          <cell r="J447">
            <v>0.12243845232436967</v>
          </cell>
          <cell r="K447">
            <v>0.13657087278353539</v>
          </cell>
        </row>
        <row r="448">
          <cell r="B448" t="str">
            <v>V2G</v>
          </cell>
          <cell r="C448" t="str">
            <v>VAR_fin</v>
          </cell>
          <cell r="D448" t="str">
            <v>T-ELC-car-BatSTGOut_S3</v>
          </cell>
          <cell r="I448">
            <v>9.6630730689730628E-3</v>
          </cell>
          <cell r="J448">
            <v>0.11408591028464024</v>
          </cell>
          <cell r="K448">
            <v>0.13410764482647011</v>
          </cell>
        </row>
        <row r="449">
          <cell r="B449" t="str">
            <v>V2G</v>
          </cell>
          <cell r="C449" t="str">
            <v>VAR_fin</v>
          </cell>
          <cell r="D449" t="str">
            <v>T-ELC-car-BatSTGOut_S4</v>
          </cell>
          <cell r="I449">
            <v>7.9081259809489473E-3</v>
          </cell>
          <cell r="J449">
            <v>0.12642040984394504</v>
          </cell>
          <cell r="K449">
            <v>0.12914084424464928</v>
          </cell>
        </row>
        <row r="450">
          <cell r="B450" t="str">
            <v>V2G</v>
          </cell>
          <cell r="C450" t="str">
            <v>VAR_fin</v>
          </cell>
          <cell r="D450" t="str">
            <v>T-ELC-car-PlgSTGOut_S1</v>
          </cell>
          <cell r="I450">
            <v>1.6065532399492921E-3</v>
          </cell>
          <cell r="J450">
            <v>1.2634339592792741E-3</v>
          </cell>
          <cell r="K450">
            <v>2.9468607154065768E-4</v>
          </cell>
        </row>
        <row r="451">
          <cell r="B451" t="str">
            <v>V2G</v>
          </cell>
          <cell r="C451" t="str">
            <v>VAR_fin</v>
          </cell>
          <cell r="D451" t="str">
            <v>T-ELC-car-PlgSTGOut_S2</v>
          </cell>
          <cell r="I451">
            <v>2.3975284663731671E-4</v>
          </cell>
          <cell r="J451">
            <v>2.5066373628540275E-4</v>
          </cell>
          <cell r="K451">
            <v>7.1075515020159051E-4</v>
          </cell>
        </row>
        <row r="452">
          <cell r="B452" t="str">
            <v>V2G</v>
          </cell>
          <cell r="C452" t="str">
            <v>VAR_fin</v>
          </cell>
          <cell r="D452" t="str">
            <v>T-ELC-car-PlgSTGOut_S3</v>
          </cell>
          <cell r="I452">
            <v>9.8921629660148284E-3</v>
          </cell>
          <cell r="J452">
            <v>0.16486742166404295</v>
          </cell>
          <cell r="K452">
            <v>0.27574656716665757</v>
          </cell>
        </row>
        <row r="453">
          <cell r="B453" t="str">
            <v>V2G</v>
          </cell>
          <cell r="C453" t="str">
            <v>VAR_fin</v>
          </cell>
          <cell r="D453" t="str">
            <v>T-ELC-TWSTGout_S1</v>
          </cell>
          <cell r="I453">
            <v>1.211189792734962E-3</v>
          </cell>
          <cell r="J453">
            <v>7.5790876634432313E-4</v>
          </cell>
          <cell r="K453">
            <v>4.5826139884805447E-4</v>
          </cell>
        </row>
        <row r="454">
          <cell r="B454" t="str">
            <v>V2G</v>
          </cell>
          <cell r="C454" t="str">
            <v>VAR_fin</v>
          </cell>
          <cell r="D454" t="str">
            <v>T-ELC-car-PlgSTGOut_S4</v>
          </cell>
          <cell r="I454">
            <v>1.1851107254201312E-3</v>
          </cell>
          <cell r="J454">
            <v>3.1865368099104484E-3</v>
          </cell>
          <cell r="K454">
            <v>1.0213757294544035E-3</v>
          </cell>
        </row>
        <row r="455">
          <cell r="B455" t="str">
            <v>V2G</v>
          </cell>
          <cell r="C455" t="str">
            <v>VAR_fin</v>
          </cell>
          <cell r="D455" t="str">
            <v>T-ELC-TWSTGout_S2</v>
          </cell>
          <cell r="I455">
            <v>3.1121421838927652E-3</v>
          </cell>
          <cell r="J455">
            <v>2.7030738695902486E-3</v>
          </cell>
          <cell r="K455">
            <v>1.7913203899652319E-3</v>
          </cell>
        </row>
        <row r="456">
          <cell r="B456" t="str">
            <v>V2G</v>
          </cell>
          <cell r="C456" t="str">
            <v>VAR_fin</v>
          </cell>
          <cell r="D456" t="str">
            <v>T-ELC-TWSTGout_S3</v>
          </cell>
          <cell r="I456">
            <v>4.5407306552310393E-3</v>
          </cell>
          <cell r="J456">
            <v>4.387156211168977E-3</v>
          </cell>
          <cell r="K456">
            <v>2.8591331665492412E-3</v>
          </cell>
        </row>
        <row r="457">
          <cell r="B457" t="str">
            <v>V2G</v>
          </cell>
          <cell r="C457" t="str">
            <v>VAR_fin</v>
          </cell>
          <cell r="D457" t="str">
            <v>T-ELC-TWSTGout_S4</v>
          </cell>
          <cell r="I457">
            <v>4.5853988716922341E-3</v>
          </cell>
          <cell r="J457">
            <v>5.083786318024989E-3</v>
          </cell>
          <cell r="K457">
            <v>4.1703370491615035E-3</v>
          </cell>
        </row>
        <row r="458">
          <cell r="B458" t="str">
            <v>V2G</v>
          </cell>
          <cell r="C458" t="str">
            <v>VAR_fin</v>
          </cell>
          <cell r="D458" t="str">
            <v>T-ELC-Bus_u_BatSTGout_S1</v>
          </cell>
          <cell r="I458">
            <v>1.6674170915452867E-4</v>
          </cell>
          <cell r="J458">
            <v>1.2982027770930361E-4</v>
          </cell>
          <cell r="K458">
            <v>9.2666682128653282E-5</v>
          </cell>
        </row>
        <row r="459">
          <cell r="B459" t="str">
            <v>V2G</v>
          </cell>
          <cell r="C459" t="str">
            <v>VAR_fin</v>
          </cell>
          <cell r="D459" t="str">
            <v>T-ELC-Bus_u_BatSTGout_S2</v>
          </cell>
          <cell r="I459">
            <v>1.5398627557495305E-4</v>
          </cell>
          <cell r="J459">
            <v>1.2055961916042116E-4</v>
          </cell>
          <cell r="K459">
            <v>8.5842191273031928E-5</v>
          </cell>
        </row>
        <row r="460">
          <cell r="B460" t="str">
            <v>V2G</v>
          </cell>
          <cell r="C460" t="str">
            <v>VAR_fin</v>
          </cell>
          <cell r="D460" t="str">
            <v>T-ELC-Bus_u_BatSTGout_S3</v>
          </cell>
          <cell r="I460">
            <v>6.8822721280765555E-5</v>
          </cell>
          <cell r="J460">
            <v>5.9929575084384615E-5</v>
          </cell>
          <cell r="K460">
            <v>4.7741691651628002E-5</v>
          </cell>
        </row>
        <row r="461">
          <cell r="B461" t="str">
            <v>V2G</v>
          </cell>
          <cell r="C461" t="str">
            <v>VAR_fin</v>
          </cell>
          <cell r="D461" t="str">
            <v>T-ELC-Bus_u_BatSTGout_S4</v>
          </cell>
          <cell r="I461">
            <v>6.1732660623938333E-3</v>
          </cell>
          <cell r="J461">
            <v>1.7353467504715357E-4</v>
          </cell>
          <cell r="K461">
            <v>1.110792305654512E-4</v>
          </cell>
        </row>
        <row r="462">
          <cell r="B462" t="str">
            <v>V2G</v>
          </cell>
          <cell r="C462" t="str">
            <v>VAR_fin</v>
          </cell>
          <cell r="D462" t="str">
            <v>T-ELC-LGV_BatSTGout</v>
          </cell>
          <cell r="I462">
            <v>4.0693315818439365E-4</v>
          </cell>
          <cell r="J462">
            <v>3.3153756338400164E-4</v>
          </cell>
          <cell r="K462">
            <v>1.9457542810222243E-4</v>
          </cell>
        </row>
        <row r="463">
          <cell r="B463" t="str">
            <v>V2G</v>
          </cell>
          <cell r="C463" t="str">
            <v>VAR_fin</v>
          </cell>
          <cell r="D463" t="str">
            <v>T-ELC-HGV_BatSTGout</v>
          </cell>
          <cell r="I463">
            <v>5.1575613330345866E-3</v>
          </cell>
          <cell r="J463">
            <v>2.6010669993550461E-2</v>
          </cell>
          <cell r="K463">
            <v>1.8730407786655197E-2</v>
          </cell>
        </row>
        <row r="464">
          <cell r="B464" t="str">
            <v>V2G</v>
          </cell>
          <cell r="C464" t="str">
            <v>VAR_ncap</v>
          </cell>
          <cell r="D464" t="str">
            <v>-</v>
          </cell>
          <cell r="I464">
            <v>0.28048367066814101</v>
          </cell>
          <cell r="J464">
            <v>2.89857653380475</v>
          </cell>
          <cell r="K464">
            <v>1.8851078840881399</v>
          </cell>
        </row>
        <row r="465">
          <cell r="B465" t="str">
            <v>V2G</v>
          </cell>
          <cell r="C465" t="str">
            <v>VAR_cap</v>
          </cell>
          <cell r="D465" t="str">
            <v>-</v>
          </cell>
          <cell r="I465">
            <v>0.28586982496481084</v>
          </cell>
          <cell r="J465">
            <v>3.1827329854763442</v>
          </cell>
          <cell r="K465">
            <v>4.1073408829899902</v>
          </cell>
        </row>
        <row r="466">
          <cell r="B466" t="str">
            <v>D-EBIO</v>
          </cell>
          <cell r="C466" t="str">
            <v>VAR_fout</v>
          </cell>
          <cell r="D466" t="str">
            <v>EBIO</v>
          </cell>
          <cell r="I466">
            <v>1.1839843476316729</v>
          </cell>
          <cell r="J466">
            <v>1.1839824122982492</v>
          </cell>
          <cell r="K466">
            <v>1.1863319308978408</v>
          </cell>
        </row>
        <row r="467">
          <cell r="B467" t="str">
            <v>D-EBIO</v>
          </cell>
          <cell r="C467" t="str">
            <v>VAR_fin</v>
          </cell>
          <cell r="D467" t="str">
            <v>BIO</v>
          </cell>
          <cell r="I467">
            <v>1.1839843476316729</v>
          </cell>
          <cell r="J467">
            <v>1.1839824122982492</v>
          </cell>
          <cell r="K467">
            <v>1.1863319308978408</v>
          </cell>
        </row>
        <row r="468">
          <cell r="B468" t="str">
            <v>G-INTC3</v>
          </cell>
          <cell r="C468" t="str">
            <v>VAR_fout</v>
          </cell>
          <cell r="D468" t="str">
            <v>ELC35</v>
          </cell>
          <cell r="I468">
            <v>84.980878460736051</v>
          </cell>
          <cell r="J468">
            <v>132.7644998811119</v>
          </cell>
          <cell r="K468">
            <v>114.0249819656142</v>
          </cell>
        </row>
        <row r="469">
          <cell r="B469" t="str">
            <v>G-INTC3</v>
          </cell>
          <cell r="C469" t="str">
            <v>VAR_fout</v>
          </cell>
          <cell r="D469" t="str">
            <v>ELC3</v>
          </cell>
          <cell r="I469">
            <v>107.26796838221873</v>
          </cell>
          <cell r="J469">
            <v>44.305094404294458</v>
          </cell>
          <cell r="K469">
            <v>42.458234643927639</v>
          </cell>
        </row>
        <row r="470">
          <cell r="B470" t="str">
            <v>G-INTC3</v>
          </cell>
          <cell r="C470" t="str">
            <v>VAR_fout</v>
          </cell>
          <cell r="D470" t="str">
            <v>ELC</v>
          </cell>
          <cell r="I470">
            <v>2.4884624437519526E-3</v>
          </cell>
          <cell r="J470">
            <v>0.77106369236244976</v>
          </cell>
          <cell r="K470">
            <v>1.5884836874052299</v>
          </cell>
        </row>
        <row r="471">
          <cell r="B471" t="str">
            <v>G-INTC3</v>
          </cell>
          <cell r="C471" t="str">
            <v>VAR_fin</v>
          </cell>
          <cell r="D471" t="str">
            <v>ELC13</v>
          </cell>
          <cell r="I471">
            <v>198.47620114286804</v>
          </cell>
          <cell r="J471">
            <v>182.60969827098521</v>
          </cell>
          <cell r="K471">
            <v>160.58022474764743</v>
          </cell>
        </row>
        <row r="472">
          <cell r="B472" t="str">
            <v>G-INTC3</v>
          </cell>
          <cell r="C472" t="str">
            <v>VAR_ncap</v>
          </cell>
          <cell r="D472" t="str">
            <v>-</v>
          </cell>
          <cell r="I472">
            <v>3.3623611620825501E-7</v>
          </cell>
          <cell r="J472">
            <v>5.2849717196250102E-7</v>
          </cell>
          <cell r="K472">
            <v>1.9123203621310701E-6</v>
          </cell>
        </row>
        <row r="473">
          <cell r="B473" t="str">
            <v>G-INTC3</v>
          </cell>
          <cell r="C473" t="str">
            <v>VAR_cap</v>
          </cell>
          <cell r="D473" t="str">
            <v>-</v>
          </cell>
          <cell r="I473">
            <v>13.914190829369863</v>
          </cell>
          <cell r="J473">
            <v>13.914190995875753</v>
          </cell>
          <cell r="K473">
            <v>13.914192068055739</v>
          </cell>
        </row>
        <row r="474">
          <cell r="B474" t="str">
            <v>HPLBIO</v>
          </cell>
          <cell r="C474" t="str">
            <v>VAR_fout</v>
          </cell>
          <cell r="D474" t="str">
            <v>LTH</v>
          </cell>
          <cell r="I474">
            <v>0.90180045751198468</v>
          </cell>
          <cell r="J474">
            <v>0.9017989834345872</v>
          </cell>
          <cell r="K474">
            <v>0.90358853154160546</v>
          </cell>
        </row>
        <row r="475">
          <cell r="B475" t="str">
            <v>HPLBIO</v>
          </cell>
          <cell r="C475" t="str">
            <v>VAR_fin</v>
          </cell>
          <cell r="D475" t="str">
            <v>EBIO</v>
          </cell>
          <cell r="I475">
            <v>1.1839843476316729</v>
          </cell>
          <cell r="J475">
            <v>1.1839824122982492</v>
          </cell>
          <cell r="K475">
            <v>1.1863319308978408</v>
          </cell>
        </row>
        <row r="476">
          <cell r="B476" t="str">
            <v>HPLBIO</v>
          </cell>
          <cell r="C476" t="str">
            <v>VAR_ncap</v>
          </cell>
          <cell r="D476" t="str">
            <v>-</v>
          </cell>
          <cell r="I476">
            <v>5.1452385737460797E-2</v>
          </cell>
          <cell r="J476">
            <v>2.5438705059095701E-5</v>
          </cell>
          <cell r="K476">
            <v>5.7236529875919602E-2</v>
          </cell>
        </row>
        <row r="477">
          <cell r="B477" t="str">
            <v>HPLBIO</v>
          </cell>
          <cell r="C477" t="str">
            <v>VAR_cap</v>
          </cell>
          <cell r="D477" t="str">
            <v>-</v>
          </cell>
          <cell r="I477">
            <v>0.11438660153029671</v>
          </cell>
          <cell r="J477">
            <v>0.11439320684468164</v>
          </cell>
          <cell r="K477">
            <v>0.11461649214895675</v>
          </cell>
        </row>
        <row r="478">
          <cell r="B478" t="str">
            <v>G-INTC5</v>
          </cell>
          <cell r="C478" t="str">
            <v>VAR_fout</v>
          </cell>
          <cell r="D478" t="str">
            <v>ELC5</v>
          </cell>
          <cell r="I478">
            <v>89.583264977836606</v>
          </cell>
          <cell r="J478">
            <v>127.42800806115942</v>
          </cell>
          <cell r="K478">
            <v>121.02532692885016</v>
          </cell>
        </row>
        <row r="479">
          <cell r="B479" t="str">
            <v>G-INTC5</v>
          </cell>
          <cell r="C479" t="str">
            <v>VAR_fout</v>
          </cell>
          <cell r="D479" t="str">
            <v>ELC13</v>
          </cell>
          <cell r="I479">
            <v>2.3479897361845209E-3</v>
          </cell>
          <cell r="J479">
            <v>3.6937525364944233E-3</v>
          </cell>
          <cell r="K479">
            <v>0.9568164076350435</v>
          </cell>
        </row>
        <row r="480">
          <cell r="B480" t="str">
            <v>G-INTC5</v>
          </cell>
          <cell r="C480" t="str">
            <v>VAR_fin</v>
          </cell>
          <cell r="D480" t="str">
            <v>ELC35</v>
          </cell>
          <cell r="I480">
            <v>92.946185181056521</v>
          </cell>
          <cell r="J480">
            <v>131.73877240257448</v>
          </cell>
          <cell r="K480">
            <v>125.20875519301657</v>
          </cell>
        </row>
        <row r="481">
          <cell r="B481" t="str">
            <v>G-INTC5</v>
          </cell>
          <cell r="C481" t="str">
            <v>VAR_ncap</v>
          </cell>
          <cell r="D481" t="str">
            <v>-</v>
          </cell>
          <cell r="I481">
            <v>2.04564005712359</v>
          </cell>
          <cell r="J481">
            <v>0.92024524524027695</v>
          </cell>
          <cell r="K481">
            <v>1.05530298505839E-4</v>
          </cell>
        </row>
        <row r="482">
          <cell r="B482" t="str">
            <v>G-INTC5</v>
          </cell>
          <cell r="C482" t="str">
            <v>VAR_cap</v>
          </cell>
          <cell r="D482" t="str">
            <v>-</v>
          </cell>
          <cell r="I482">
            <v>13.141897691181617</v>
          </cell>
          <cell r="J482">
            <v>14.69492281432462</v>
          </cell>
          <cell r="K482">
            <v>17.345626005372722</v>
          </cell>
        </row>
        <row r="483">
          <cell r="B483" t="str">
            <v>D-SLFO</v>
          </cell>
          <cell r="C483" t="str">
            <v>VAR_fout</v>
          </cell>
          <cell r="D483" t="str">
            <v>CO2</v>
          </cell>
          <cell r="I483">
            <v>835.75510987990901</v>
          </cell>
          <cell r="J483">
            <v>407.31705505986099</v>
          </cell>
          <cell r="K483">
            <v>3.1630317907914798E-4</v>
          </cell>
        </row>
        <row r="484">
          <cell r="B484" t="str">
            <v>D-SLFO</v>
          </cell>
          <cell r="C484" t="str">
            <v>VAR_fout</v>
          </cell>
          <cell r="D484" t="str">
            <v>SLFO</v>
          </cell>
          <cell r="I484">
            <v>11.151098101020022</v>
          </cell>
          <cell r="J484">
            <v>5.4347401948675751</v>
          </cell>
          <cell r="K484">
            <v>0.42234150431951573</v>
          </cell>
        </row>
        <row r="485">
          <cell r="B485" t="str">
            <v>D-SLFO</v>
          </cell>
          <cell r="C485" t="str">
            <v>VAR_fin</v>
          </cell>
          <cell r="D485" t="str">
            <v>LFO</v>
          </cell>
          <cell r="I485">
            <v>11.339960785344767</v>
          </cell>
          <cell r="J485">
            <v>5.5266900279492628</v>
          </cell>
          <cell r="K485">
            <v>4.2917663375732392E-6</v>
          </cell>
        </row>
        <row r="486">
          <cell r="B486" t="str">
            <v>D-SLFO</v>
          </cell>
          <cell r="C486" t="str">
            <v>VAR_fin</v>
          </cell>
          <cell r="D486" t="str">
            <v>BDS</v>
          </cell>
          <cell r="I486">
            <v>5.3857779789268036E-4</v>
          </cell>
          <cell r="J486">
            <v>3.5943671533861249E-4</v>
          </cell>
          <cell r="K486">
            <v>0.4295118631484568</v>
          </cell>
        </row>
        <row r="487">
          <cell r="B487" t="str">
            <v>D-RCOA</v>
          </cell>
          <cell r="C487" t="str">
            <v>VAR_fout</v>
          </cell>
          <cell r="D487" t="str">
            <v>CO2</v>
          </cell>
        </row>
        <row r="488">
          <cell r="B488" t="str">
            <v>D-RCOA</v>
          </cell>
          <cell r="C488" t="str">
            <v>VAR_fout</v>
          </cell>
          <cell r="D488" t="str">
            <v>RCOA</v>
          </cell>
        </row>
        <row r="489">
          <cell r="B489" t="str">
            <v>D-RCOA</v>
          </cell>
          <cell r="C489" t="str">
            <v>VAR_fin</v>
          </cell>
          <cell r="D489" t="str">
            <v>COA</v>
          </cell>
        </row>
        <row r="490">
          <cell r="B490" t="str">
            <v>EHYD-RUN00</v>
          </cell>
          <cell r="C490" t="str">
            <v>VAR_fout</v>
          </cell>
          <cell r="D490" t="str">
            <v>ELC13</v>
          </cell>
          <cell r="I490">
            <v>51.055758687986277</v>
          </cell>
          <cell r="J490">
            <v>49.955543062368584</v>
          </cell>
          <cell r="K490">
            <v>47.773706261608524</v>
          </cell>
        </row>
        <row r="491">
          <cell r="B491" t="str">
            <v>EHYD-RUN00</v>
          </cell>
          <cell r="C491" t="str">
            <v>VAR_fin</v>
          </cell>
          <cell r="D491" t="str">
            <v>HYDR</v>
          </cell>
          <cell r="I491">
            <v>51.055758687986277</v>
          </cell>
          <cell r="J491">
            <v>49.955543062368584</v>
          </cell>
          <cell r="K491">
            <v>47.773706261608524</v>
          </cell>
        </row>
        <row r="492">
          <cell r="B492" t="str">
            <v>EHYD-RUN00</v>
          </cell>
          <cell r="C492" t="str">
            <v>VAR_cap</v>
          </cell>
          <cell r="D492" t="str">
            <v>-</v>
          </cell>
          <cell r="I492">
            <v>3.9647700000000001</v>
          </cell>
          <cell r="J492">
            <v>3.9647700000000001</v>
          </cell>
          <cell r="K492">
            <v>3.9647700000000001</v>
          </cell>
        </row>
        <row r="493">
          <cell r="B493" t="str">
            <v>HPLELCHP</v>
          </cell>
          <cell r="C493" t="str">
            <v>VAR_fout</v>
          </cell>
          <cell r="D493" t="str">
            <v>LTH</v>
          </cell>
          <cell r="I493">
            <v>10.778309860159956</v>
          </cell>
          <cell r="J493">
            <v>11.356743469737618</v>
          </cell>
          <cell r="K493">
            <v>12.54491257427012</v>
          </cell>
        </row>
        <row r="494">
          <cell r="B494" t="str">
            <v>HPLELCHP</v>
          </cell>
          <cell r="C494" t="str">
            <v>VAR_fin</v>
          </cell>
          <cell r="D494" t="str">
            <v>ELC35</v>
          </cell>
          <cell r="I494">
            <v>3.5927699533866511</v>
          </cell>
          <cell r="J494">
            <v>3.7855811565792066</v>
          </cell>
          <cell r="K494">
            <v>4.181637524756713</v>
          </cell>
        </row>
        <row r="495">
          <cell r="B495" t="str">
            <v>HPLELCHP</v>
          </cell>
          <cell r="C495" t="str">
            <v>VAR_fin</v>
          </cell>
          <cell r="D495" t="str">
            <v>WWTPCC</v>
          </cell>
          <cell r="I495">
            <v>21.556619720319901</v>
          </cell>
          <cell r="J495">
            <v>22.713486939475199</v>
          </cell>
          <cell r="K495">
            <v>25.0898251485402</v>
          </cell>
        </row>
        <row r="496">
          <cell r="B496" t="str">
            <v>HPLELCHP</v>
          </cell>
          <cell r="C496" t="str">
            <v>VAR_ncap</v>
          </cell>
          <cell r="D496" t="str">
            <v>-</v>
          </cell>
          <cell r="I496">
            <v>3.2244836037518897E-2</v>
          </cell>
          <cell r="J496">
            <v>0.14925299151890301</v>
          </cell>
          <cell r="K496">
            <v>0.50438816022979605</v>
          </cell>
        </row>
        <row r="497">
          <cell r="B497" t="str">
            <v>HPLELCHP</v>
          </cell>
          <cell r="C497" t="str">
            <v>VAR_cap</v>
          </cell>
          <cell r="D497" t="str">
            <v>-</v>
          </cell>
          <cell r="I497">
            <v>0.6637176832097913</v>
          </cell>
          <cell r="J497">
            <v>0.7016730445930196</v>
          </cell>
          <cell r="K497">
            <v>0.78161109730384626</v>
          </cell>
        </row>
        <row r="498">
          <cell r="B498" t="str">
            <v>D-ITOT_LTH</v>
          </cell>
          <cell r="C498" t="str">
            <v>VAR_fout</v>
          </cell>
          <cell r="D498" t="str">
            <v>ITOT_LTH_DH</v>
          </cell>
          <cell r="I498">
            <v>7.6289135773763874</v>
          </cell>
          <cell r="J498">
            <v>7.6289220518265548</v>
          </cell>
          <cell r="K498">
            <v>9.9507315219567207</v>
          </cell>
        </row>
        <row r="499">
          <cell r="B499" t="str">
            <v>D-ITOT_LTH</v>
          </cell>
          <cell r="C499" t="str">
            <v>VAR_fin</v>
          </cell>
          <cell r="D499" t="str">
            <v>LTH</v>
          </cell>
          <cell r="I499">
            <v>8.2772692329576323</v>
          </cell>
          <cell r="J499">
            <v>8.2718528387215873</v>
          </cell>
          <cell r="K499">
            <v>10.775207968354025</v>
          </cell>
        </row>
        <row r="500">
          <cell r="B500" t="str">
            <v>D-ITOT_LTH</v>
          </cell>
          <cell r="C500" t="str">
            <v>VAR_ncap</v>
          </cell>
          <cell r="D500" t="str">
            <v>-</v>
          </cell>
          <cell r="I500">
            <v>6.2243785383490103E-8</v>
          </cell>
          <cell r="J500">
            <v>8.498998103248E-8</v>
          </cell>
          <cell r="K500">
            <v>1.03118616722127E-7</v>
          </cell>
        </row>
        <row r="501">
          <cell r="B501" t="str">
            <v>D-ITOT_LTH</v>
          </cell>
          <cell r="C501" t="str">
            <v>VAR_cap</v>
          </cell>
          <cell r="D501" t="str">
            <v>-</v>
          </cell>
          <cell r="I501">
            <v>0.79547256414012102</v>
          </cell>
          <cell r="J501">
            <v>0.79547264913010196</v>
          </cell>
          <cell r="K501">
            <v>0.79547275224871805</v>
          </cell>
        </row>
        <row r="502">
          <cell r="B502" t="str">
            <v>D-IH2</v>
          </cell>
          <cell r="C502" t="str">
            <v>VAR_fout</v>
          </cell>
          <cell r="D502" t="str">
            <v>IH2</v>
          </cell>
          <cell r="I502">
            <v>1.7743501142025115</v>
          </cell>
          <cell r="J502">
            <v>2.1295928032367129</v>
          </cell>
          <cell r="K502">
            <v>3.4353593235465993</v>
          </cell>
        </row>
        <row r="503">
          <cell r="B503" t="str">
            <v>D-IH2</v>
          </cell>
          <cell r="C503" t="str">
            <v>VAR_fin</v>
          </cell>
          <cell r="D503" t="str">
            <v>H2</v>
          </cell>
          <cell r="I503">
            <v>1.7878678018529151</v>
          </cell>
          <cell r="J503">
            <v>2.1458168675328642</v>
          </cell>
          <cell r="K503">
            <v>3.4615312238558453</v>
          </cell>
        </row>
        <row r="504">
          <cell r="B504" t="str">
            <v>D-IH2</v>
          </cell>
          <cell r="C504" t="str">
            <v>VAR_ncap</v>
          </cell>
          <cell r="D504" t="str">
            <v>-</v>
          </cell>
          <cell r="I504">
            <v>7.0255316847294996E-2</v>
          </cell>
          <cell r="J504">
            <v>0.305971341123082</v>
          </cell>
          <cell r="K504">
            <v>0.117753510168884</v>
          </cell>
        </row>
        <row r="505">
          <cell r="B505" t="str">
            <v>D-IH2</v>
          </cell>
          <cell r="C505" t="str">
            <v>VAR_cap</v>
          </cell>
          <cell r="D505" t="str">
            <v>-</v>
          </cell>
          <cell r="I505">
            <v>7.0255764198885601E-2</v>
          </cell>
          <cell r="J505">
            <v>0.37622710532196801</v>
          </cell>
          <cell r="K505">
            <v>0.49398061549085198</v>
          </cell>
        </row>
        <row r="506">
          <cell r="B506" t="str">
            <v>RHEM-ESOLPV</v>
          </cell>
          <cell r="C506" t="str">
            <v>VAR_fout</v>
          </cell>
          <cell r="D506" t="str">
            <v>RHEM_SOL_ELC</v>
          </cell>
          <cell r="I506">
            <v>3.0096149464430377</v>
          </cell>
          <cell r="J506">
            <v>3.1631755388275868</v>
          </cell>
          <cell r="K506">
            <v>3.4941158525925986</v>
          </cell>
        </row>
        <row r="507">
          <cell r="B507" t="str">
            <v>RHEM-ESOLPV</v>
          </cell>
          <cell r="C507" t="str">
            <v>VAR_fin</v>
          </cell>
          <cell r="D507" t="str">
            <v>SOL</v>
          </cell>
          <cell r="I507">
            <v>3.0096149464430377</v>
          </cell>
          <cell r="J507">
            <v>3.1631755388275868</v>
          </cell>
          <cell r="K507">
            <v>3.4941158525925986</v>
          </cell>
        </row>
        <row r="508">
          <cell r="B508" t="str">
            <v>RHEM-ESOLPV</v>
          </cell>
          <cell r="C508" t="str">
            <v>VAR_fin</v>
          </cell>
          <cell r="D508" t="str">
            <v>SOLPVC</v>
          </cell>
          <cell r="I508">
            <v>3.00961494644304</v>
          </cell>
          <cell r="J508">
            <v>3.1631755388275899</v>
          </cell>
          <cell r="K508">
            <v>3.4941158525925999</v>
          </cell>
        </row>
        <row r="509">
          <cell r="B509" t="str">
            <v>RHEM-ESOLPV</v>
          </cell>
          <cell r="C509" t="str">
            <v>VAR_ncap</v>
          </cell>
          <cell r="D509" t="str">
            <v>-</v>
          </cell>
          <cell r="I509">
            <v>0.13055692442703901</v>
          </cell>
          <cell r="J509">
            <v>0.26925611552805101</v>
          </cell>
          <cell r="K509">
            <v>0.56447788308453295</v>
          </cell>
        </row>
        <row r="510">
          <cell r="B510" t="str">
            <v>RHEM-ESOLPV</v>
          </cell>
          <cell r="C510" t="str">
            <v>VAR_cap</v>
          </cell>
          <cell r="D510" t="str">
            <v>-</v>
          </cell>
          <cell r="I510">
            <v>0.86758531860025201</v>
          </cell>
          <cell r="J510">
            <v>0.91185301828582399</v>
          </cell>
          <cell r="K510">
            <v>1.00725332430406</v>
          </cell>
        </row>
        <row r="511">
          <cell r="B511" t="str">
            <v>HPLNUC</v>
          </cell>
          <cell r="C511" t="str">
            <v>VAR_fout</v>
          </cell>
          <cell r="D511" t="str">
            <v>LTH</v>
          </cell>
          <cell r="I511">
            <v>0.8561642960190613</v>
          </cell>
          <cell r="J511">
            <v>0.84341553264536073</v>
          </cell>
          <cell r="K511">
            <v>0.26170114769672664</v>
          </cell>
        </row>
        <row r="512">
          <cell r="B512" t="str">
            <v>HPLNUC</v>
          </cell>
          <cell r="C512" t="str">
            <v>VAR_fin</v>
          </cell>
          <cell r="D512" t="str">
            <v>URN</v>
          </cell>
          <cell r="I512">
            <v>0.8561642960190613</v>
          </cell>
          <cell r="J512">
            <v>0.84341553264536073</v>
          </cell>
          <cell r="K512">
            <v>0.26170114769672664</v>
          </cell>
        </row>
        <row r="513">
          <cell r="B513" t="str">
            <v>HPLNUC</v>
          </cell>
          <cell r="C513" t="str">
            <v>VAR_cap</v>
          </cell>
          <cell r="D513" t="str">
            <v>-</v>
          </cell>
          <cell r="I513">
            <v>0.120558721922211</v>
          </cell>
          <cell r="J513">
            <v>0.120558721922211</v>
          </cell>
          <cell r="K513">
            <v>0.10944824367396699</v>
          </cell>
        </row>
        <row r="514">
          <cell r="B514" t="str">
            <v>ITOT-CHPWODCCS</v>
          </cell>
          <cell r="C514" t="str">
            <v>VAR_fout</v>
          </cell>
          <cell r="D514" t="str">
            <v>CO2_O</v>
          </cell>
          <cell r="J514">
            <v>167.1949506046646</v>
          </cell>
          <cell r="K514">
            <v>437.18381783367494</v>
          </cell>
        </row>
        <row r="515">
          <cell r="B515" t="str">
            <v>ITOT-CHPWODCCS</v>
          </cell>
          <cell r="C515" t="str">
            <v>VAR_fout</v>
          </cell>
          <cell r="D515" t="str">
            <v>CO2</v>
          </cell>
          <cell r="J515">
            <v>-167.194950604665</v>
          </cell>
          <cell r="K515">
            <v>-437.18381783367499</v>
          </cell>
        </row>
        <row r="516">
          <cell r="B516" t="str">
            <v>ITOT-CHPWODCCS</v>
          </cell>
          <cell r="C516" t="str">
            <v>VAR_fout</v>
          </cell>
          <cell r="D516" t="str">
            <v>ITOT_LTH_CHP</v>
          </cell>
          <cell r="J516">
            <v>1.190239342280393</v>
          </cell>
          <cell r="K516">
            <v>3.2408609447292607</v>
          </cell>
        </row>
        <row r="517">
          <cell r="B517" t="str">
            <v>ITOT-CHPWODCCS</v>
          </cell>
          <cell r="C517" t="str">
            <v>VAR_fout</v>
          </cell>
          <cell r="D517" t="str">
            <v>ITOT_KEV_WOD_ELC_CHP</v>
          </cell>
          <cell r="J517">
            <v>0.56265859816891228</v>
          </cell>
          <cell r="K517">
            <v>1.5320433556901911</v>
          </cell>
        </row>
        <row r="518">
          <cell r="B518" t="str">
            <v>ITOT-CHPWODCCS</v>
          </cell>
          <cell r="C518" t="str">
            <v>VAR_fin</v>
          </cell>
          <cell r="D518" t="str">
            <v>IWOD</v>
          </cell>
          <cell r="J518">
            <v>1.7023410826801937</v>
          </cell>
          <cell r="K518">
            <v>4.3896768216553435</v>
          </cell>
        </row>
        <row r="519">
          <cell r="B519" t="str">
            <v>ITOT-CHPWODCCS</v>
          </cell>
          <cell r="C519" t="str">
            <v>VAR_ncap</v>
          </cell>
          <cell r="D519" t="str">
            <v>-</v>
          </cell>
          <cell r="J519">
            <v>4.2097749493471101E-2</v>
          </cell>
          <cell r="K519">
            <v>3.0297835537944202E-2</v>
          </cell>
        </row>
        <row r="520">
          <cell r="B520" t="str">
            <v>ITOT-CHPWODCCS</v>
          </cell>
          <cell r="C520" t="str">
            <v>VAR_cap</v>
          </cell>
          <cell r="D520" t="str">
            <v>-</v>
          </cell>
          <cell r="J520">
            <v>4.2097749493471101E-2</v>
          </cell>
          <cell r="K520">
            <v>6.08495836250788E-2</v>
          </cell>
        </row>
        <row r="521">
          <cell r="B521" t="str">
            <v>SUP_WODBIO</v>
          </cell>
          <cell r="C521" t="str">
            <v>VAR_fout</v>
          </cell>
          <cell r="D521" t="str">
            <v>ELC35</v>
          </cell>
          <cell r="I521">
            <v>9.806917281304496E-6</v>
          </cell>
          <cell r="J521">
            <v>4.2888564991665547E-5</v>
          </cell>
          <cell r="K521">
            <v>4.3165673887575995E-5</v>
          </cell>
        </row>
        <row r="522">
          <cell r="B522" t="str">
            <v>SUP_WODBIO</v>
          </cell>
          <cell r="C522" t="str">
            <v>VAR_fout</v>
          </cell>
          <cell r="D522" t="str">
            <v>BIO</v>
          </cell>
          <cell r="I522">
            <v>2.4517293203261216E-4</v>
          </cell>
          <cell r="J522">
            <v>1.0722141247916372E-3</v>
          </cell>
          <cell r="K522">
            <v>1.0791418471893977E-3</v>
          </cell>
        </row>
        <row r="523">
          <cell r="B523" t="str">
            <v>SUP_WODBIO</v>
          </cell>
          <cell r="C523" t="str">
            <v>VAR_fout</v>
          </cell>
          <cell r="D523" t="str">
            <v>LTH</v>
          </cell>
          <cell r="I523">
            <v>2.9420751843913464E-5</v>
          </cell>
          <cell r="J523">
            <v>1.2866569497499647E-4</v>
          </cell>
          <cell r="K523">
            <v>1.2949702166272783E-4</v>
          </cell>
        </row>
        <row r="524">
          <cell r="B524" t="str">
            <v>SUP_WODBIO</v>
          </cell>
          <cell r="C524" t="str">
            <v>VAR_fin</v>
          </cell>
          <cell r="D524" t="str">
            <v>CWOD</v>
          </cell>
          <cell r="I524">
            <v>3.3098345824402641E-4</v>
          </cell>
          <cell r="J524">
            <v>1.4474890684687113E-3</v>
          </cell>
          <cell r="K524">
            <v>1.4568414937056889E-3</v>
          </cell>
        </row>
        <row r="525">
          <cell r="B525" t="str">
            <v>SUP_WODBIO</v>
          </cell>
          <cell r="C525" t="str">
            <v>VAR_ncap</v>
          </cell>
          <cell r="D525" t="str">
            <v>-</v>
          </cell>
          <cell r="I525">
            <v>8.7519600737498297E-6</v>
          </cell>
          <cell r="J525">
            <v>3.3539792686367397E-5</v>
          </cell>
          <cell r="K525">
            <v>8.2277046241019496E-6</v>
          </cell>
        </row>
        <row r="526">
          <cell r="B526" t="str">
            <v>SUP_WODBIO</v>
          </cell>
          <cell r="C526" t="str">
            <v>VAR_cap</v>
          </cell>
          <cell r="D526" t="str">
            <v>-</v>
          </cell>
          <cell r="I526">
            <v>3.0766491728078452E-5</v>
          </cell>
          <cell r="J526">
            <v>5.3540140059650461E-5</v>
          </cell>
          <cell r="K526">
            <v>4.860066757608602E-5</v>
          </cell>
        </row>
        <row r="527">
          <cell r="B527" t="str">
            <v>D-RLFO</v>
          </cell>
          <cell r="C527" t="str">
            <v>VAR_fout</v>
          </cell>
          <cell r="D527" t="str">
            <v>CO2</v>
          </cell>
          <cell r="I527">
            <v>1169.6490851850399</v>
          </cell>
          <cell r="J527">
            <v>448.73677621223601</v>
          </cell>
          <cell r="K527">
            <v>3.8244108659159302E-4</v>
          </cell>
        </row>
        <row r="528">
          <cell r="B528" t="str">
            <v>D-RLFO</v>
          </cell>
          <cell r="C528" t="str">
            <v>VAR_fout</v>
          </cell>
          <cell r="D528" t="str">
            <v>RLFO</v>
          </cell>
          <cell r="I528">
            <v>15.6058838640565</v>
          </cell>
          <cell r="J528">
            <v>5.9873607307575076</v>
          </cell>
          <cell r="K528">
            <v>0.57737364924000012</v>
          </cell>
        </row>
        <row r="529">
          <cell r="B529" t="str">
            <v>D-RLFO</v>
          </cell>
          <cell r="C529" t="str">
            <v>VAR_fin</v>
          </cell>
          <cell r="D529" t="str">
            <v>LFO</v>
          </cell>
          <cell r="I529">
            <v>15.870408211465953</v>
          </cell>
          <cell r="J529">
            <v>6.0886943855120332</v>
          </cell>
          <cell r="K529">
            <v>5.1891599266159123E-6</v>
          </cell>
        </row>
        <row r="530">
          <cell r="B530" t="str">
            <v>D-RLFO</v>
          </cell>
          <cell r="C530" t="str">
            <v>VAR_fin</v>
          </cell>
          <cell r="D530" t="str">
            <v>BDS</v>
          </cell>
          <cell r="I530">
            <v>5.3910282527917027E-4</v>
          </cell>
          <cell r="J530">
            <v>3.6074385461533045E-4</v>
          </cell>
          <cell r="K530">
            <v>0.58717878181186867</v>
          </cell>
        </row>
        <row r="531">
          <cell r="B531" t="str">
            <v>G-INTC-EXP00-IT</v>
          </cell>
          <cell r="C531" t="str">
            <v>VAR_fout</v>
          </cell>
          <cell r="D531" t="str">
            <v>ELC_E-IT</v>
          </cell>
          <cell r="I531">
            <v>36.598924575090109</v>
          </cell>
          <cell r="J531">
            <v>26.973436074164869</v>
          </cell>
          <cell r="K531">
            <v>20.769526865554383</v>
          </cell>
        </row>
        <row r="532">
          <cell r="B532" t="str">
            <v>G-INTC-EXP00-IT</v>
          </cell>
          <cell r="C532" t="str">
            <v>VAR_fin</v>
          </cell>
          <cell r="D532" t="str">
            <v>ELC</v>
          </cell>
          <cell r="I532">
            <v>36.598924575090109</v>
          </cell>
          <cell r="J532">
            <v>26.973436074164869</v>
          </cell>
          <cell r="K532">
            <v>20.769526865554383</v>
          </cell>
        </row>
        <row r="533">
          <cell r="B533" t="str">
            <v>G-INTC-EXP00-IT</v>
          </cell>
          <cell r="C533" t="str">
            <v>VAR_ncap</v>
          </cell>
          <cell r="D533" t="str">
            <v>-</v>
          </cell>
          <cell r="I533">
            <v>1.1118628476114601E-6</v>
          </cell>
          <cell r="J533">
            <v>1.72534202975464E-6</v>
          </cell>
          <cell r="K533">
            <v>2.6707504530402701E-6</v>
          </cell>
        </row>
        <row r="534">
          <cell r="B534" t="str">
            <v>G-INTC-EXP00-IT</v>
          </cell>
          <cell r="C534" t="str">
            <v>VAR_cap</v>
          </cell>
          <cell r="D534" t="str">
            <v>-</v>
          </cell>
          <cell r="I534">
            <v>3.7499967258826779</v>
          </cell>
          <cell r="J534">
            <v>2.4000000291268639</v>
          </cell>
          <cell r="K534">
            <v>2.400000102974567</v>
          </cell>
        </row>
        <row r="535">
          <cell r="B535" t="str">
            <v>EWOD-CCS</v>
          </cell>
          <cell r="C535" t="str">
            <v>VAR_fout</v>
          </cell>
          <cell r="D535" t="str">
            <v>CO2_O</v>
          </cell>
          <cell r="J535">
            <v>0.46038320002174843</v>
          </cell>
          <cell r="K535">
            <v>412.56170579650586</v>
          </cell>
        </row>
        <row r="536">
          <cell r="B536" t="str">
            <v>EWOD-CCS</v>
          </cell>
          <cell r="C536" t="str">
            <v>VAR_fout</v>
          </cell>
          <cell r="D536" t="str">
            <v>CO2</v>
          </cell>
          <cell r="J536">
            <v>-0.46038320002174898</v>
          </cell>
          <cell r="K536">
            <v>-412.56170579650598</v>
          </cell>
        </row>
        <row r="537">
          <cell r="B537" t="str">
            <v>EWOD-CCS</v>
          </cell>
          <cell r="C537" t="str">
            <v>VAR_fout</v>
          </cell>
          <cell r="D537" t="str">
            <v>ELC13</v>
          </cell>
          <cell r="J537">
            <v>1.020367233440323E-3</v>
          </cell>
          <cell r="K537">
            <v>0.91437838380530556</v>
          </cell>
        </row>
        <row r="538">
          <cell r="B538" t="str">
            <v>EWOD-CCS</v>
          </cell>
          <cell r="C538" t="str">
            <v>VAR_fin</v>
          </cell>
          <cell r="D538" t="str">
            <v>EWOD</v>
          </cell>
          <cell r="J538">
            <v>4.6360333701303685E-3</v>
          </cell>
          <cell r="K538">
            <v>3.5459972905925428</v>
          </cell>
        </row>
        <row r="539">
          <cell r="B539" t="str">
            <v>EWOD-CCS</v>
          </cell>
          <cell r="C539" t="str">
            <v>VAR_ncap</v>
          </cell>
          <cell r="D539" t="str">
            <v>-</v>
          </cell>
          <cell r="J539">
            <v>2.7614803321836598E-4</v>
          </cell>
          <cell r="K539">
            <v>0.134019210605652</v>
          </cell>
        </row>
        <row r="540">
          <cell r="B540" t="str">
            <v>EWOD-CCS</v>
          </cell>
          <cell r="C540" t="str">
            <v>VAR_cap</v>
          </cell>
          <cell r="D540" t="str">
            <v>-</v>
          </cell>
          <cell r="J540">
            <v>1.32962241455801E-4</v>
          </cell>
          <cell r="K540">
            <v>9.944551406908983E-2</v>
          </cell>
        </row>
        <row r="541">
          <cell r="B541" t="str">
            <v>EOIL-ENG</v>
          </cell>
          <cell r="C541" t="str">
            <v>VAR_fout</v>
          </cell>
          <cell r="D541" t="str">
            <v>ELC35</v>
          </cell>
          <cell r="I541">
            <v>4.2066042632973588E-3</v>
          </cell>
          <cell r="J541">
            <v>5.2278475734705669E-3</v>
          </cell>
          <cell r="K541">
            <v>2.6821612387488707E-5</v>
          </cell>
        </row>
        <row r="542">
          <cell r="B542" t="str">
            <v>EOIL-ENG</v>
          </cell>
          <cell r="C542" t="str">
            <v>VAR_fout</v>
          </cell>
          <cell r="D542" t="str">
            <v>CO2_E</v>
          </cell>
          <cell r="I542">
            <v>0.99504510107909006</v>
          </cell>
          <cell r="J542">
            <v>1.2184266745547501</v>
          </cell>
          <cell r="K542">
            <v>6.5928225610902098E-3</v>
          </cell>
        </row>
        <row r="543">
          <cell r="B543" t="str">
            <v>EOIL-ENG</v>
          </cell>
          <cell r="C543" t="str">
            <v>VAR_fin</v>
          </cell>
          <cell r="D543" t="str">
            <v>ELFO</v>
          </cell>
          <cell r="I543">
            <v>1.3501290380991729E-2</v>
          </cell>
          <cell r="J543">
            <v>1.6532247958680444E-2</v>
          </cell>
          <cell r="K543">
            <v>8.9454851575172385E-5</v>
          </cell>
        </row>
        <row r="544">
          <cell r="B544" t="str">
            <v>EOIL-ENG</v>
          </cell>
          <cell r="C544" t="str">
            <v>VAR_ncap</v>
          </cell>
          <cell r="D544" t="str">
            <v>-</v>
          </cell>
          <cell r="I544">
            <v>5.3482556721407898E-6</v>
          </cell>
          <cell r="J544">
            <v>1.3036116387635E-6</v>
          </cell>
          <cell r="K544">
            <v>1.3494892113778299E-6</v>
          </cell>
        </row>
        <row r="545">
          <cell r="B545" t="str">
            <v>EOIL-ENG</v>
          </cell>
          <cell r="C545" t="str">
            <v>VAR_cap</v>
          </cell>
          <cell r="D545" t="str">
            <v>-</v>
          </cell>
          <cell r="I545">
            <v>4.8365452854785412E-2</v>
          </cell>
          <cell r="J545">
            <v>4.8344611746908968E-2</v>
          </cell>
          <cell r="K545">
            <v>6.1973821693160278E-4</v>
          </cell>
        </row>
        <row r="546">
          <cell r="B546" t="str">
            <v>D-SWOD</v>
          </cell>
          <cell r="C546" t="str">
            <v>VAR_fout</v>
          </cell>
          <cell r="D546" t="str">
            <v>SWOD</v>
          </cell>
          <cell r="I546">
            <v>8.4587037714175661</v>
          </cell>
          <cell r="J546">
            <v>7.148050378080586</v>
          </cell>
          <cell r="K546">
            <v>4.7609907213265643</v>
          </cell>
        </row>
        <row r="547">
          <cell r="B547" t="str">
            <v>D-SWOD</v>
          </cell>
          <cell r="C547" t="str">
            <v>VAR_fin</v>
          </cell>
          <cell r="D547" t="str">
            <v>WOD</v>
          </cell>
          <cell r="I547">
            <v>8.4587037714175661</v>
          </cell>
          <cell r="J547">
            <v>7.148050378080586</v>
          </cell>
          <cell r="K547">
            <v>4.7609907213265643</v>
          </cell>
        </row>
        <row r="548">
          <cell r="B548" t="str">
            <v>SCOM-CHPWOD</v>
          </cell>
          <cell r="C548" t="str">
            <v>VAR_fout</v>
          </cell>
          <cell r="D548" t="str">
            <v>SCOM_KEV_WOD_ELC_CHP</v>
          </cell>
          <cell r="I548">
            <v>1.4677601603052179E-3</v>
          </cell>
          <cell r="J548">
            <v>7.9379502945826951E-4</v>
          </cell>
          <cell r="K548">
            <v>2.8509040080241323E-4</v>
          </cell>
        </row>
        <row r="549">
          <cell r="B549" t="str">
            <v>SCOM-CHPWOD</v>
          </cell>
          <cell r="C549" t="str">
            <v>VAR_fout</v>
          </cell>
          <cell r="D549" t="str">
            <v>SCOM_LTH_CHPWOD</v>
          </cell>
          <cell r="I549">
            <v>2.295173449705902E-3</v>
          </cell>
          <cell r="J549">
            <v>1.213936328535324E-3</v>
          </cell>
          <cell r="K549">
            <v>4.1868263910945527E-4</v>
          </cell>
        </row>
        <row r="550">
          <cell r="B550" t="str">
            <v>SCOM-CHPWOD</v>
          </cell>
          <cell r="C550" t="str">
            <v>VAR_fin</v>
          </cell>
          <cell r="D550" t="str">
            <v>SWOD</v>
          </cell>
          <cell r="I550">
            <v>5.0430050505984826E-3</v>
          </cell>
          <cell r="J550">
            <v>2.7744701858980177E-3</v>
          </cell>
          <cell r="K550">
            <v>1.0442748893416389E-3</v>
          </cell>
        </row>
        <row r="551">
          <cell r="B551" t="str">
            <v>SCOM-CHPWOD</v>
          </cell>
          <cell r="C551" t="str">
            <v>VAR_ncap</v>
          </cell>
          <cell r="D551" t="str">
            <v>-</v>
          </cell>
          <cell r="I551">
            <v>4.4005878832685901E-5</v>
          </cell>
          <cell r="J551">
            <v>6.0783629911085003E-7</v>
          </cell>
          <cell r="K551">
            <v>1.7504769638055398E-5</v>
          </cell>
        </row>
        <row r="552">
          <cell r="B552" t="str">
            <v>SCOM-CHPWOD</v>
          </cell>
          <cell r="C552" t="str">
            <v>VAR_cap</v>
          </cell>
          <cell r="D552" t="str">
            <v>-</v>
          </cell>
          <cell r="I552">
            <v>1.1196724711018546E-4</v>
          </cell>
          <cell r="J552">
            <v>9.0898097660053353E-5</v>
          </cell>
          <cell r="K552">
            <v>3.647804533087493E-5</v>
          </cell>
        </row>
        <row r="553">
          <cell r="B553" t="str">
            <v>ENUC_BMGL</v>
          </cell>
          <cell r="C553" t="str">
            <v>VAR_fout</v>
          </cell>
          <cell r="D553" t="str">
            <v>ELC</v>
          </cell>
        </row>
        <row r="554">
          <cell r="B554" t="str">
            <v>ENUC_BMGL</v>
          </cell>
          <cell r="C554" t="str">
            <v>VAR_fin</v>
          </cell>
          <cell r="D554" t="str">
            <v>URN</v>
          </cell>
        </row>
        <row r="555">
          <cell r="B555" t="str">
            <v>ENUC_BMGL</v>
          </cell>
          <cell r="C555" t="str">
            <v>VAR_cap</v>
          </cell>
          <cell r="D555" t="str">
            <v>-</v>
          </cell>
        </row>
        <row r="556">
          <cell r="B556" t="str">
            <v>D-RSH2R</v>
          </cell>
          <cell r="C556" t="str">
            <v>VAR_fout</v>
          </cell>
          <cell r="D556" t="str">
            <v>RSH2</v>
          </cell>
          <cell r="I556">
            <v>2.133944299661085E-4</v>
          </cell>
          <cell r="J556">
            <v>1.4444798250328242E-4</v>
          </cell>
          <cell r="K556">
            <v>1.0819903633030468E-4</v>
          </cell>
        </row>
        <row r="557">
          <cell r="B557" t="str">
            <v>D-RSH2R</v>
          </cell>
          <cell r="C557" t="str">
            <v>VAR_fin</v>
          </cell>
          <cell r="D557" t="str">
            <v>H2</v>
          </cell>
          <cell r="I557">
            <v>2.133944299661085E-4</v>
          </cell>
          <cell r="J557">
            <v>1.4444798250328242E-4</v>
          </cell>
          <cell r="K557">
            <v>1.0819903633030468E-4</v>
          </cell>
        </row>
        <row r="558">
          <cell r="B558" t="str">
            <v>D-RSH2R</v>
          </cell>
          <cell r="C558" t="str">
            <v>VAR_ncap</v>
          </cell>
          <cell r="D558" t="str">
            <v>-</v>
          </cell>
          <cell r="I558">
            <v>3.5339365933605501E-5</v>
          </cell>
          <cell r="J558">
            <v>4.4620050537786998E-5</v>
          </cell>
          <cell r="K558">
            <v>1.7355280626230199E-5</v>
          </cell>
        </row>
        <row r="559">
          <cell r="B559" t="str">
            <v>D-RSH2R</v>
          </cell>
          <cell r="C559" t="str">
            <v>VAR_cap</v>
          </cell>
          <cell r="D559" t="str">
            <v>-</v>
          </cell>
          <cell r="I559">
            <v>6.3563270215976305E-5</v>
          </cell>
          <cell r="J559">
            <v>5.0879426998773903E-5</v>
          </cell>
          <cell r="K559">
            <v>3.2638595966228598E-5</v>
          </cell>
        </row>
        <row r="560">
          <cell r="B560" t="str">
            <v>ENGA-GTOC</v>
          </cell>
          <cell r="C560" t="str">
            <v>VAR_fout</v>
          </cell>
          <cell r="D560" t="str">
            <v>ELC13</v>
          </cell>
          <cell r="J560">
            <v>4.1321773347285942E-6</v>
          </cell>
          <cell r="K560">
            <v>4.5435451840999411E-2</v>
          </cell>
        </row>
        <row r="561">
          <cell r="B561" t="str">
            <v>ENGA-GTOC</v>
          </cell>
          <cell r="C561" t="str">
            <v>VAR_fout</v>
          </cell>
          <cell r="D561" t="str">
            <v>CO2_E</v>
          </cell>
          <cell r="J561">
            <v>7.40327177418924E-4</v>
          </cell>
          <cell r="K561">
            <v>6.1556629201491404</v>
          </cell>
        </row>
        <row r="562">
          <cell r="B562" t="str">
            <v>ENGA-GTOC</v>
          </cell>
          <cell r="C562" t="str">
            <v>VAR_fin</v>
          </cell>
          <cell r="D562" t="str">
            <v>ENGA</v>
          </cell>
          <cell r="J562">
            <v>1.3126368393952535E-5</v>
          </cell>
          <cell r="K562">
            <v>0.1091429595771123</v>
          </cell>
        </row>
        <row r="563">
          <cell r="B563" t="str">
            <v>ENGA-GTOC</v>
          </cell>
          <cell r="C563" t="str">
            <v>VAR_fin</v>
          </cell>
          <cell r="D563" t="str">
            <v>GTC</v>
          </cell>
          <cell r="I563">
            <v>1.6018870632035999E-4</v>
          </cell>
          <cell r="J563">
            <v>6.6688008042689606E-4</v>
          </cell>
          <cell r="K563">
            <v>5.7981494908319983E-2</v>
          </cell>
        </row>
        <row r="564">
          <cell r="B564" t="str">
            <v>ENGA-GTOC</v>
          </cell>
          <cell r="C564" t="str">
            <v>VAR_ncap</v>
          </cell>
          <cell r="D564" t="str">
            <v>-</v>
          </cell>
          <cell r="I564">
            <v>6.6518611093171402E-4</v>
          </cell>
          <cell r="J564">
            <v>4.6241700364116003E-6</v>
          </cell>
          <cell r="K564">
            <v>7.7453364645512598E-2</v>
          </cell>
        </row>
        <row r="565">
          <cell r="B565" t="str">
            <v>ENGA-GTOC</v>
          </cell>
          <cell r="C565" t="str">
            <v>VAR_cap</v>
          </cell>
          <cell r="D565" t="str">
            <v>-</v>
          </cell>
          <cell r="I565">
            <v>1.6018870632035999E-4</v>
          </cell>
          <cell r="J565">
            <v>6.6688008042689562E-4</v>
          </cell>
          <cell r="K565">
            <v>5.7981494908319955E-2</v>
          </cell>
        </row>
        <row r="566">
          <cell r="B566" t="str">
            <v>D-RSH2</v>
          </cell>
          <cell r="C566" t="str">
            <v>VAR_fout</v>
          </cell>
          <cell r="D566" t="str">
            <v>RSH2</v>
          </cell>
          <cell r="I566">
            <v>1.9631481904336233E-4</v>
          </cell>
          <cell r="J566">
            <v>1.4429111765574366E-4</v>
          </cell>
          <cell r="K566">
            <v>1.2026655077228358E-4</v>
          </cell>
        </row>
        <row r="567">
          <cell r="B567" t="str">
            <v>D-RSH2</v>
          </cell>
          <cell r="C567" t="str">
            <v>VAR_fin</v>
          </cell>
          <cell r="D567" t="str">
            <v>H2</v>
          </cell>
          <cell r="I567">
            <v>1.9781042150858761E-4</v>
          </cell>
          <cell r="J567">
            <v>1.4539038337764719E-4</v>
          </cell>
          <cell r="K567">
            <v>1.211827880216958E-4</v>
          </cell>
        </row>
        <row r="568">
          <cell r="B568" t="str">
            <v>D-RSH2</v>
          </cell>
          <cell r="C568" t="str">
            <v>VAR_ncap</v>
          </cell>
          <cell r="D568" t="str">
            <v>-</v>
          </cell>
          <cell r="I568">
            <v>1.4303295050731301E-5</v>
          </cell>
          <cell r="J568">
            <v>1.0146558034562201E-6</v>
          </cell>
          <cell r="K568">
            <v>5.9033602468332796E-7</v>
          </cell>
        </row>
        <row r="569">
          <cell r="B569" t="str">
            <v>D-RSH2</v>
          </cell>
          <cell r="C569" t="str">
            <v>VAR_cap</v>
          </cell>
          <cell r="D569" t="str">
            <v>-</v>
          </cell>
          <cell r="I569">
            <v>6.1201949723720998E-5</v>
          </cell>
          <cell r="J569">
            <v>6.2216605527177298E-5</v>
          </cell>
          <cell r="K569">
            <v>6.2806941551860602E-5</v>
          </cell>
        </row>
        <row r="570">
          <cell r="B570" t="str">
            <v>D-RWOD</v>
          </cell>
          <cell r="C570" t="str">
            <v>VAR_fout</v>
          </cell>
          <cell r="D570" t="str">
            <v>RWOD</v>
          </cell>
          <cell r="I570">
            <v>14.382218169531846</v>
          </cell>
          <cell r="J570">
            <v>12.665719733472601</v>
          </cell>
          <cell r="K570">
            <v>7.1381719730223541</v>
          </cell>
        </row>
        <row r="571">
          <cell r="B571" t="str">
            <v>D-RWOD</v>
          </cell>
          <cell r="C571" t="str">
            <v>VAR_fin</v>
          </cell>
          <cell r="D571" t="str">
            <v>WOD</v>
          </cell>
          <cell r="I571">
            <v>14.382218169531846</v>
          </cell>
          <cell r="J571">
            <v>12.665719733472601</v>
          </cell>
          <cell r="K571">
            <v>7.1381719730223541</v>
          </cell>
        </row>
        <row r="572">
          <cell r="B572" t="str">
            <v>CHPOIL</v>
          </cell>
          <cell r="C572" t="str">
            <v>VAR_fout</v>
          </cell>
          <cell r="D572" t="str">
            <v>ELC35</v>
          </cell>
          <cell r="I572">
            <v>5.7323157010688748E-4</v>
          </cell>
          <cell r="J572">
            <v>2.4328112846966167E-4</v>
          </cell>
          <cell r="K572">
            <v>5.1726619780507563E-6</v>
          </cell>
        </row>
        <row r="573">
          <cell r="B573" t="str">
            <v>CHPOIL</v>
          </cell>
          <cell r="C573" t="str">
            <v>VAR_fout</v>
          </cell>
          <cell r="D573" t="str">
            <v>LTH</v>
          </cell>
          <cell r="I573">
            <v>2.9480480748354213E-3</v>
          </cell>
          <cell r="J573">
            <v>1.2511600892725441E-3</v>
          </cell>
          <cell r="K573">
            <v>2.6602261601403873E-5</v>
          </cell>
        </row>
        <row r="574">
          <cell r="B574" t="str">
            <v>CHPOIL</v>
          </cell>
          <cell r="C574" t="str">
            <v>VAR_fout</v>
          </cell>
          <cell r="D574" t="str">
            <v>CO2_E</v>
          </cell>
          <cell r="I574">
            <v>0.43743849936304402</v>
          </cell>
          <cell r="J574">
            <v>0.17282143011165099</v>
          </cell>
          <cell r="K574">
            <v>4.0755748805215803E-3</v>
          </cell>
        </row>
        <row r="575">
          <cell r="B575" t="str">
            <v>CHPOIL</v>
          </cell>
          <cell r="C575" t="str">
            <v>VAR_fin</v>
          </cell>
          <cell r="D575" t="str">
            <v>ELFO</v>
          </cell>
          <cell r="I575">
            <v>5.9353934784673462E-3</v>
          </cell>
          <cell r="J575">
            <v>2.3449312091133045E-3</v>
          </cell>
          <cell r="K575">
            <v>5.5299523480618459E-5</v>
          </cell>
        </row>
        <row r="576">
          <cell r="B576" t="str">
            <v>CHPOIL</v>
          </cell>
          <cell r="C576" t="str">
            <v>VAR_ncap</v>
          </cell>
          <cell r="D576" t="str">
            <v>-</v>
          </cell>
          <cell r="I576">
            <v>5.1643963503530202E-6</v>
          </cell>
          <cell r="J576">
            <v>1.40328786129412E-5</v>
          </cell>
          <cell r="K576">
            <v>3.5127497914213099E-5</v>
          </cell>
        </row>
        <row r="577">
          <cell r="B577" t="str">
            <v>CHPOIL</v>
          </cell>
          <cell r="C577" t="str">
            <v>VAR_cap</v>
          </cell>
          <cell r="D577" t="str">
            <v>-</v>
          </cell>
          <cell r="I577">
            <v>3.7161033721067396E-4</v>
          </cell>
          <cell r="J577">
            <v>1.2433455516291562E-4</v>
          </cell>
          <cell r="K577">
            <v>5.2710446065642209E-5</v>
          </cell>
        </row>
        <row r="578">
          <cell r="B578" t="str">
            <v>CHPHFC</v>
          </cell>
          <cell r="C578" t="str">
            <v>VAR_fout</v>
          </cell>
          <cell r="D578" t="str">
            <v>ELC35</v>
          </cell>
          <cell r="J578">
            <v>2.8285256729106384E-3</v>
          </cell>
          <cell r="K578">
            <v>0.64656406332493532</v>
          </cell>
        </row>
        <row r="579">
          <cell r="B579" t="str">
            <v>CHPHFC</v>
          </cell>
          <cell r="C579" t="str">
            <v>VAR_fout</v>
          </cell>
          <cell r="D579" t="str">
            <v>LTH</v>
          </cell>
          <cell r="J579">
            <v>3.4346383171057595E-3</v>
          </cell>
          <cell r="K579">
            <v>0.81590227038622742</v>
          </cell>
        </row>
        <row r="580">
          <cell r="B580" t="str">
            <v>CHPHFC</v>
          </cell>
          <cell r="C580" t="str">
            <v>VAR_fin</v>
          </cell>
          <cell r="D580" t="str">
            <v>EH2</v>
          </cell>
          <cell r="J580">
            <v>6.7345849355015192E-3</v>
          </cell>
          <cell r="K580">
            <v>1.5394382460117513</v>
          </cell>
        </row>
        <row r="581">
          <cell r="B581" t="str">
            <v>CHPHFC</v>
          </cell>
          <cell r="C581" t="str">
            <v>VAR_ncap</v>
          </cell>
          <cell r="D581" t="str">
            <v>-</v>
          </cell>
          <cell r="J581">
            <v>3.25560663185577E-4</v>
          </cell>
          <cell r="K581">
            <v>6.9073859374409394E-2</v>
          </cell>
        </row>
        <row r="582">
          <cell r="B582" t="str">
            <v>CHPHFC</v>
          </cell>
          <cell r="C582" t="str">
            <v>VAR_cap</v>
          </cell>
          <cell r="D582" t="str">
            <v>-</v>
          </cell>
          <cell r="J582">
            <v>3.25560663185577E-4</v>
          </cell>
          <cell r="K582">
            <v>6.9399363126039754E-2</v>
          </cell>
        </row>
        <row r="583">
          <cell r="B583" t="str">
            <v>ITOT-ESOLPV</v>
          </cell>
          <cell r="C583" t="str">
            <v>VAR_fout</v>
          </cell>
          <cell r="D583" t="str">
            <v>ITOT_SOL_ELC</v>
          </cell>
          <cell r="I583">
            <v>20.470723601034496</v>
          </cell>
          <cell r="J583">
            <v>40.847645049447884</v>
          </cell>
          <cell r="K583">
            <v>46.227829714996609</v>
          </cell>
        </row>
        <row r="584">
          <cell r="B584" t="str">
            <v>ITOT-ESOLPV</v>
          </cell>
          <cell r="C584" t="str">
            <v>VAR_fin</v>
          </cell>
          <cell r="D584" t="str">
            <v>SOL</v>
          </cell>
          <cell r="I584">
            <v>20.470723601034496</v>
          </cell>
          <cell r="J584">
            <v>40.847645049447884</v>
          </cell>
          <cell r="K584">
            <v>46.227829714996609</v>
          </cell>
        </row>
        <row r="585">
          <cell r="B585" t="str">
            <v>ITOT-ESOLPV</v>
          </cell>
          <cell r="C585" t="str">
            <v>VAR_fin</v>
          </cell>
          <cell r="D585" t="str">
            <v>SOLPVC</v>
          </cell>
          <cell r="I585">
            <v>20.4707236010345</v>
          </cell>
          <cell r="J585">
            <v>40.847645049447799</v>
          </cell>
          <cell r="K585">
            <v>46.227829714996602</v>
          </cell>
        </row>
        <row r="586">
          <cell r="B586" t="str">
            <v>ITOT-ESOLPV</v>
          </cell>
          <cell r="C586" t="str">
            <v>VAR_ncap</v>
          </cell>
          <cell r="D586" t="str">
            <v>-</v>
          </cell>
          <cell r="I586">
            <v>0.79881058979368103</v>
          </cell>
          <cell r="J586">
            <v>6.5865030238467996</v>
          </cell>
          <cell r="K586">
            <v>5.5511885838961996</v>
          </cell>
        </row>
        <row r="587">
          <cell r="B587" t="str">
            <v>ITOT-ESOLPV</v>
          </cell>
          <cell r="C587" t="str">
            <v>VAR_cap</v>
          </cell>
          <cell r="D587" t="str">
            <v>-</v>
          </cell>
          <cell r="I587">
            <v>5.9011141803844005</v>
          </cell>
          <cell r="J587">
            <v>11.775186960472936</v>
          </cell>
          <cell r="K587">
            <v>13.3261370274386</v>
          </cell>
        </row>
        <row r="588">
          <cell r="B588" t="str">
            <v>RHNS-CHPNGA</v>
          </cell>
          <cell r="C588" t="str">
            <v>VAR_fout</v>
          </cell>
          <cell r="D588" t="str">
            <v>CO2_R</v>
          </cell>
          <cell r="I588">
            <v>0.22452494802894299</v>
          </cell>
          <cell r="J588">
            <v>8.3373572862207201E-2</v>
          </cell>
        </row>
        <row r="589">
          <cell r="B589" t="str">
            <v>RHNS-CHPNGA</v>
          </cell>
          <cell r="C589" t="str">
            <v>VAR_fout</v>
          </cell>
          <cell r="D589" t="str">
            <v>RHNS_LTH_CHPNGA</v>
          </cell>
          <cell r="I589">
            <v>1.6651363019641813E-3</v>
          </cell>
          <cell r="J589">
            <v>8.5158870803779324E-4</v>
          </cell>
        </row>
        <row r="590">
          <cell r="B590" t="str">
            <v>RHNS-CHPNGA</v>
          </cell>
          <cell r="C590" t="str">
            <v>VAR_fout</v>
          </cell>
          <cell r="D590" t="str">
            <v>RHNS_NKEV_GAS_ELC_CHP</v>
          </cell>
          <cell r="I590">
            <v>7.3494400938463192E-4</v>
          </cell>
          <cell r="J590">
            <v>3.792230965480799E-4</v>
          </cell>
        </row>
        <row r="591">
          <cell r="B591" t="str">
            <v>RHNS-CHPNGA</v>
          </cell>
          <cell r="C591" t="str">
            <v>VAR_fin</v>
          </cell>
          <cell r="D591" t="str">
            <v>RNGA</v>
          </cell>
          <cell r="I591">
            <v>3.9809387948394085E-3</v>
          </cell>
          <cell r="J591">
            <v>1.478254837982399E-3</v>
          </cell>
        </row>
        <row r="592">
          <cell r="B592" t="str">
            <v>RHNS-CHPNGA</v>
          </cell>
          <cell r="C592" t="str">
            <v>VAR_ncap</v>
          </cell>
          <cell r="D592" t="str">
            <v>-</v>
          </cell>
        </row>
        <row r="593">
          <cell r="B593" t="str">
            <v>RHNS-CHPNGA</v>
          </cell>
          <cell r="C593" t="str">
            <v>VAR_cap</v>
          </cell>
          <cell r="D593" t="str">
            <v>-</v>
          </cell>
          <cell r="I593">
            <v>6.5149516067558732E-5</v>
          </cell>
          <cell r="J593">
            <v>3.3771935771704474E-5</v>
          </cell>
        </row>
        <row r="594">
          <cell r="B594" t="str">
            <v>ENUC_BEZ</v>
          </cell>
          <cell r="C594" t="str">
            <v>VAR_fout</v>
          </cell>
          <cell r="D594" t="str">
            <v>ELC</v>
          </cell>
        </row>
        <row r="595">
          <cell r="B595" t="str">
            <v>ENUC_BEZ</v>
          </cell>
          <cell r="C595" t="str">
            <v>VAR_fin</v>
          </cell>
          <cell r="D595" t="str">
            <v>URN</v>
          </cell>
        </row>
        <row r="596">
          <cell r="B596" t="str">
            <v>ENUC_BEZ</v>
          </cell>
          <cell r="C596" t="str">
            <v>VAR_cap</v>
          </cell>
          <cell r="D596" t="str">
            <v>-</v>
          </cell>
        </row>
        <row r="597">
          <cell r="B597" t="str">
            <v>RHNM-CHPWOD</v>
          </cell>
          <cell r="C597" t="str">
            <v>VAR_fout</v>
          </cell>
          <cell r="D597" t="str">
            <v>RHNM_LTH_CHPWOD</v>
          </cell>
          <cell r="I597">
            <v>0.58438463976789923</v>
          </cell>
          <cell r="J597">
            <v>0.75004790975006463</v>
          </cell>
          <cell r="K597">
            <v>0.36673139121836845</v>
          </cell>
        </row>
        <row r="598">
          <cell r="B598" t="str">
            <v>RHNM-CHPWOD</v>
          </cell>
          <cell r="C598" t="str">
            <v>VAR_fout</v>
          </cell>
          <cell r="D598" t="str">
            <v>RHNM_KEV_WOD_ELC_CHP</v>
          </cell>
          <cell r="I598">
            <v>0.2196853368016361</v>
          </cell>
          <cell r="J598">
            <v>0.28196245496159805</v>
          </cell>
          <cell r="K598">
            <v>0.13786383780986805</v>
          </cell>
        </row>
        <row r="599">
          <cell r="B599" t="str">
            <v>RHNM-CHPWOD</v>
          </cell>
          <cell r="C599" t="str">
            <v>VAR_fin</v>
          </cell>
          <cell r="D599" t="str">
            <v>RWOD</v>
          </cell>
          <cell r="I599">
            <v>0.81934519227157798</v>
          </cell>
          <cell r="J599">
            <v>1.0305667577821696</v>
          </cell>
          <cell r="K599">
            <v>0.48416484879791166</v>
          </cell>
        </row>
        <row r="600">
          <cell r="B600" t="str">
            <v>RHNM-CHPWOD</v>
          </cell>
          <cell r="C600" t="str">
            <v>VAR_ncap</v>
          </cell>
          <cell r="D600" t="str">
            <v>-</v>
          </cell>
          <cell r="I600">
            <v>1.6199757970829901E-2</v>
          </cell>
          <cell r="J600">
            <v>4.6534202452879697E-3</v>
          </cell>
          <cell r="K600">
            <v>5.06414236215552E-7</v>
          </cell>
        </row>
        <row r="601">
          <cell r="B601" t="str">
            <v>RHNM-CHPWOD</v>
          </cell>
          <cell r="C601" t="str">
            <v>VAR_cap</v>
          </cell>
          <cell r="D601" t="str">
            <v>-</v>
          </cell>
          <cell r="I601">
            <v>1.6301485952913634E-2</v>
          </cell>
          <cell r="J601">
            <v>2.0922597840585987E-2</v>
          </cell>
          <cell r="K601">
            <v>1.022998142657958E-2</v>
          </cell>
        </row>
        <row r="602">
          <cell r="B602" t="str">
            <v>RHNM-SHSTG-CHPNGA</v>
          </cell>
          <cell r="C602" t="str">
            <v>VAR_fout</v>
          </cell>
          <cell r="D602" t="str">
            <v>AUX_RNM-CHPNGA_OUT</v>
          </cell>
          <cell r="I602">
            <v>1.1948335441944969E-3</v>
          </cell>
          <cell r="J602">
            <v>6.494847703653147E-4</v>
          </cell>
          <cell r="K602">
            <v>1.6107328165325933E-4</v>
          </cell>
        </row>
        <row r="603">
          <cell r="B603" t="str">
            <v>RHNM-SHSTG-CHPNGA</v>
          </cell>
          <cell r="C603" t="str">
            <v>VAR_fout</v>
          </cell>
          <cell r="D603" t="str">
            <v>RHNM_LTH_CHPNGA</v>
          </cell>
          <cell r="I603">
            <v>1.1959317367902609E-3</v>
          </cell>
          <cell r="J603">
            <v>6.4948477036531232E-4</v>
          </cell>
          <cell r="K603">
            <v>1.6107328165325922E-4</v>
          </cell>
        </row>
        <row r="604">
          <cell r="B604" t="str">
            <v>RHNM-SHSTG-CHPNGA</v>
          </cell>
          <cell r="C604" t="str">
            <v>VAR_fin</v>
          </cell>
          <cell r="D604" t="str">
            <v>AUX_RNM-CHPNGA_IN</v>
          </cell>
          <cell r="I604">
            <v>1.4527356376500251E-3</v>
          </cell>
          <cell r="J604">
            <v>7.6721783895039976E-4</v>
          </cell>
          <cell r="K604">
            <v>1.3402778360035474E-4</v>
          </cell>
        </row>
        <row r="605">
          <cell r="B605" t="str">
            <v>RHNM-SHSTG-CHPNGA</v>
          </cell>
          <cell r="C605" t="str">
            <v>VAR_fin</v>
          </cell>
          <cell r="D605" t="str">
            <v>RHNM_LTH_CHPNGA</v>
          </cell>
          <cell r="I605">
            <v>1.4527356376500251E-3</v>
          </cell>
          <cell r="J605">
            <v>7.6721783895039976E-4</v>
          </cell>
          <cell r="K605">
            <v>1.3402778360035474E-4</v>
          </cell>
        </row>
        <row r="606">
          <cell r="B606" t="str">
            <v>RHNM-SHSTG-CHPNGA</v>
          </cell>
          <cell r="C606" t="str">
            <v>VAR_ncap</v>
          </cell>
          <cell r="D606" t="str">
            <v>-</v>
          </cell>
          <cell r="I606">
            <v>1.93862619596465E-3</v>
          </cell>
          <cell r="J606">
            <v>5.5256841867524898E-5</v>
          </cell>
          <cell r="K606">
            <v>1.26792593227305E-5</v>
          </cell>
        </row>
        <row r="607">
          <cell r="B607" t="str">
            <v>RHNM-SHSTG-CHPNGA</v>
          </cell>
          <cell r="C607" t="str">
            <v>VAR_cap</v>
          </cell>
          <cell r="D607" t="str">
            <v>-</v>
          </cell>
          <cell r="I607">
            <v>2.5887763382257492E-3</v>
          </cell>
          <cell r="J607">
            <v>2.0011597328242225E-3</v>
          </cell>
          <cell r="K607">
            <v>8.5511982794954388E-4</v>
          </cell>
        </row>
        <row r="608">
          <cell r="B608" t="str">
            <v>CT_CWODBDS</v>
          </cell>
          <cell r="C608" t="str">
            <v>VAR_fout</v>
          </cell>
          <cell r="D608" t="str">
            <v>BDS</v>
          </cell>
          <cell r="I608">
            <v>2.1664806761055246E-3</v>
          </cell>
          <cell r="J608">
            <v>1.5813047881184455E-2</v>
          </cell>
          <cell r="K608">
            <v>1.4302264035466878E-2</v>
          </cell>
        </row>
        <row r="609">
          <cell r="B609" t="str">
            <v>CT_CWODBDS</v>
          </cell>
          <cell r="C609" t="str">
            <v>VAR_fout</v>
          </cell>
          <cell r="D609" t="str">
            <v>LTH</v>
          </cell>
          <cell r="I609">
            <v>8.4492746368115346E-4</v>
          </cell>
          <cell r="J609">
            <v>6.1670886736619294E-3</v>
          </cell>
          <cell r="K609">
            <v>5.5778829738320698E-3</v>
          </cell>
        </row>
        <row r="610">
          <cell r="B610" t="str">
            <v>CT_CWODBDS</v>
          </cell>
          <cell r="C610" t="str">
            <v>VAR_fin</v>
          </cell>
          <cell r="D610" t="str">
            <v>CWOD</v>
          </cell>
          <cell r="I610">
            <v>6.1733866865626916E-3</v>
          </cell>
          <cell r="J610">
            <v>4.5059279937435102E-2</v>
          </cell>
          <cell r="K610">
            <v>4.0754301369062829E-2</v>
          </cell>
        </row>
        <row r="611">
          <cell r="B611" t="str">
            <v>CT_CWODBDS</v>
          </cell>
          <cell r="C611" t="str">
            <v>VAR_fin</v>
          </cell>
          <cell r="D611" t="str">
            <v>CELC</v>
          </cell>
          <cell r="I611">
            <v>1.5057040698933407E-4</v>
          </cell>
          <cell r="J611">
            <v>1.0990068277423198E-3</v>
          </cell>
          <cell r="K611">
            <v>9.9400735046494709E-4</v>
          </cell>
        </row>
        <row r="612">
          <cell r="B612" t="str">
            <v>CT_CWODBDS</v>
          </cell>
          <cell r="C612" t="str">
            <v>VAR_ncap</v>
          </cell>
          <cell r="D612" t="str">
            <v>-</v>
          </cell>
          <cell r="I612">
            <v>7.5227310608593401E-5</v>
          </cell>
          <cell r="J612">
            <v>7.4474385496893405E-4</v>
          </cell>
          <cell r="K612">
            <v>2.4245317867465898E-7</v>
          </cell>
        </row>
        <row r="613">
          <cell r="B613" t="str">
            <v>CT_CWODBDS</v>
          </cell>
          <cell r="C613" t="str">
            <v>VAR_cap</v>
          </cell>
          <cell r="D613" t="str">
            <v>-</v>
          </cell>
          <cell r="I613">
            <v>1.1347776754033236E-4</v>
          </cell>
          <cell r="J613">
            <v>8.2021877473411144E-4</v>
          </cell>
          <cell r="K613">
            <v>8.0441169878730243E-4</v>
          </cell>
        </row>
        <row r="614">
          <cell r="B614" t="str">
            <v>RHNS-EBAT</v>
          </cell>
          <cell r="C614" t="str">
            <v>VAR_fout</v>
          </cell>
          <cell r="D614" t="str">
            <v>RHNS_ELC</v>
          </cell>
          <cell r="I614">
            <v>0.31807916961655675</v>
          </cell>
          <cell r="J614">
            <v>0.24264021479067693</v>
          </cell>
          <cell r="K614">
            <v>0.34463802899546175</v>
          </cell>
        </row>
        <row r="615">
          <cell r="B615" t="str">
            <v>RHNS-EBAT</v>
          </cell>
          <cell r="C615" t="str">
            <v>VAR_fout</v>
          </cell>
          <cell r="D615" t="str">
            <v>AUX_RHNS-EBAT_OUT</v>
          </cell>
          <cell r="I615">
            <v>0.31807916961655713</v>
          </cell>
          <cell r="J615">
            <v>0.24264021479067729</v>
          </cell>
          <cell r="K615">
            <v>0.34463802899546225</v>
          </cell>
        </row>
        <row r="616">
          <cell r="B616" t="str">
            <v>RHNS-EBAT</v>
          </cell>
          <cell r="C616" t="str">
            <v>VAR_fin</v>
          </cell>
          <cell r="D616" t="str">
            <v>RHNS_ELC</v>
          </cell>
          <cell r="I616">
            <v>0.35175337629894526</v>
          </cell>
          <cell r="J616">
            <v>0.26832781820812684</v>
          </cell>
          <cell r="K616">
            <v>0.38112361024303654</v>
          </cell>
        </row>
        <row r="617">
          <cell r="B617" t="str">
            <v>RHNS-EBAT</v>
          </cell>
          <cell r="C617" t="str">
            <v>VAR_fin</v>
          </cell>
          <cell r="D617" t="str">
            <v>AUX_RHNS-EBAT_IN</v>
          </cell>
          <cell r="I617">
            <v>0.35175337629894526</v>
          </cell>
          <cell r="J617">
            <v>0.26832781820812684</v>
          </cell>
          <cell r="K617">
            <v>0.38112361024303654</v>
          </cell>
        </row>
        <row r="618">
          <cell r="B618" t="str">
            <v>RHNS-EBAT</v>
          </cell>
          <cell r="C618" t="str">
            <v>VAR_ncap</v>
          </cell>
          <cell r="D618" t="str">
            <v>-</v>
          </cell>
          <cell r="I618">
            <v>4.59949926479684E-2</v>
          </cell>
          <cell r="J618">
            <v>0.13242037776625301</v>
          </cell>
          <cell r="K618">
            <v>0.16614910715853901</v>
          </cell>
        </row>
        <row r="619">
          <cell r="B619" t="str">
            <v>RHNS-EBAT</v>
          </cell>
          <cell r="C619" t="str">
            <v>VAR_cap</v>
          </cell>
          <cell r="D619" t="str">
            <v>-</v>
          </cell>
          <cell r="I619">
            <v>0.18062247173791818</v>
          </cell>
          <cell r="J619">
            <v>0.19648867284634652</v>
          </cell>
          <cell r="K619">
            <v>0.24063002233572478</v>
          </cell>
        </row>
        <row r="620">
          <cell r="B620" t="str">
            <v>G-INTC-EXP00-AT</v>
          </cell>
          <cell r="C620" t="str">
            <v>VAR_fout</v>
          </cell>
          <cell r="D620" t="str">
            <v>ELC_E-AT</v>
          </cell>
          <cell r="I620">
            <v>1.5320603657720036E-4</v>
          </cell>
          <cell r="J620">
            <v>1.6240304236260329E-4</v>
          </cell>
          <cell r="K620">
            <v>1.0391081300928826E-4</v>
          </cell>
        </row>
        <row r="621">
          <cell r="B621" t="str">
            <v>G-INTC-EXP00-AT</v>
          </cell>
          <cell r="C621" t="str">
            <v>VAR_fin</v>
          </cell>
          <cell r="D621" t="str">
            <v>ELC</v>
          </cell>
          <cell r="I621">
            <v>1.5320603657720036E-4</v>
          </cell>
          <cell r="J621">
            <v>1.6240304236260329E-4</v>
          </cell>
          <cell r="K621">
            <v>1.0391081300928826E-4</v>
          </cell>
        </row>
        <row r="622">
          <cell r="B622" t="str">
            <v>G-INTC-EXP00-AT</v>
          </cell>
          <cell r="C622" t="str">
            <v>VAR_ncap</v>
          </cell>
          <cell r="D622" t="str">
            <v>-</v>
          </cell>
          <cell r="I622">
            <v>5.9604949354583603E-7</v>
          </cell>
          <cell r="J622">
            <v>8.5231069773561098E-7</v>
          </cell>
          <cell r="K622">
            <v>1.8757214144601501E-6</v>
          </cell>
        </row>
        <row r="623">
          <cell r="B623" t="str">
            <v>G-INTC-EXP00-AT</v>
          </cell>
          <cell r="C623" t="str">
            <v>VAR_cap</v>
          </cell>
          <cell r="D623" t="str">
            <v>-</v>
          </cell>
          <cell r="I623">
            <v>3.4023573291430687E-4</v>
          </cell>
          <cell r="J623">
            <v>3.3958155266811119E-4</v>
          </cell>
          <cell r="K623">
            <v>3.4165753778547803E-4</v>
          </cell>
        </row>
        <row r="624">
          <cell r="B624" t="str">
            <v>G-INTC-IMP00-DE</v>
          </cell>
          <cell r="C624" t="str">
            <v>VAR_fout</v>
          </cell>
          <cell r="D624" t="str">
            <v>ELC</v>
          </cell>
          <cell r="I624">
            <v>35.861852079662157</v>
          </cell>
          <cell r="J624">
            <v>15.894918963756945</v>
          </cell>
          <cell r="K624">
            <v>5.3743901472101729</v>
          </cell>
        </row>
        <row r="625">
          <cell r="B625" t="str">
            <v>G-INTC-IMP00-DE</v>
          </cell>
          <cell r="C625" t="str">
            <v>VAR_fin</v>
          </cell>
          <cell r="D625" t="str">
            <v>ELC_I-DE</v>
          </cell>
          <cell r="I625">
            <v>35.861852079662157</v>
          </cell>
          <cell r="J625">
            <v>15.894918963756945</v>
          </cell>
          <cell r="K625">
            <v>5.3743901472101729</v>
          </cell>
        </row>
        <row r="626">
          <cell r="B626" t="str">
            <v>G-INTC-IMP00-DE</v>
          </cell>
          <cell r="C626" t="str">
            <v>VAR_ncap</v>
          </cell>
          <cell r="D626" t="str">
            <v>-</v>
          </cell>
          <cell r="I626">
            <v>9.2858598718993695E-7</v>
          </cell>
          <cell r="J626">
            <v>1.4029698144742901E-6</v>
          </cell>
          <cell r="K626">
            <v>2.1263886372628901E-6</v>
          </cell>
        </row>
        <row r="627">
          <cell r="B627" t="str">
            <v>G-INTC-IMP00-DE</v>
          </cell>
          <cell r="C627" t="str">
            <v>VAR_cap</v>
          </cell>
          <cell r="D627" t="str">
            <v>-</v>
          </cell>
          <cell r="I627">
            <v>2.2715936440841578</v>
          </cell>
          <cell r="J627">
            <v>1.9795196002155897</v>
          </cell>
          <cell r="K627">
            <v>0.99007425972211793</v>
          </cell>
        </row>
        <row r="628">
          <cell r="B628" t="str">
            <v>RHEM-SHSTG-CHPWOD</v>
          </cell>
          <cell r="C628" t="str">
            <v>VAR_fout</v>
          </cell>
          <cell r="D628" t="str">
            <v>AUX_REM-CHPWOD_OUT</v>
          </cell>
          <cell r="I628">
            <v>7.8967027117809972E-3</v>
          </cell>
          <cell r="J628">
            <v>9.3200659974535301E-3</v>
          </cell>
          <cell r="K628">
            <v>7.9024272819886512E-3</v>
          </cell>
        </row>
        <row r="629">
          <cell r="B629" t="str">
            <v>RHEM-SHSTG-CHPWOD</v>
          </cell>
          <cell r="C629" t="str">
            <v>VAR_fout</v>
          </cell>
          <cell r="D629" t="str">
            <v>RHEM_LTH_CHPWOD</v>
          </cell>
          <cell r="I629">
            <v>7.903960710596963E-3</v>
          </cell>
          <cell r="J629">
            <v>9.3200659974534937E-3</v>
          </cell>
          <cell r="K629">
            <v>7.9024272819886478E-3</v>
          </cell>
        </row>
        <row r="630">
          <cell r="B630" t="str">
            <v>RHEM-SHSTG-CHPWOD</v>
          </cell>
          <cell r="C630" t="str">
            <v>VAR_fin</v>
          </cell>
          <cell r="D630" t="str">
            <v>AUX_REM-CHPWOD_IN</v>
          </cell>
          <cell r="I630">
            <v>9.5836805403150798E-3</v>
          </cell>
          <cell r="J630">
            <v>1.0967901635522727E-2</v>
          </cell>
          <cell r="K630">
            <v>8.7836422449289984E-3</v>
          </cell>
        </row>
        <row r="631">
          <cell r="B631" t="str">
            <v>RHEM-SHSTG-CHPWOD</v>
          </cell>
          <cell r="C631" t="str">
            <v>VAR_fin</v>
          </cell>
          <cell r="D631" t="str">
            <v>RHEM_LTH_CHPWOD</v>
          </cell>
          <cell r="I631">
            <v>9.5836805403150798E-3</v>
          </cell>
          <cell r="J631">
            <v>1.0967901635522727E-2</v>
          </cell>
          <cell r="K631">
            <v>8.7836422449289984E-3</v>
          </cell>
        </row>
        <row r="632">
          <cell r="B632" t="str">
            <v>RHEM-SHSTG-CHPWOD</v>
          </cell>
          <cell r="C632" t="str">
            <v>VAR_ncap</v>
          </cell>
          <cell r="D632" t="str">
            <v>-</v>
          </cell>
          <cell r="I632">
            <v>6.3865136430052696E-3</v>
          </cell>
          <cell r="J632">
            <v>1.89791324359606E-3</v>
          </cell>
          <cell r="K632">
            <v>2.3318187442290399E-4</v>
          </cell>
        </row>
        <row r="633">
          <cell r="B633" t="str">
            <v>RHEM-SHSTG-CHPWOD</v>
          </cell>
          <cell r="C633" t="str">
            <v>VAR_cap</v>
          </cell>
          <cell r="D633" t="str">
            <v>-</v>
          </cell>
          <cell r="I633">
            <v>6.8853705282292859E-3</v>
          </cell>
          <cell r="J633">
            <v>8.3048282537882701E-3</v>
          </cell>
          <cell r="K633">
            <v>4.2981231483573195E-3</v>
          </cell>
        </row>
        <row r="634">
          <cell r="B634" t="str">
            <v>G-INTC-EXP00-FR</v>
          </cell>
          <cell r="C634" t="str">
            <v>VAR_fout</v>
          </cell>
          <cell r="D634" t="str">
            <v>ELC_E-FR</v>
          </cell>
          <cell r="I634">
            <v>4.2459759380621885E-4</v>
          </cell>
          <cell r="J634">
            <v>1.3110671721091049E-3</v>
          </cell>
          <cell r="K634">
            <v>9.9842933423171035E-4</v>
          </cell>
        </row>
        <row r="635">
          <cell r="B635" t="str">
            <v>G-INTC-EXP00-FR</v>
          </cell>
          <cell r="C635" t="str">
            <v>VAR_fin</v>
          </cell>
          <cell r="D635" t="str">
            <v>ELC</v>
          </cell>
          <cell r="I635">
            <v>4.2459759380621885E-4</v>
          </cell>
          <cell r="J635">
            <v>1.3110671721091049E-3</v>
          </cell>
          <cell r="K635">
            <v>9.9842933423171035E-4</v>
          </cell>
        </row>
        <row r="636">
          <cell r="B636" t="str">
            <v>G-INTC-EXP00-FR</v>
          </cell>
          <cell r="C636" t="str">
            <v>VAR_ncap</v>
          </cell>
          <cell r="D636" t="str">
            <v>-</v>
          </cell>
          <cell r="I636">
            <v>1.7646398935666599E-6</v>
          </cell>
          <cell r="J636">
            <v>2.8990631701449802E-6</v>
          </cell>
          <cell r="K636">
            <v>4.6913613339885399E-6</v>
          </cell>
        </row>
        <row r="637">
          <cell r="B637" t="str">
            <v>G-INTC-EXP00-FR</v>
          </cell>
          <cell r="C637" t="str">
            <v>VAR_cap</v>
          </cell>
          <cell r="D637" t="str">
            <v>-</v>
          </cell>
          <cell r="I637">
            <v>5.6086837472801854E-4</v>
          </cell>
          <cell r="J637">
            <v>5.6099375787876937E-4</v>
          </cell>
          <cell r="K637">
            <v>5.6447252232350031E-4</v>
          </cell>
        </row>
        <row r="638">
          <cell r="B638" t="str">
            <v>RHNM-EBAT</v>
          </cell>
          <cell r="C638" t="str">
            <v>VAR_fout</v>
          </cell>
          <cell r="D638" t="str">
            <v>RHNM_ELC</v>
          </cell>
          <cell r="I638">
            <v>5.9450999220757611E-2</v>
          </cell>
          <cell r="J638">
            <v>4.4467629055464447E-2</v>
          </cell>
          <cell r="K638">
            <v>6.232598409684223E-2</v>
          </cell>
        </row>
        <row r="639">
          <cell r="B639" t="str">
            <v>RHNM-EBAT</v>
          </cell>
          <cell r="C639" t="str">
            <v>VAR_fout</v>
          </cell>
          <cell r="D639" t="str">
            <v>AUX_RHNM-EBAT_OUT</v>
          </cell>
          <cell r="I639">
            <v>5.9450999220757667E-2</v>
          </cell>
          <cell r="J639">
            <v>4.4467629055464489E-2</v>
          </cell>
          <cell r="K639">
            <v>6.2325984096842313E-2</v>
          </cell>
        </row>
        <row r="640">
          <cell r="B640" t="str">
            <v>RHNM-EBAT</v>
          </cell>
          <cell r="C640" t="str">
            <v>VAR_fin</v>
          </cell>
          <cell r="D640" t="str">
            <v>RHNM_ELC</v>
          </cell>
          <cell r="I640">
            <v>6.574558731077601E-2</v>
          </cell>
          <cell r="J640">
            <v>4.9175732039574219E-2</v>
          </cell>
          <cell r="K640">
            <v>6.8924658200763683E-2</v>
          </cell>
        </row>
        <row r="641">
          <cell r="B641" t="str">
            <v>RHNM-EBAT</v>
          </cell>
          <cell r="C641" t="str">
            <v>VAR_fin</v>
          </cell>
          <cell r="D641" t="str">
            <v>AUX_RHNM-EBAT_IN</v>
          </cell>
          <cell r="I641">
            <v>6.574558731077601E-2</v>
          </cell>
          <cell r="J641">
            <v>4.9175732039574219E-2</v>
          </cell>
          <cell r="K641">
            <v>6.8924658200763683E-2</v>
          </cell>
        </row>
        <row r="642">
          <cell r="B642" t="str">
            <v>RHNM-EBAT</v>
          </cell>
          <cell r="C642" t="str">
            <v>VAR_ncap</v>
          </cell>
          <cell r="D642" t="str">
            <v>-</v>
          </cell>
          <cell r="I642">
            <v>1.17816764049361E-2</v>
          </cell>
          <cell r="J642">
            <v>1.9338712220755901E-2</v>
          </cell>
          <cell r="K642">
            <v>2.7925662523832599E-2</v>
          </cell>
        </row>
        <row r="643">
          <cell r="B643" t="str">
            <v>RHNM-EBAT</v>
          </cell>
          <cell r="C643" t="str">
            <v>VAR_cap</v>
          </cell>
          <cell r="D643" t="str">
            <v>-</v>
          </cell>
          <cell r="I643">
            <v>3.0080278796041169E-2</v>
          </cell>
          <cell r="J643">
            <v>3.2660590888531599E-2</v>
          </cell>
          <cell r="K643">
            <v>3.9691476009178772E-2</v>
          </cell>
        </row>
        <row r="644">
          <cell r="B644" t="str">
            <v>ITOT-CHPWST</v>
          </cell>
          <cell r="C644" t="str">
            <v>VAR_fout</v>
          </cell>
          <cell r="D644" t="str">
            <v>ITOT_LTH_CHP</v>
          </cell>
          <cell r="I644">
            <v>6.0203147379527333E-3</v>
          </cell>
          <cell r="J644">
            <v>2.4494425420810528E-3</v>
          </cell>
          <cell r="K644">
            <v>3.3230729632118195E-4</v>
          </cell>
        </row>
        <row r="645">
          <cell r="B645" t="str">
            <v>ITOT-CHPWST</v>
          </cell>
          <cell r="C645" t="str">
            <v>VAR_fout</v>
          </cell>
          <cell r="D645" t="str">
            <v>ITOT_KEV_WST_ELC_CHP</v>
          </cell>
          <cell r="I645">
            <v>1.020144251489299E-3</v>
          </cell>
          <cell r="J645">
            <v>4.8359796924997851E-4</v>
          </cell>
          <cell r="K645">
            <v>9.7960811081328095E-5</v>
          </cell>
        </row>
        <row r="646">
          <cell r="B646" t="str">
            <v>ITOT-CHPWST</v>
          </cell>
          <cell r="C646" t="str">
            <v>VAR_fout</v>
          </cell>
          <cell r="D646" t="str">
            <v>CO2_I</v>
          </cell>
          <cell r="I646">
            <v>1.52759944381135</v>
          </cell>
          <cell r="J646">
            <v>0.72415640021112504</v>
          </cell>
          <cell r="K646">
            <v>0.14668992184652399</v>
          </cell>
        </row>
        <row r="647">
          <cell r="B647" t="str">
            <v>ITOT-CHPWST</v>
          </cell>
          <cell r="C647" t="str">
            <v>VAR_fin</v>
          </cell>
          <cell r="D647" t="str">
            <v>IWST</v>
          </cell>
          <cell r="I647">
            <v>1.6461200903139527E-2</v>
          </cell>
          <cell r="J647">
            <v>7.8034094850336841E-3</v>
          </cell>
          <cell r="K647">
            <v>1.5807103647254694E-3</v>
          </cell>
        </row>
        <row r="648">
          <cell r="B648" t="str">
            <v>ITOT-CHPWST</v>
          </cell>
          <cell r="C648" t="str">
            <v>VAR_ncap</v>
          </cell>
          <cell r="D648" t="str">
            <v>-</v>
          </cell>
          <cell r="I648">
            <v>2.7403149525916598E-7</v>
          </cell>
          <cell r="J648">
            <v>8.8860820876413595E-8</v>
          </cell>
          <cell r="K648">
            <v>2.8375003648007298E-8</v>
          </cell>
        </row>
        <row r="649">
          <cell r="B649" t="str">
            <v>ITOT-CHPWST</v>
          </cell>
          <cell r="C649" t="str">
            <v>VAR_cap</v>
          </cell>
          <cell r="D649" t="str">
            <v>-</v>
          </cell>
          <cell r="I649">
            <v>2.8820480771561425E-4</v>
          </cell>
          <cell r="J649">
            <v>1.2583963673909113E-4</v>
          </cell>
          <cell r="K649">
            <v>4.6442878548690666E-5</v>
          </cell>
        </row>
        <row r="650">
          <cell r="B650" t="str">
            <v>CAES-EBAT</v>
          </cell>
          <cell r="C650" t="str">
            <v>VAR_fout</v>
          </cell>
          <cell r="D650" t="str">
            <v>ELC13</v>
          </cell>
          <cell r="I650">
            <v>3.0516970291249283E-2</v>
          </cell>
          <cell r="J650">
            <v>1.9442043272010483E-2</v>
          </cell>
          <cell r="K650">
            <v>9.4495573930780508E-2</v>
          </cell>
        </row>
        <row r="651">
          <cell r="B651" t="str">
            <v>CAES-EBAT</v>
          </cell>
          <cell r="C651" t="str">
            <v>VAR_fout</v>
          </cell>
          <cell r="D651" t="str">
            <v>AUX_CAES_OUT</v>
          </cell>
          <cell r="I651">
            <v>3.0516970291249258E-2</v>
          </cell>
          <cell r="J651">
            <v>1.9442043272010451E-2</v>
          </cell>
          <cell r="K651">
            <v>9.4495573930780466E-2</v>
          </cell>
        </row>
        <row r="652">
          <cell r="B652" t="str">
            <v>CAES-EBAT</v>
          </cell>
          <cell r="C652" t="str">
            <v>VAR_fin</v>
          </cell>
          <cell r="D652" t="str">
            <v>ELC13</v>
          </cell>
          <cell r="I652">
            <v>4.3598260853506883E-2</v>
          </cell>
          <cell r="J652">
            <v>2.7777197675888654E-2</v>
          </cell>
          <cell r="K652">
            <v>0.13499556678468153</v>
          </cell>
        </row>
        <row r="653">
          <cell r="B653" t="str">
            <v>CAES-EBAT</v>
          </cell>
          <cell r="C653" t="str">
            <v>VAR_fin</v>
          </cell>
          <cell r="D653" t="str">
            <v>AUX_CAES_IN</v>
          </cell>
          <cell r="I653">
            <v>4.3598260853506883E-2</v>
          </cell>
          <cell r="J653">
            <v>2.7777197675888654E-2</v>
          </cell>
          <cell r="K653">
            <v>0.13499556678468153</v>
          </cell>
        </row>
        <row r="654">
          <cell r="B654" t="str">
            <v>CAES-EBAT</v>
          </cell>
          <cell r="C654" t="str">
            <v>VAR_ncap</v>
          </cell>
          <cell r="D654" t="str">
            <v>-</v>
          </cell>
          <cell r="I654">
            <v>3.8780720807208702E-7</v>
          </cell>
          <cell r="J654">
            <v>5.6165605951999904E-7</v>
          </cell>
          <cell r="K654">
            <v>3.9523351029878701E-7</v>
          </cell>
        </row>
        <row r="655">
          <cell r="B655" t="str">
            <v>CAES-EBAT</v>
          </cell>
          <cell r="C655" t="str">
            <v>VAR_cap</v>
          </cell>
          <cell r="D655" t="str">
            <v>-</v>
          </cell>
          <cell r="I655">
            <v>9.9998765106441165E-2</v>
          </cell>
          <cell r="J655">
            <v>9.9999079603665095E-2</v>
          </cell>
          <cell r="K655">
            <v>9.9999292044936891E-2</v>
          </cell>
        </row>
        <row r="656">
          <cell r="B656" t="str">
            <v>HPLSOL</v>
          </cell>
          <cell r="C656" t="str">
            <v>VAR_fout</v>
          </cell>
          <cell r="D656" t="str">
            <v>LTH</v>
          </cell>
          <cell r="I656">
            <v>4.3767603905837741E-5</v>
          </cell>
          <cell r="J656">
            <v>4.3592761445811174E-5</v>
          </cell>
          <cell r="K656">
            <v>4.4203528919855617E-5</v>
          </cell>
        </row>
        <row r="657">
          <cell r="B657" t="str">
            <v>HPLSOL</v>
          </cell>
          <cell r="C657" t="str">
            <v>VAR_fin</v>
          </cell>
          <cell r="D657" t="str">
            <v>SOL</v>
          </cell>
          <cell r="I657">
            <v>4.3767603905837741E-5</v>
          </cell>
          <cell r="J657">
            <v>4.3592761445811174E-5</v>
          </cell>
          <cell r="K657">
            <v>4.4203528919855617E-5</v>
          </cell>
        </row>
        <row r="658">
          <cell r="B658" t="str">
            <v>HPLSOL</v>
          </cell>
          <cell r="C658" t="str">
            <v>VAR_fin</v>
          </cell>
          <cell r="D658" t="str">
            <v>SOLPVC</v>
          </cell>
          <cell r="I658">
            <v>4.37676039058377E-5</v>
          </cell>
          <cell r="J658">
            <v>4.3592761445811201E-5</v>
          </cell>
          <cell r="K658">
            <v>4.4203528919855603E-5</v>
          </cell>
        </row>
        <row r="659">
          <cell r="B659" t="str">
            <v>HPLSOL</v>
          </cell>
          <cell r="C659" t="str">
            <v>VAR_ncap</v>
          </cell>
          <cell r="D659" t="str">
            <v>-</v>
          </cell>
          <cell r="I659">
            <v>1.4690583172597301E-6</v>
          </cell>
          <cell r="J659">
            <v>2.5275485706725698E-7</v>
          </cell>
          <cell r="K659">
            <v>4.7119136275117402E-6</v>
          </cell>
        </row>
        <row r="660">
          <cell r="B660" t="str">
            <v>HPLSOL</v>
          </cell>
          <cell r="C660" t="str">
            <v>VAR_cap</v>
          </cell>
          <cell r="D660" t="str">
            <v>-</v>
          </cell>
          <cell r="I660">
            <v>9.9729072893726499E-6</v>
          </cell>
          <cell r="J660">
            <v>1.02256621464399E-5</v>
          </cell>
          <cell r="K660">
            <v>8.3466096488235601E-6</v>
          </cell>
        </row>
        <row r="661">
          <cell r="B661" t="str">
            <v>RHEM-CHPNGA</v>
          </cell>
          <cell r="C661" t="str">
            <v>VAR_fout</v>
          </cell>
          <cell r="D661" t="str">
            <v>CO2_R</v>
          </cell>
          <cell r="I661">
            <v>1.4461871064816401</v>
          </cell>
          <cell r="J661">
            <v>0.21200951684313199</v>
          </cell>
        </row>
        <row r="662">
          <cell r="B662" t="str">
            <v>RHEM-CHPNGA</v>
          </cell>
          <cell r="C662" t="str">
            <v>VAR_fout</v>
          </cell>
          <cell r="D662" t="str">
            <v>RHEM_LTH_CHPNGA</v>
          </cell>
          <cell r="I662">
            <v>1.4974487601214293E-2</v>
          </cell>
          <cell r="J662">
            <v>2.2000472895187307E-3</v>
          </cell>
        </row>
        <row r="663">
          <cell r="B663" t="str">
            <v>RHEM-CHPNGA</v>
          </cell>
          <cell r="C663" t="str">
            <v>VAR_fout</v>
          </cell>
          <cell r="D663" t="str">
            <v>RHEM_NKEV_GAS_ELC_CHP</v>
          </cell>
          <cell r="I663">
            <v>7.3349337018795823E-3</v>
          </cell>
          <cell r="J663">
            <v>1.0910803630946543E-3</v>
          </cell>
        </row>
        <row r="664">
          <cell r="B664" t="str">
            <v>RHEM-CHPNGA</v>
          </cell>
          <cell r="C664" t="str">
            <v>VAR_fin</v>
          </cell>
          <cell r="D664" t="str">
            <v>RNGA</v>
          </cell>
          <cell r="I664">
            <v>2.564161536314967E-2</v>
          </cell>
          <cell r="J664">
            <v>3.7590339865803649E-3</v>
          </cell>
        </row>
        <row r="665">
          <cell r="B665" t="str">
            <v>RHEM-CHPNGA</v>
          </cell>
          <cell r="C665" t="str">
            <v>VAR_ncap</v>
          </cell>
          <cell r="D665" t="str">
            <v>-</v>
          </cell>
        </row>
        <row r="666">
          <cell r="B666" t="str">
            <v>RHEM-CHPNGA</v>
          </cell>
          <cell r="C666" t="str">
            <v>VAR_cap</v>
          </cell>
          <cell r="D666" t="str">
            <v>-</v>
          </cell>
          <cell r="I666">
            <v>5.4409408622664232E-4</v>
          </cell>
          <cell r="J666">
            <v>1.8887968230166339E-4</v>
          </cell>
        </row>
        <row r="667">
          <cell r="B667" t="str">
            <v>D-DH2</v>
          </cell>
          <cell r="C667" t="str">
            <v>VAR_fout</v>
          </cell>
          <cell r="D667" t="str">
            <v>H2</v>
          </cell>
          <cell r="I667">
            <v>3.7366788293798211E-4</v>
          </cell>
          <cell r="J667">
            <v>17.437477467970638</v>
          </cell>
          <cell r="K667">
            <v>18.449977713265248</v>
          </cell>
        </row>
        <row r="668">
          <cell r="B668" t="str">
            <v>D-DH2</v>
          </cell>
          <cell r="C668" t="str">
            <v>VAR_fin</v>
          </cell>
          <cell r="D668" t="str">
            <v>H2_E</v>
          </cell>
          <cell r="I668">
            <v>3.7744230599796164E-4</v>
          </cell>
          <cell r="J668">
            <v>17.613613604010762</v>
          </cell>
          <cell r="K668">
            <v>18.636341124510345</v>
          </cell>
        </row>
        <row r="669">
          <cell r="B669" t="str">
            <v>D-DH2</v>
          </cell>
          <cell r="C669" t="str">
            <v>VAR_ncap</v>
          </cell>
          <cell r="D669" t="str">
            <v>-</v>
          </cell>
          <cell r="I669">
            <v>2.5498409879423E-5</v>
          </cell>
          <cell r="J669">
            <v>2.34164557701077</v>
          </cell>
          <cell r="K669">
            <v>0.13596800869410999</v>
          </cell>
        </row>
        <row r="670">
          <cell r="B670" t="str">
            <v>D-DH2</v>
          </cell>
          <cell r="C670" t="str">
            <v>VAR_cap</v>
          </cell>
          <cell r="D670" t="str">
            <v>-</v>
          </cell>
          <cell r="I670">
            <v>8.0522167355425998E-5</v>
          </cell>
          <cell r="J670">
            <v>2.3417260991781301</v>
          </cell>
          <cell r="K670">
            <v>2.4776941078722401</v>
          </cell>
        </row>
        <row r="671">
          <cell r="B671" t="str">
            <v>D-SBIO</v>
          </cell>
          <cell r="C671" t="str">
            <v>VAR_fout</v>
          </cell>
          <cell r="D671" t="str">
            <v>SBIO</v>
          </cell>
          <cell r="I671">
            <v>3.0028042014910188</v>
          </cell>
          <cell r="J671">
            <v>2.9495790756731139</v>
          </cell>
          <cell r="K671">
            <v>2.8714870700603945</v>
          </cell>
        </row>
        <row r="672">
          <cell r="B672" t="str">
            <v>D-SBIO</v>
          </cell>
          <cell r="C672" t="str">
            <v>VAR_fin</v>
          </cell>
          <cell r="D672" t="str">
            <v>BIO</v>
          </cell>
          <cell r="I672">
            <v>3.0028042014910188</v>
          </cell>
          <cell r="J672">
            <v>2.9495790756731139</v>
          </cell>
          <cell r="K672">
            <v>2.8714870700603945</v>
          </cell>
        </row>
        <row r="673">
          <cell r="B673" t="str">
            <v>SCOM-CHPBIO</v>
          </cell>
          <cell r="C673" t="str">
            <v>VAR_fout</v>
          </cell>
          <cell r="D673" t="str">
            <v>SCOM_LTH_CHPBIO</v>
          </cell>
          <cell r="I673">
            <v>1.1649253894596705</v>
          </cell>
          <cell r="J673">
            <v>1.0059190530183821</v>
          </cell>
          <cell r="K673">
            <v>1.0059189893307441</v>
          </cell>
        </row>
        <row r="674">
          <cell r="B674" t="str">
            <v>SCOM-CHPBIO</v>
          </cell>
          <cell r="C674" t="str">
            <v>VAR_fout</v>
          </cell>
          <cell r="D674" t="str">
            <v>SCOM_KEV_BIO_ELC_CHP</v>
          </cell>
          <cell r="I674">
            <v>1.1059531964295761</v>
          </cell>
          <cell r="J674">
            <v>1.1059517354964505</v>
          </cell>
          <cell r="K674">
            <v>1.1059520067322162</v>
          </cell>
        </row>
        <row r="675">
          <cell r="B675" t="str">
            <v>SCOM-CHPBIO</v>
          </cell>
          <cell r="C675" t="str">
            <v>VAR_fin</v>
          </cell>
          <cell r="D675" t="str">
            <v>SBIO</v>
          </cell>
          <cell r="I675">
            <v>3.0028042014910188</v>
          </cell>
          <cell r="J675">
            <v>2.9495790756731139</v>
          </cell>
          <cell r="K675">
            <v>2.8714870700603945</v>
          </cell>
        </row>
        <row r="676">
          <cell r="B676" t="str">
            <v>SCOM-CHPBIO</v>
          </cell>
          <cell r="C676" t="str">
            <v>VAR_ncap</v>
          </cell>
          <cell r="D676" t="str">
            <v>-</v>
          </cell>
          <cell r="I676">
            <v>4.4082179536554397E-2</v>
          </cell>
          <cell r="J676">
            <v>3.1152743490741E-2</v>
          </cell>
          <cell r="K676">
            <v>4.3490160783926597E-2</v>
          </cell>
        </row>
        <row r="677">
          <cell r="B677" t="str">
            <v>SCOM-CHPBIO</v>
          </cell>
          <cell r="C677" t="str">
            <v>VAR_cap</v>
          </cell>
          <cell r="D677" t="str">
            <v>-</v>
          </cell>
          <cell r="I677">
            <v>8.4745598994727764E-2</v>
          </cell>
          <cell r="J677">
            <v>8.4745202058084834E-2</v>
          </cell>
          <cell r="K677">
            <v>8.4745167897398541E-2</v>
          </cell>
        </row>
        <row r="678">
          <cell r="B678" t="str">
            <v>SCOM-CHPHFC</v>
          </cell>
          <cell r="C678" t="str">
            <v>VAR_fout</v>
          </cell>
          <cell r="D678" t="str">
            <v>SCOM_KEV_HFC_ELC_CHP</v>
          </cell>
          <cell r="I678">
            <v>2.9379183745544867E-3</v>
          </cell>
          <cell r="J678">
            <v>9.2252457249678479E-3</v>
          </cell>
          <cell r="K678">
            <v>5.8481806126494664E-3</v>
          </cell>
        </row>
        <row r="679">
          <cell r="B679" t="str">
            <v>SCOM-CHPHFC</v>
          </cell>
          <cell r="C679" t="str">
            <v>VAR_fout</v>
          </cell>
          <cell r="D679" t="str">
            <v>SCOM_LTH_CHPHFC</v>
          </cell>
          <cell r="I679">
            <v>2.0299830329338587E-3</v>
          </cell>
          <cell r="J679">
            <v>5.8080339828793202E-3</v>
          </cell>
          <cell r="K679">
            <v>3.305064017802237E-3</v>
          </cell>
        </row>
        <row r="680">
          <cell r="B680" t="str">
            <v>SCOM-CHPHFC</v>
          </cell>
          <cell r="C680" t="str">
            <v>VAR_fin</v>
          </cell>
          <cell r="D680" t="str">
            <v>RSH2</v>
          </cell>
          <cell r="I680">
            <v>5.7890408116755172E-3</v>
          </cell>
          <cell r="J680">
            <v>1.7083896459854447E-2</v>
          </cell>
          <cell r="K680">
            <v>1.0170783446649255E-2</v>
          </cell>
        </row>
        <row r="681">
          <cell r="B681" t="str">
            <v>SCOM-CHPHFC</v>
          </cell>
          <cell r="C681" t="str">
            <v>VAR_ncap</v>
          </cell>
          <cell r="D681" t="str">
            <v>-</v>
          </cell>
          <cell r="I681">
            <v>1.5241893780419999E-5</v>
          </cell>
          <cell r="J681">
            <v>4.1816760460922802E-4</v>
          </cell>
          <cell r="K681">
            <v>3.3830802431611798E-5</v>
          </cell>
        </row>
        <row r="682">
          <cell r="B682" t="str">
            <v>SCOM-CHPHFC</v>
          </cell>
          <cell r="C682" t="str">
            <v>VAR_cap</v>
          </cell>
          <cell r="D682" t="str">
            <v>-</v>
          </cell>
          <cell r="I682">
            <v>1.7298456395789102E-4</v>
          </cell>
          <cell r="J682">
            <v>5.4110645851876882E-4</v>
          </cell>
          <cell r="K682">
            <v>3.4369026312673629E-4</v>
          </cell>
        </row>
        <row r="683">
          <cell r="B683" t="str">
            <v>RHES-EBAT</v>
          </cell>
          <cell r="C683" t="str">
            <v>VAR_fout</v>
          </cell>
          <cell r="D683" t="str">
            <v>RHES_ELC</v>
          </cell>
          <cell r="I683">
            <v>0.31677030103833237</v>
          </cell>
          <cell r="J683">
            <v>0.24187479076376867</v>
          </cell>
          <cell r="K683">
            <v>0.34336010936166772</v>
          </cell>
        </row>
        <row r="684">
          <cell r="B684" t="str">
            <v>RHES-EBAT</v>
          </cell>
          <cell r="C684" t="str">
            <v>VAR_fout</v>
          </cell>
          <cell r="D684" t="str">
            <v>AUX_RHES-EBAT_OUT</v>
          </cell>
          <cell r="I684">
            <v>0.3167703010383327</v>
          </cell>
          <cell r="J684">
            <v>0.2418747907637688</v>
          </cell>
          <cell r="K684">
            <v>0.343360109361668</v>
          </cell>
        </row>
        <row r="685">
          <cell r="B685" t="str">
            <v>RHES-EBAT</v>
          </cell>
          <cell r="C685" t="str">
            <v>VAR_fin</v>
          </cell>
          <cell r="D685" t="str">
            <v>RHES_ELC</v>
          </cell>
          <cell r="I685">
            <v>0.35030594461522013</v>
          </cell>
          <cell r="J685">
            <v>0.26748136272249645</v>
          </cell>
          <cell r="K685">
            <v>0.37971040390745814</v>
          </cell>
        </row>
        <row r="686">
          <cell r="B686" t="str">
            <v>RHES-EBAT</v>
          </cell>
          <cell r="C686" t="str">
            <v>VAR_fin</v>
          </cell>
          <cell r="D686" t="str">
            <v>AUX_RHES-EBAT_IN</v>
          </cell>
          <cell r="I686">
            <v>0.35030594461522013</v>
          </cell>
          <cell r="J686">
            <v>0.26748136272249645</v>
          </cell>
          <cell r="K686">
            <v>0.37971040390745814</v>
          </cell>
        </row>
        <row r="687">
          <cell r="B687" t="str">
            <v>RHES-EBAT</v>
          </cell>
          <cell r="C687" t="str">
            <v>VAR_ncap</v>
          </cell>
          <cell r="D687" t="str">
            <v>-</v>
          </cell>
          <cell r="I687">
            <v>4.61625054788216E-2</v>
          </cell>
          <cell r="J687">
            <v>0.13179032257111201</v>
          </cell>
          <cell r="K687">
            <v>0.16558277170615901</v>
          </cell>
        </row>
        <row r="688">
          <cell r="B688" t="str">
            <v>RHES-EBAT</v>
          </cell>
          <cell r="C688" t="str">
            <v>VAR_cap</v>
          </cell>
          <cell r="D688" t="str">
            <v>-</v>
          </cell>
          <cell r="I688">
            <v>0.17989718800080684</v>
          </cell>
          <cell r="J688">
            <v>0.1958574316122034</v>
          </cell>
          <cell r="K688">
            <v>0.23977710746900466</v>
          </cell>
        </row>
        <row r="689">
          <cell r="B689" t="str">
            <v>D-INGA</v>
          </cell>
          <cell r="C689" t="str">
            <v>VAR_fout</v>
          </cell>
          <cell r="D689" t="str">
            <v>CO2</v>
          </cell>
          <cell r="I689">
            <v>556.45550566288</v>
          </cell>
          <cell r="J689">
            <v>189.61715029556601</v>
          </cell>
          <cell r="K689">
            <v>81.136958148393404</v>
          </cell>
        </row>
        <row r="690">
          <cell r="B690" t="str">
            <v>D-INGA</v>
          </cell>
          <cell r="C690" t="str">
            <v>VAR_fout</v>
          </cell>
          <cell r="D690" t="str">
            <v>IH2</v>
          </cell>
          <cell r="I690">
            <v>0.35852568494749837</v>
          </cell>
          <cell r="J690">
            <v>0.1768690695880005</v>
          </cell>
          <cell r="K690">
            <v>0.11794380675988057</v>
          </cell>
        </row>
        <row r="691">
          <cell r="B691" t="str">
            <v>D-INGA</v>
          </cell>
          <cell r="C691" t="str">
            <v>VAR_fout</v>
          </cell>
          <cell r="D691" t="str">
            <v>INGA</v>
          </cell>
          <cell r="I691">
            <v>12.185156765653545</v>
          </cell>
          <cell r="J691">
            <v>5.7021968152099705</v>
          </cell>
          <cell r="K691">
            <v>3.8019043951424334</v>
          </cell>
        </row>
        <row r="692">
          <cell r="B692" t="str">
            <v>D-INGA</v>
          </cell>
          <cell r="C692" t="str">
            <v>VAR_fin</v>
          </cell>
          <cell r="D692" t="str">
            <v>NGA</v>
          </cell>
          <cell r="I692">
            <v>9.866232369909218</v>
          </cell>
          <cell r="J692">
            <v>3.3620062109142856</v>
          </cell>
          <cell r="K692">
            <v>1.4385985487303801</v>
          </cell>
        </row>
        <row r="693">
          <cell r="B693" t="str">
            <v>D-INGA</v>
          </cell>
          <cell r="C693" t="str">
            <v>VAR_fin</v>
          </cell>
          <cell r="D693" t="str">
            <v>BNGA</v>
          </cell>
          <cell r="I693">
            <v>2.3591060028574016</v>
          </cell>
          <cell r="J693">
            <v>2.3591065471461174</v>
          </cell>
          <cell r="K693">
            <v>2.3759848744216963</v>
          </cell>
        </row>
        <row r="694">
          <cell r="B694" t="str">
            <v>D-INGA</v>
          </cell>
          <cell r="C694" t="str">
            <v>VAR_fin</v>
          </cell>
          <cell r="D694" t="str">
            <v>H2</v>
          </cell>
          <cell r="I694">
            <v>0.35852534163363853</v>
          </cell>
          <cell r="J694">
            <v>0.17686817030212013</v>
          </cell>
          <cell r="K694">
            <v>0.11793967048360823</v>
          </cell>
        </row>
        <row r="695">
          <cell r="B695" t="str">
            <v>D-INGA</v>
          </cell>
          <cell r="C695" t="str">
            <v>VAR_ncap</v>
          </cell>
          <cell r="D695" t="str">
            <v>-</v>
          </cell>
          <cell r="I695">
            <v>1.0763881687035299E-6</v>
          </cell>
          <cell r="J695">
            <v>1.4836407879167699E-6</v>
          </cell>
          <cell r="K695">
            <v>3.1152095247024102E-6</v>
          </cell>
        </row>
        <row r="696">
          <cell r="B696" t="str">
            <v>D-INGA</v>
          </cell>
          <cell r="C696" t="str">
            <v>VAR_cap</v>
          </cell>
          <cell r="D696" t="str">
            <v>-</v>
          </cell>
          <cell r="I696">
            <v>1.9844859526951755</v>
          </cell>
          <cell r="J696">
            <v>1.9844874363359633</v>
          </cell>
          <cell r="K696">
            <v>1.0954666187253079</v>
          </cell>
        </row>
        <row r="697">
          <cell r="B697" t="str">
            <v>EWIND</v>
          </cell>
          <cell r="C697" t="str">
            <v>VAR_fout</v>
          </cell>
          <cell r="D697" t="str">
            <v>ELC35</v>
          </cell>
          <cell r="I697">
            <v>0.88233521255995673</v>
          </cell>
          <cell r="J697">
            <v>0.88260410561218516</v>
          </cell>
          <cell r="K697">
            <v>0.88262366583452356</v>
          </cell>
        </row>
        <row r="698">
          <cell r="B698" t="str">
            <v>EWIND</v>
          </cell>
          <cell r="C698" t="str">
            <v>VAR_fin</v>
          </cell>
          <cell r="D698" t="str">
            <v>WND</v>
          </cell>
          <cell r="I698">
            <v>0.88233521255995673</v>
          </cell>
          <cell r="J698">
            <v>0.88260410561218516</v>
          </cell>
          <cell r="K698">
            <v>0.88262366583452356</v>
          </cell>
        </row>
        <row r="699">
          <cell r="B699" t="str">
            <v>EWIND</v>
          </cell>
          <cell r="C699" t="str">
            <v>VAR_ncap</v>
          </cell>
          <cell r="D699" t="str">
            <v>-</v>
          </cell>
          <cell r="I699">
            <v>2.2900328756947499E-2</v>
          </cell>
          <cell r="J699">
            <v>2.3214853241423302E-6</v>
          </cell>
          <cell r="K699">
            <v>0.12631491737734099</v>
          </cell>
        </row>
        <row r="700">
          <cell r="B700" t="str">
            <v>EWIND</v>
          </cell>
          <cell r="C700" t="str">
            <v>VAR_cap</v>
          </cell>
          <cell r="D700" t="str">
            <v>-</v>
          </cell>
          <cell r="I700">
            <v>0.14669710680475279</v>
          </cell>
          <cell r="J700">
            <v>0.14674203134543268</v>
          </cell>
          <cell r="K700">
            <v>0.14674519968348901</v>
          </cell>
        </row>
        <row r="701">
          <cell r="B701" t="str">
            <v>EGEO</v>
          </cell>
          <cell r="C701" t="str">
            <v>VAR_fout</v>
          </cell>
          <cell r="D701" t="str">
            <v>ELC35</v>
          </cell>
          <cell r="J701">
            <v>1.4033467551029626E-3</v>
          </cell>
          <cell r="K701">
            <v>8.9618334704113269E-3</v>
          </cell>
        </row>
        <row r="702">
          <cell r="B702" t="str">
            <v>EGEO</v>
          </cell>
          <cell r="C702" t="str">
            <v>VAR_fin</v>
          </cell>
          <cell r="D702" t="str">
            <v>GEO</v>
          </cell>
          <cell r="J702">
            <v>9.355645034019755E-3</v>
          </cell>
          <cell r="K702">
            <v>5.9745556469408892E-2</v>
          </cell>
        </row>
        <row r="703">
          <cell r="B703" t="str">
            <v>EGEO</v>
          </cell>
          <cell r="C703" t="str">
            <v>VAR_ncap</v>
          </cell>
          <cell r="D703" t="str">
            <v>-</v>
          </cell>
          <cell r="J703">
            <v>3.55680010842451E-4</v>
          </cell>
          <cell r="K703">
            <v>1.2781862930717901E-7</v>
          </cell>
        </row>
        <row r="704">
          <cell r="B704" t="str">
            <v>EGEO</v>
          </cell>
          <cell r="C704" t="str">
            <v>VAR_cap</v>
          </cell>
          <cell r="D704" t="str">
            <v>-</v>
          </cell>
          <cell r="J704">
            <v>5.5681694940800602E-5</v>
          </cell>
          <cell r="K704">
            <v>3.557360083840569E-4</v>
          </cell>
        </row>
        <row r="705">
          <cell r="B705" t="str">
            <v>D-SPLT</v>
          </cell>
          <cell r="C705" t="str">
            <v>VAR_fout</v>
          </cell>
          <cell r="D705" t="str">
            <v>SPLT</v>
          </cell>
          <cell r="I705">
            <v>0.82399819145901121</v>
          </cell>
          <cell r="J705">
            <v>1.049303880367797</v>
          </cell>
          <cell r="K705">
            <v>1.0769693757972589</v>
          </cell>
        </row>
        <row r="706">
          <cell r="B706" t="str">
            <v>D-SPLT</v>
          </cell>
          <cell r="C706" t="str">
            <v>VAR_fin</v>
          </cell>
          <cell r="D706" t="str">
            <v>PLT</v>
          </cell>
          <cell r="I706">
            <v>0.82399819145901121</v>
          </cell>
          <cell r="J706">
            <v>1.049303880367797</v>
          </cell>
          <cell r="K706">
            <v>1.0769693757972589</v>
          </cell>
        </row>
        <row r="707">
          <cell r="B707" t="str">
            <v>RHES-ESOLPV</v>
          </cell>
          <cell r="C707" t="str">
            <v>VAR_fout</v>
          </cell>
          <cell r="D707" t="str">
            <v>RHES_SOL_ELC</v>
          </cell>
          <cell r="I707">
            <v>4.6111602430334617</v>
          </cell>
          <cell r="J707">
            <v>4.894551616966675</v>
          </cell>
          <cell r="K707">
            <v>5.5146525566576683</v>
          </cell>
        </row>
        <row r="708">
          <cell r="B708" t="str">
            <v>RHES-ESOLPV</v>
          </cell>
          <cell r="C708" t="str">
            <v>VAR_fin</v>
          </cell>
          <cell r="D708" t="str">
            <v>SOL</v>
          </cell>
          <cell r="I708">
            <v>4.6111602430334617</v>
          </cell>
          <cell r="J708">
            <v>4.894551616966675</v>
          </cell>
          <cell r="K708">
            <v>5.5146525566576683</v>
          </cell>
        </row>
        <row r="709">
          <cell r="B709" t="str">
            <v>RHES-ESOLPV</v>
          </cell>
          <cell r="C709" t="str">
            <v>VAR_fin</v>
          </cell>
          <cell r="D709" t="str">
            <v>SOLPVC</v>
          </cell>
          <cell r="I709">
            <v>4.6111602430334599</v>
          </cell>
          <cell r="J709">
            <v>4.8945516169666803</v>
          </cell>
          <cell r="K709">
            <v>5.5146525566576701</v>
          </cell>
        </row>
        <row r="710">
          <cell r="B710" t="str">
            <v>RHES-ESOLPV</v>
          </cell>
          <cell r="C710" t="str">
            <v>VAR_ncap</v>
          </cell>
          <cell r="D710" t="str">
            <v>-</v>
          </cell>
          <cell r="I710">
            <v>0.29984641809596702</v>
          </cell>
          <cell r="J710">
            <v>0.66480098203661897</v>
          </cell>
          <cell r="K710">
            <v>0.68597111279789702</v>
          </cell>
        </row>
        <row r="711">
          <cell r="B711" t="str">
            <v>RHES-ESOLPV</v>
          </cell>
          <cell r="C711" t="str">
            <v>VAR_cap</v>
          </cell>
          <cell r="D711" t="str">
            <v>-</v>
          </cell>
          <cell r="I711">
            <v>1.329264143770803</v>
          </cell>
          <cell r="J711">
            <v>1.410957910045755</v>
          </cell>
          <cell r="K711">
            <v>1.58971443379917</v>
          </cell>
        </row>
        <row r="712">
          <cell r="B712" t="str">
            <v>SUP_DAC</v>
          </cell>
          <cell r="C712" t="str">
            <v>VAR_fout</v>
          </cell>
          <cell r="D712" t="str">
            <v>CO2_O</v>
          </cell>
          <cell r="J712">
            <v>3.2815633244499824E-3</v>
          </cell>
          <cell r="K712">
            <v>8.8840290407978164E-3</v>
          </cell>
        </row>
        <row r="713">
          <cell r="B713" t="str">
            <v>SUP_DAC</v>
          </cell>
          <cell r="C713" t="str">
            <v>VAR_fout</v>
          </cell>
          <cell r="D713" t="str">
            <v>CO2</v>
          </cell>
          <cell r="J713">
            <v>-3.2815633244499798E-3</v>
          </cell>
          <cell r="K713">
            <v>-8.8840290407978199E-3</v>
          </cell>
        </row>
        <row r="714">
          <cell r="B714" t="str">
            <v>SUP_DAC</v>
          </cell>
          <cell r="C714" t="str">
            <v>VAR_fin</v>
          </cell>
          <cell r="D714" t="str">
            <v>CHEAT</v>
          </cell>
          <cell r="J714">
            <v>2.1819706301588737E-5</v>
          </cell>
          <cell r="K714">
            <v>5.6624762148560522E-5</v>
          </cell>
        </row>
        <row r="715">
          <cell r="B715" t="str">
            <v>SUP_DAC</v>
          </cell>
          <cell r="C715" t="str">
            <v>VAR_fin</v>
          </cell>
          <cell r="D715" t="str">
            <v>CELC</v>
          </cell>
          <cell r="J715">
            <v>4.5504344765706374E-6</v>
          </cell>
          <cell r="K715">
            <v>8.084466427126017E-6</v>
          </cell>
        </row>
        <row r="716">
          <cell r="B716" t="str">
            <v>SUP_DAC</v>
          </cell>
          <cell r="C716" t="str">
            <v>VAR_ncap</v>
          </cell>
          <cell r="D716" t="str">
            <v>-</v>
          </cell>
          <cell r="J716">
            <v>1.02727890690578E-3</v>
          </cell>
          <cell r="K716">
            <v>9.4194212673920504E-4</v>
          </cell>
        </row>
        <row r="717">
          <cell r="B717" t="str">
            <v>SUP_DAC</v>
          </cell>
          <cell r="C717" t="str">
            <v>VAR_cap</v>
          </cell>
          <cell r="D717" t="str">
            <v>-</v>
          </cell>
          <cell r="J717">
            <v>1.02727890690578E-3</v>
          </cell>
          <cell r="K717">
            <v>1.6824029281511832E-3</v>
          </cell>
        </row>
        <row r="718">
          <cell r="B718" t="str">
            <v>EHYD-DAM10</v>
          </cell>
          <cell r="C718" t="str">
            <v>VAR_fout</v>
          </cell>
          <cell r="D718" t="str">
            <v>ELC</v>
          </cell>
          <cell r="I718">
            <v>0.72337118746702933</v>
          </cell>
          <cell r="J718">
            <v>0.72875769474097851</v>
          </cell>
          <cell r="K718">
            <v>0.73032078048824656</v>
          </cell>
        </row>
        <row r="719">
          <cell r="B719" t="str">
            <v>EHYD-DAM10</v>
          </cell>
          <cell r="C719" t="str">
            <v>VAR_fin</v>
          </cell>
          <cell r="D719" t="str">
            <v>HYDD</v>
          </cell>
          <cell r="I719">
            <v>0.72337118746702933</v>
          </cell>
          <cell r="J719">
            <v>0.72875769474097851</v>
          </cell>
          <cell r="K719">
            <v>0.73032078048824656</v>
          </cell>
        </row>
        <row r="720">
          <cell r="B720" t="str">
            <v>EHYD-DAM10</v>
          </cell>
          <cell r="C720" t="str">
            <v>VAR_ncap</v>
          </cell>
          <cell r="D720" t="str">
            <v>-</v>
          </cell>
          <cell r="I720">
            <v>3.5156479109605901E-7</v>
          </cell>
          <cell r="J720">
            <v>1.5618439388646401E-7</v>
          </cell>
          <cell r="K720">
            <v>3.9062482596023499E-8</v>
          </cell>
        </row>
        <row r="721">
          <cell r="B721" t="str">
            <v>EHYD-DAM10</v>
          </cell>
          <cell r="C721" t="str">
            <v>VAR_cap</v>
          </cell>
          <cell r="D721" t="str">
            <v>-</v>
          </cell>
          <cell r="I721">
            <v>7.5271218959784905E-2</v>
          </cell>
          <cell r="J721">
            <v>7.5271375144178795E-2</v>
          </cell>
          <cell r="K721">
            <v>7.5271414206661405E-2</v>
          </cell>
        </row>
        <row r="722">
          <cell r="B722" t="str">
            <v>DH-EBAT</v>
          </cell>
          <cell r="C722" t="str">
            <v>VAR_fout</v>
          </cell>
          <cell r="D722" t="str">
            <v>ELC35</v>
          </cell>
          <cell r="I722">
            <v>3.2298870436889351E-2</v>
          </cell>
          <cell r="J722">
            <v>0.44119695899260764</v>
          </cell>
          <cell r="K722">
            <v>1.4256712863811478</v>
          </cell>
        </row>
        <row r="723">
          <cell r="B723" t="str">
            <v>DH-EBAT</v>
          </cell>
          <cell r="C723" t="str">
            <v>VAR_fout</v>
          </cell>
          <cell r="D723" t="str">
            <v>AUX_DH-EBAT_OUT</v>
          </cell>
          <cell r="I723">
            <v>3.2298870436889345E-2</v>
          </cell>
          <cell r="J723">
            <v>0.44119695899260747</v>
          </cell>
          <cell r="K723">
            <v>1.4256712863811474</v>
          </cell>
        </row>
        <row r="724">
          <cell r="B724" t="str">
            <v>DH-EBAT</v>
          </cell>
          <cell r="C724" t="str">
            <v>VAR_fin</v>
          </cell>
          <cell r="D724" t="str">
            <v>ELC35</v>
          </cell>
          <cell r="I724">
            <v>3.6119545736192867E-2</v>
          </cell>
          <cell r="J724">
            <v>0.49336047700715452</v>
          </cell>
          <cell r="K724">
            <v>1.5942298971075759</v>
          </cell>
        </row>
        <row r="725">
          <cell r="B725" t="str">
            <v>DH-EBAT</v>
          </cell>
          <cell r="C725" t="str">
            <v>VAR_fin</v>
          </cell>
          <cell r="D725" t="str">
            <v>AUX_DH-EBAT_IN</v>
          </cell>
          <cell r="I725">
            <v>3.6119545736192867E-2</v>
          </cell>
          <cell r="J725">
            <v>0.49336047700715452</v>
          </cell>
          <cell r="K725">
            <v>1.5942298971075759</v>
          </cell>
        </row>
        <row r="726">
          <cell r="B726" t="str">
            <v>DH-EBAT</v>
          </cell>
          <cell r="C726" t="str">
            <v>VAR_ncap</v>
          </cell>
          <cell r="D726" t="str">
            <v>-</v>
          </cell>
          <cell r="I726">
            <v>3.3570997984470798E-3</v>
          </cell>
          <cell r="J726">
            <v>0.23387636428665701</v>
          </cell>
          <cell r="K726">
            <v>0.248850775954643</v>
          </cell>
        </row>
        <row r="727">
          <cell r="B727" t="str">
            <v>DH-EBAT</v>
          </cell>
          <cell r="C727" t="str">
            <v>VAR_cap</v>
          </cell>
          <cell r="D727" t="str">
            <v>-</v>
          </cell>
          <cell r="I727">
            <v>9.6637038464675567E-3</v>
          </cell>
          <cell r="J727">
            <v>0.23802529752427812</v>
          </cell>
          <cell r="K727">
            <v>0.3667298182924103</v>
          </cell>
        </row>
        <row r="728">
          <cell r="B728" t="str">
            <v>RHEM-EBAT</v>
          </cell>
          <cell r="C728" t="str">
            <v>VAR_fout</v>
          </cell>
          <cell r="D728" t="str">
            <v>RHEM_ELC</v>
          </cell>
          <cell r="I728">
            <v>5.9434939060105212E-2</v>
          </cell>
          <cell r="J728">
            <v>4.4455646879316274E-2</v>
          </cell>
          <cell r="K728">
            <v>6.2299006873491457E-2</v>
          </cell>
        </row>
        <row r="729">
          <cell r="B729" t="str">
            <v>RHEM-EBAT</v>
          </cell>
          <cell r="C729" t="str">
            <v>VAR_fout</v>
          </cell>
          <cell r="D729" t="str">
            <v>AUX_RHEM-EBAT_OUT</v>
          </cell>
          <cell r="I729">
            <v>5.943493906010526E-2</v>
          </cell>
          <cell r="J729">
            <v>4.4455646879316302E-2</v>
          </cell>
          <cell r="K729">
            <v>6.2299006873491512E-2</v>
          </cell>
        </row>
        <row r="730">
          <cell r="B730" t="str">
            <v>RHEM-EBAT</v>
          </cell>
          <cell r="C730" t="str">
            <v>VAR_fin</v>
          </cell>
          <cell r="D730" t="str">
            <v>RHEM_ELC</v>
          </cell>
          <cell r="I730">
            <v>6.5727826944486506E-2</v>
          </cell>
          <cell r="J730">
            <v>4.9162481372788266E-2</v>
          </cell>
          <cell r="K730">
            <v>6.8894825039156768E-2</v>
          </cell>
        </row>
        <row r="731">
          <cell r="B731" t="str">
            <v>RHEM-EBAT</v>
          </cell>
          <cell r="C731" t="str">
            <v>VAR_fin</v>
          </cell>
          <cell r="D731" t="str">
            <v>AUX_RHEM-EBAT_IN</v>
          </cell>
          <cell r="I731">
            <v>6.5727826944486506E-2</v>
          </cell>
          <cell r="J731">
            <v>4.9162481372788266E-2</v>
          </cell>
          <cell r="K731">
            <v>6.8894825039156768E-2</v>
          </cell>
        </row>
        <row r="732">
          <cell r="B732" t="str">
            <v>RHEM-EBAT</v>
          </cell>
          <cell r="C732" t="str">
            <v>VAR_ncap</v>
          </cell>
          <cell r="D732" t="str">
            <v>-</v>
          </cell>
          <cell r="I732">
            <v>1.17847299113201E-2</v>
          </cell>
          <cell r="J732">
            <v>1.9328679547710399E-2</v>
          </cell>
          <cell r="K732">
            <v>2.7913058267074301E-2</v>
          </cell>
        </row>
        <row r="733">
          <cell r="B733" t="str">
            <v>RHEM-EBAT</v>
          </cell>
          <cell r="C733" t="str">
            <v>VAR_cap</v>
          </cell>
          <cell r="D733" t="str">
            <v>-</v>
          </cell>
          <cell r="I733">
            <v>3.0073738061000915E-2</v>
          </cell>
          <cell r="J733">
            <v>3.2651985445280925E-2</v>
          </cell>
          <cell r="K733">
            <v>3.9674376169587224E-2</v>
          </cell>
        </row>
        <row r="734">
          <cell r="B734" t="str">
            <v>HPLGEO</v>
          </cell>
          <cell r="C734" t="str">
            <v>VAR_fout</v>
          </cell>
          <cell r="D734" t="str">
            <v>LTH</v>
          </cell>
          <cell r="J734">
            <v>1.0131147414187707E-4</v>
          </cell>
          <cell r="K734">
            <v>1.0351081396703227E-4</v>
          </cell>
        </row>
        <row r="735">
          <cell r="B735" t="str">
            <v>HPLGEO</v>
          </cell>
          <cell r="C735" t="str">
            <v>VAR_fin</v>
          </cell>
          <cell r="D735" t="str">
            <v>GEO</v>
          </cell>
          <cell r="J735">
            <v>1.1918996957867882E-4</v>
          </cell>
          <cell r="K735">
            <v>1.2177742819650863E-4</v>
          </cell>
        </row>
        <row r="736">
          <cell r="B736" t="str">
            <v>HPLGEO</v>
          </cell>
          <cell r="C736" t="str">
            <v>VAR_ncap</v>
          </cell>
          <cell r="D736" t="str">
            <v>-</v>
          </cell>
          <cell r="J736">
            <v>7.3693652657368998E-6</v>
          </cell>
          <cell r="K736">
            <v>1.16978043022349E-7</v>
          </cell>
        </row>
        <row r="737">
          <cell r="B737" t="str">
            <v>HPLGEO</v>
          </cell>
          <cell r="C737" t="str">
            <v>VAR_cap</v>
          </cell>
          <cell r="D737" t="str">
            <v>-</v>
          </cell>
          <cell r="J737">
            <v>7.3693652657368998E-6</v>
          </cell>
          <cell r="K737">
            <v>7.4863433087592496E-6</v>
          </cell>
        </row>
        <row r="738">
          <cell r="B738" t="str">
            <v>EHYD-PUM15</v>
          </cell>
          <cell r="C738" t="str">
            <v>VAR_fout</v>
          </cell>
          <cell r="D738" t="str">
            <v>ELC</v>
          </cell>
          <cell r="I738">
            <v>1.9464733605599645E-3</v>
          </cell>
          <cell r="J738">
            <v>1.8880068134552157E-3</v>
          </cell>
          <cell r="K738">
            <v>1.7737645095638435E-3</v>
          </cell>
        </row>
        <row r="739">
          <cell r="B739" t="str">
            <v>EHYD-PUM15</v>
          </cell>
          <cell r="C739" t="str">
            <v>VAR_fout</v>
          </cell>
          <cell r="D739" t="str">
            <v>AUX_PUMP_OUT</v>
          </cell>
          <cell r="I739">
            <v>1.9464733605599645E-3</v>
          </cell>
          <cell r="J739">
            <v>1.8880068134552157E-3</v>
          </cell>
          <cell r="K739">
            <v>1.7737645095638435E-3</v>
          </cell>
        </row>
        <row r="740">
          <cell r="B740" t="str">
            <v>EHYD-PUM15</v>
          </cell>
          <cell r="C740" t="str">
            <v>VAR_fin</v>
          </cell>
          <cell r="D740" t="str">
            <v>AUX_PUMP_IN</v>
          </cell>
          <cell r="I740">
            <v>2.4319918862749706E-3</v>
          </cell>
          <cell r="J740">
            <v>2.3589121499969705E-3</v>
          </cell>
          <cell r="K740">
            <v>2.2161050801925313E-3</v>
          </cell>
        </row>
        <row r="741">
          <cell r="B741" t="str">
            <v>EHYD-PUM15</v>
          </cell>
          <cell r="C741" t="str">
            <v>VAR_fin</v>
          </cell>
          <cell r="D741" t="str">
            <v>ELC</v>
          </cell>
          <cell r="I741">
            <v>2.4319918862749706E-3</v>
          </cell>
          <cell r="J741">
            <v>2.3589121499969705E-3</v>
          </cell>
          <cell r="K741">
            <v>2.2161050801925313E-3</v>
          </cell>
        </row>
        <row r="742">
          <cell r="B742" t="str">
            <v>EHYD-PUM15</v>
          </cell>
          <cell r="C742" t="str">
            <v>VAR_ncap</v>
          </cell>
          <cell r="D742" t="str">
            <v>-</v>
          </cell>
          <cell r="I742">
            <v>5.8332082944127999E-8</v>
          </cell>
          <cell r="J742">
            <v>1.0151666519380601E-7</v>
          </cell>
          <cell r="K742">
            <v>3.80182141971467E-7</v>
          </cell>
        </row>
        <row r="743">
          <cell r="B743" t="str">
            <v>EHYD-PUM15</v>
          </cell>
          <cell r="C743" t="str">
            <v>VAR_cap</v>
          </cell>
          <cell r="D743" t="str">
            <v>-</v>
          </cell>
          <cell r="I743">
            <v>1.7263392197175201E-4</v>
          </cell>
          <cell r="J743">
            <v>1.7269070048975201E-4</v>
          </cell>
          <cell r="K743">
            <v>1.72893007714154E-4</v>
          </cell>
        </row>
        <row r="744">
          <cell r="B744" t="str">
            <v>D-EWST</v>
          </cell>
          <cell r="C744" t="str">
            <v>VAR_fout</v>
          </cell>
          <cell r="D744" t="str">
            <v>CO2</v>
          </cell>
          <cell r="I744">
            <v>2240.4529986656898</v>
          </cell>
          <cell r="J744">
            <v>2460.2760161187002</v>
          </cell>
          <cell r="K744">
            <v>2552.91259028181</v>
          </cell>
        </row>
        <row r="745">
          <cell r="B745" t="str">
            <v>D-EWST</v>
          </cell>
          <cell r="C745" t="str">
            <v>VAR_fout</v>
          </cell>
          <cell r="D745" t="str">
            <v>EWST</v>
          </cell>
          <cell r="I745">
            <v>48.285641905151493</v>
          </cell>
          <cell r="J745">
            <v>53.023190002558174</v>
          </cell>
          <cell r="K745">
            <v>55.019667894004463</v>
          </cell>
        </row>
        <row r="746">
          <cell r="B746" t="str">
            <v>D-EWST</v>
          </cell>
          <cell r="C746" t="str">
            <v>VAR_fin</v>
          </cell>
          <cell r="D746" t="str">
            <v>WSTNREN</v>
          </cell>
          <cell r="I746">
            <v>24.14281248562169</v>
          </cell>
          <cell r="J746">
            <v>26.511595001279076</v>
          </cell>
          <cell r="K746">
            <v>27.509833947002232</v>
          </cell>
        </row>
        <row r="747">
          <cell r="B747" t="str">
            <v>D-EWST</v>
          </cell>
          <cell r="C747" t="str">
            <v>VAR_fin</v>
          </cell>
          <cell r="D747" t="str">
            <v>WSTREN</v>
          </cell>
          <cell r="I747">
            <v>24.14281248562169</v>
          </cell>
          <cell r="J747">
            <v>26.511595001279076</v>
          </cell>
          <cell r="K747">
            <v>27.509833947002232</v>
          </cell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2040</v>
          </cell>
          <cell r="E3" t="str">
            <v>2050</v>
          </cell>
        </row>
        <row r="4">
          <cell r="A4" t="str">
            <v>CO2_M</v>
          </cell>
          <cell r="B4" t="str">
            <v>VAR_fout</v>
          </cell>
          <cell r="C4" t="str">
            <v>D-CO2_O</v>
          </cell>
          <cell r="D4">
            <v>1129.1250333041655</v>
          </cell>
          <cell r="E4">
            <v>1214.1596355248303</v>
          </cell>
        </row>
        <row r="5">
          <cell r="A5" t="str">
            <v>CO2_M</v>
          </cell>
          <cell r="B5" t="str">
            <v>VAR_fin</v>
          </cell>
          <cell r="C5" t="str">
            <v>SUP_H2NGA</v>
          </cell>
          <cell r="D5">
            <v>985.01032570541565</v>
          </cell>
          <cell r="E5">
            <v>1055.2837179025205</v>
          </cell>
        </row>
        <row r="6">
          <cell r="A6" t="str">
            <v>CO2_M</v>
          </cell>
          <cell r="B6" t="str">
            <v>VAR_fin</v>
          </cell>
          <cell r="C6" t="str">
            <v>SUP_H2GSL</v>
          </cell>
          <cell r="D6">
            <v>122.90348284942495</v>
          </cell>
          <cell r="E6">
            <v>62.05694345304336</v>
          </cell>
        </row>
        <row r="7">
          <cell r="A7" t="str">
            <v>CO2_M</v>
          </cell>
          <cell r="B7" t="str">
            <v>VAR_fin</v>
          </cell>
          <cell r="C7" t="str">
            <v>SUP_H2DSL</v>
          </cell>
          <cell r="D7">
            <v>21.211224749323819</v>
          </cell>
          <cell r="E7">
            <v>96.818974169267264</v>
          </cell>
        </row>
        <row r="8">
          <cell r="A8" t="str">
            <v>CO2_O</v>
          </cell>
          <cell r="B8" t="str">
            <v>VAR_fout</v>
          </cell>
          <cell r="C8" t="str">
            <v>EWSTINCCS</v>
          </cell>
          <cell r="D8">
            <v>728.39297976032844</v>
          </cell>
          <cell r="E8">
            <v>2395.868938103969</v>
          </cell>
        </row>
        <row r="9">
          <cell r="A9" t="str">
            <v>CO2_O</v>
          </cell>
          <cell r="B9" t="str">
            <v>VAR_fout</v>
          </cell>
          <cell r="C9" t="str">
            <v>CHPWSTCCS</v>
          </cell>
          <cell r="D9">
            <v>812.50746495932844</v>
          </cell>
          <cell r="E9">
            <v>2286.0123862451564</v>
          </cell>
        </row>
        <row r="10">
          <cell r="A10" t="str">
            <v>CO2_O</v>
          </cell>
          <cell r="B10" t="str">
            <v>VAR_fout</v>
          </cell>
          <cell r="C10" t="str">
            <v>ITOT-CHPWSTCCS</v>
          </cell>
          <cell r="D10">
            <v>142.86171892022534</v>
          </cell>
          <cell r="E10">
            <v>387.60569958171226</v>
          </cell>
        </row>
        <row r="11">
          <cell r="A11" t="str">
            <v>CO2_O</v>
          </cell>
          <cell r="B11" t="str">
            <v>VAR_fout</v>
          </cell>
          <cell r="C11" t="str">
            <v>ITOT-CHPNGACCS</v>
          </cell>
          <cell r="D11">
            <v>2.0394712881543509</v>
          </cell>
          <cell r="E11">
            <v>38.009953900870975</v>
          </cell>
        </row>
        <row r="12">
          <cell r="A12" t="str">
            <v>CO2_O</v>
          </cell>
          <cell r="B12" t="str">
            <v>VAR_fout</v>
          </cell>
          <cell r="C12" t="str">
            <v>ITOT-CHPWODCCS</v>
          </cell>
          <cell r="D12">
            <v>167.1949506046646</v>
          </cell>
          <cell r="E12">
            <v>437.18381783367494</v>
          </cell>
        </row>
        <row r="13">
          <cell r="A13" t="str">
            <v>CO2_O</v>
          </cell>
          <cell r="B13" t="str">
            <v>VAR_fout</v>
          </cell>
          <cell r="C13" t="str">
            <v>EWOD-CCS</v>
          </cell>
          <cell r="D13">
            <v>0.46038320002174843</v>
          </cell>
          <cell r="E13">
            <v>412.56170579650586</v>
          </cell>
        </row>
        <row r="14">
          <cell r="A14" t="str">
            <v>CO2_O</v>
          </cell>
          <cell r="B14" t="str">
            <v>VAR_fout</v>
          </cell>
          <cell r="C14" t="str">
            <v>ITOT-PROCESSCO2CCS</v>
          </cell>
          <cell r="D14">
            <v>8.0750042500253458E-2</v>
          </cell>
          <cell r="E14">
            <v>956.58291811530285</v>
          </cell>
        </row>
        <row r="15">
          <cell r="A15" t="str">
            <v>CO2_O</v>
          </cell>
          <cell r="B15" t="str">
            <v>VAR_fout</v>
          </cell>
          <cell r="C15" t="str">
            <v>SUP_NGAH2CCS</v>
          </cell>
          <cell r="E15">
            <v>1.4210538791761611E-2</v>
          </cell>
        </row>
        <row r="16">
          <cell r="A16" t="str">
            <v>CO2_O</v>
          </cell>
          <cell r="B16" t="str">
            <v>VAR_fout</v>
          </cell>
          <cell r="C16" t="str">
            <v>SUP_DAC</v>
          </cell>
          <cell r="D16">
            <v>3.2815633244499824E-3</v>
          </cell>
          <cell r="E16">
            <v>8.8840290407978164E-3</v>
          </cell>
        </row>
        <row r="17">
          <cell r="A17" t="str">
            <v>CO2_O</v>
          </cell>
          <cell r="B17" t="str">
            <v>VAR_fin</v>
          </cell>
          <cell r="C17" t="str">
            <v>D-CO2_O</v>
          </cell>
          <cell r="D17">
            <v>1853.5214591502133</v>
          </cell>
          <cell r="E17">
            <v>6913.8266985993978</v>
          </cell>
        </row>
        <row r="18">
          <cell r="A18" t="str">
            <v>CO2_Q</v>
          </cell>
          <cell r="B18" t="str">
            <v>VAR_fout</v>
          </cell>
          <cell r="C18" t="str">
            <v>D-CO2_O</v>
          </cell>
          <cell r="D18">
            <v>724.39642584604712</v>
          </cell>
          <cell r="E18">
            <v>3511.8171545936943</v>
          </cell>
        </row>
        <row r="19">
          <cell r="A19" t="str">
            <v>CO2_Q</v>
          </cell>
          <cell r="B19" t="str">
            <v>VAR_fin</v>
          </cell>
          <cell r="C19" t="str">
            <v>CO2SINK</v>
          </cell>
          <cell r="D19">
            <v>724.39642584604712</v>
          </cell>
          <cell r="E19">
            <v>3511.8171545936943</v>
          </cell>
        </row>
        <row r="20">
          <cell r="A20" t="str">
            <v>CO2_X</v>
          </cell>
          <cell r="B20" t="str">
            <v>VAR_fout</v>
          </cell>
          <cell r="C20" t="str">
            <v>D-CO2_O</v>
          </cell>
          <cell r="E20">
            <v>2187.8499084808836</v>
          </cell>
        </row>
        <row r="21">
          <cell r="A21" t="str">
            <v>CO2_X</v>
          </cell>
          <cell r="B21" t="str">
            <v>VAR_fin</v>
          </cell>
          <cell r="C21" t="str">
            <v>CO2EXP</v>
          </cell>
          <cell r="E21">
            <v>2187.8499084808836</v>
          </cell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IMPBDS1</v>
          </cell>
          <cell r="C4" t="str">
            <v>BDS1</v>
          </cell>
          <cell r="H4">
            <v>16.4685843309259</v>
          </cell>
          <cell r="I4">
            <v>27.050436183173598</v>
          </cell>
          <cell r="J4">
            <v>74.082841312771805</v>
          </cell>
        </row>
        <row r="5">
          <cell r="A5" t="str">
            <v>EXPELC_DE</v>
          </cell>
          <cell r="C5" t="str">
            <v>ELC_E-DE</v>
          </cell>
          <cell r="H5">
            <v>5.1026639012443763E-4</v>
          </cell>
          <cell r="I5">
            <v>9.7891078312534337E-4</v>
          </cell>
          <cell r="J5">
            <v>2.7547550337927561E-4</v>
          </cell>
        </row>
        <row r="6">
          <cell r="A6" t="str">
            <v>IMPDSL</v>
          </cell>
          <cell r="C6" t="str">
            <v>DSL</v>
          </cell>
          <cell r="H6">
            <v>32.383459577704294</v>
          </cell>
          <cell r="I6">
            <v>14.542963617114063</v>
          </cell>
        </row>
        <row r="7">
          <cell r="A7" t="str">
            <v>IMPELC_AT</v>
          </cell>
          <cell r="C7" t="str">
            <v>ELC_I-AT</v>
          </cell>
          <cell r="H7">
            <v>0.10393982516255704</v>
          </cell>
          <cell r="I7">
            <v>5.217736418173817E-2</v>
          </cell>
          <cell r="J7">
            <v>7.1817293138214362</v>
          </cell>
        </row>
        <row r="8">
          <cell r="A8" t="str">
            <v>IMPELC_AT</v>
          </cell>
          <cell r="C8" t="str">
            <v>ELCS</v>
          </cell>
          <cell r="H8">
            <v>0.10393982516255704</v>
          </cell>
          <cell r="I8">
            <v>5.217736418173817E-2</v>
          </cell>
          <cell r="J8">
            <v>7.1817293138214362</v>
          </cell>
        </row>
        <row r="9">
          <cell r="A9" t="str">
            <v>IMPELC_FR</v>
          </cell>
          <cell r="C9" t="str">
            <v>ELC_I-FR</v>
          </cell>
          <cell r="H9">
            <v>17.616231313908145</v>
          </cell>
          <cell r="I9">
            <v>9.0286580692247362</v>
          </cell>
          <cell r="J9">
            <v>6.2146845055808422</v>
          </cell>
        </row>
        <row r="10">
          <cell r="A10" t="str">
            <v>IMPELC_FR</v>
          </cell>
          <cell r="C10" t="str">
            <v>ELCS</v>
          </cell>
          <cell r="H10">
            <v>17.616231313908145</v>
          </cell>
          <cell r="I10">
            <v>9.0286580692247362</v>
          </cell>
          <cell r="J10">
            <v>6.2146845055808422</v>
          </cell>
        </row>
        <row r="11">
          <cell r="A11" t="str">
            <v>RNWHYDR1</v>
          </cell>
          <cell r="C11" t="str">
            <v>HYDR</v>
          </cell>
          <cell r="H11">
            <v>65.039957519478918</v>
          </cell>
          <cell r="I11">
            <v>64.381689547413245</v>
          </cell>
          <cell r="J11">
            <v>67.134973788047247</v>
          </cell>
        </row>
        <row r="12">
          <cell r="A12" t="str">
            <v>EXPELC_IT</v>
          </cell>
          <cell r="C12" t="str">
            <v>ELC_E-IT</v>
          </cell>
          <cell r="H12">
            <v>36.598924575090109</v>
          </cell>
          <cell r="I12">
            <v>26.973436074164869</v>
          </cell>
          <cell r="J12">
            <v>20.769526865554383</v>
          </cell>
        </row>
        <row r="13">
          <cell r="A13" t="str">
            <v>IMPLNG</v>
          </cell>
          <cell r="C13" t="str">
            <v>LBIO</v>
          </cell>
          <cell r="H13">
            <v>8.8874659378202392E-4</v>
          </cell>
          <cell r="I13">
            <v>4.1402559439708911E-4</v>
          </cell>
        </row>
        <row r="14">
          <cell r="A14" t="str">
            <v>IMPLNG</v>
          </cell>
          <cell r="C14" t="str">
            <v>LNGA</v>
          </cell>
          <cell r="H14">
            <v>2.1348205425635309E-3</v>
          </cell>
          <cell r="I14">
            <v>1.5311408915099089E-3</v>
          </cell>
        </row>
        <row r="15">
          <cell r="A15" t="str">
            <v>IMPURN1</v>
          </cell>
          <cell r="C15" t="str">
            <v>URN</v>
          </cell>
          <cell r="H15">
            <v>190.4978221908591</v>
          </cell>
          <cell r="I15">
            <v>190.48508938193655</v>
          </cell>
          <cell r="J15">
            <v>102.30469192810477</v>
          </cell>
        </row>
        <row r="16">
          <cell r="A16" t="str">
            <v>EXPELC_AT</v>
          </cell>
          <cell r="C16" t="str">
            <v>ELC_E-AT</v>
          </cell>
          <cell r="H16">
            <v>1.5320603657720036E-4</v>
          </cell>
          <cell r="I16">
            <v>1.6240304236260329E-4</v>
          </cell>
          <cell r="J16">
            <v>1.0391081300928826E-4</v>
          </cell>
        </row>
        <row r="17">
          <cell r="A17" t="str">
            <v>EXPELC_FR</v>
          </cell>
          <cell r="C17" t="str">
            <v>ELC_E-FR</v>
          </cell>
          <cell r="H17">
            <v>4.2459759380621885E-4</v>
          </cell>
          <cell r="I17">
            <v>1.3110671721091049E-3</v>
          </cell>
          <cell r="J17">
            <v>9.9842933423171035E-4</v>
          </cell>
        </row>
        <row r="18">
          <cell r="A18" t="str">
            <v>RNWWND1</v>
          </cell>
          <cell r="C18" t="str">
            <v>WND</v>
          </cell>
          <cell r="H18">
            <v>0.87512944928762193</v>
          </cell>
          <cell r="I18">
            <v>0.87513221593956303</v>
          </cell>
          <cell r="J18">
            <v>0.87512959580925864</v>
          </cell>
        </row>
        <row r="19">
          <cell r="A19" t="str">
            <v>RNWWND2</v>
          </cell>
          <cell r="C19" t="str">
            <v>WND</v>
          </cell>
          <cell r="H19">
            <v>3.7658055409247938E-3</v>
          </cell>
          <cell r="I19">
            <v>4.0606674500476558E-3</v>
          </cell>
          <cell r="J19">
            <v>4.7987755212531699E-3</v>
          </cell>
        </row>
        <row r="20">
          <cell r="A20" t="str">
            <v>RNWMNR1</v>
          </cell>
          <cell r="C20" t="str">
            <v>MNR</v>
          </cell>
          <cell r="H20">
            <v>12.540430762020369</v>
          </cell>
          <cell r="I20">
            <v>12.540426534176708</v>
          </cell>
          <cell r="J20">
            <v>12.540426322896787</v>
          </cell>
        </row>
        <row r="21">
          <cell r="A21" t="str">
            <v>RNWWND3</v>
          </cell>
          <cell r="C21" t="str">
            <v>WND</v>
          </cell>
          <cell r="H21">
            <v>1.8351851817350294E-3</v>
          </cell>
          <cell r="I21">
            <v>1.9896378183607778E-3</v>
          </cell>
          <cell r="J21">
            <v>1.65647143590454E-3</v>
          </cell>
        </row>
        <row r="22">
          <cell r="A22" t="str">
            <v>RNWMNR2</v>
          </cell>
          <cell r="C22" t="str">
            <v>MNR</v>
          </cell>
          <cell r="I22">
            <v>2.0900683523124295</v>
          </cell>
          <cell r="J22">
            <v>2.091633045707622</v>
          </cell>
        </row>
        <row r="23">
          <cell r="A23" t="str">
            <v>RNWWND4</v>
          </cell>
          <cell r="C23" t="str">
            <v>WND</v>
          </cell>
          <cell r="H23">
            <v>9.966199771623593E-4</v>
          </cell>
          <cell r="I23">
            <v>8.9706549745658033E-4</v>
          </cell>
          <cell r="J23">
            <v>6.6896129781534479E-4</v>
          </cell>
        </row>
        <row r="24">
          <cell r="A24" t="str">
            <v>RNWMNR3</v>
          </cell>
          <cell r="C24" t="str">
            <v>MNR</v>
          </cell>
          <cell r="I24">
            <v>1.9889200158057746E-3</v>
          </cell>
          <cell r="J24">
            <v>4.3256045935917848E-4</v>
          </cell>
        </row>
        <row r="25">
          <cell r="A25" t="str">
            <v>IMPLFO1</v>
          </cell>
          <cell r="C25" t="str">
            <v>LFO</v>
          </cell>
          <cell r="H25">
            <v>33.37714861271521</v>
          </cell>
          <cell r="I25">
            <v>14.881553656745623</v>
          </cell>
        </row>
        <row r="26">
          <cell r="A26" t="str">
            <v>RNWWND5</v>
          </cell>
          <cell r="C26" t="str">
            <v>WND</v>
          </cell>
          <cell r="H26">
            <v>6.3517828259062703E-4</v>
          </cell>
          <cell r="I26">
            <v>5.4173690332681983E-4</v>
          </cell>
          <cell r="J26">
            <v>3.8421837870215999E-4</v>
          </cell>
        </row>
        <row r="27">
          <cell r="A27" t="str">
            <v>IMPBNGA</v>
          </cell>
          <cell r="C27" t="str">
            <v>BIO</v>
          </cell>
          <cell r="H27">
            <v>1.2754934052459561</v>
          </cell>
          <cell r="I27">
            <v>1.4326657807273937</v>
          </cell>
          <cell r="J27">
            <v>1.4205634316708096</v>
          </cell>
        </row>
        <row r="28">
          <cell r="A28" t="str">
            <v>RNWGEO1</v>
          </cell>
          <cell r="C28" t="str">
            <v>GEO</v>
          </cell>
          <cell r="I28">
            <v>3.5923098203141011E-3</v>
          </cell>
          <cell r="J28">
            <v>4.9995418289276367E-2</v>
          </cell>
        </row>
        <row r="29">
          <cell r="A29" t="str">
            <v>RNWGEO2</v>
          </cell>
          <cell r="C29" t="str">
            <v>GEO</v>
          </cell>
          <cell r="I29">
            <v>2.406051689660068E-3</v>
          </cell>
          <cell r="J29">
            <v>5.1297206942412842E-3</v>
          </cell>
        </row>
        <row r="30">
          <cell r="A30" t="str">
            <v>IMPKERintl</v>
          </cell>
          <cell r="C30" t="str">
            <v>KERintl</v>
          </cell>
          <cell r="H30">
            <v>65.8743373397092</v>
          </cell>
          <cell r="I30">
            <v>52.447314834548699</v>
          </cell>
        </row>
        <row r="31">
          <cell r="A31" t="str">
            <v>RNWGEO3</v>
          </cell>
          <cell r="C31" t="str">
            <v>GEO</v>
          </cell>
          <cell r="I31">
            <v>1.4009196044646509E-3</v>
          </cell>
          <cell r="J31">
            <v>2.0908982737975097E-3</v>
          </cell>
        </row>
        <row r="32">
          <cell r="A32" t="str">
            <v>RNWGEO4</v>
          </cell>
          <cell r="C32" t="str">
            <v>GEO</v>
          </cell>
          <cell r="I32">
            <v>1.1337166816152583E-3</v>
          </cell>
          <cell r="J32">
            <v>1.4810664101433386E-3</v>
          </cell>
        </row>
        <row r="33">
          <cell r="A33" t="str">
            <v>RNWGEO5</v>
          </cell>
          <cell r="C33" t="str">
            <v>GEO</v>
          </cell>
          <cell r="I33">
            <v>9.5898317946852181E-4</v>
          </cell>
          <cell r="J33">
            <v>1.1843616230778932E-3</v>
          </cell>
        </row>
        <row r="34">
          <cell r="A34" t="str">
            <v>IMPGSL</v>
          </cell>
          <cell r="C34" t="str">
            <v>GSL</v>
          </cell>
          <cell r="H34">
            <v>17.074841040667547</v>
          </cell>
          <cell r="I34">
            <v>3.1825326523143311</v>
          </cell>
        </row>
        <row r="35">
          <cell r="A35" t="str">
            <v>RNWWOD1</v>
          </cell>
          <cell r="C35" t="str">
            <v>WOD</v>
          </cell>
          <cell r="H35">
            <v>16.424570315265452</v>
          </cell>
          <cell r="I35">
            <v>17.113643085642458</v>
          </cell>
          <cell r="J35">
            <v>18.429672360527391</v>
          </cell>
        </row>
        <row r="36">
          <cell r="A36" t="str">
            <v>RNWWOD2</v>
          </cell>
          <cell r="C36" t="str">
            <v>WOD</v>
          </cell>
          <cell r="H36">
            <v>7.6690271300403188</v>
          </cell>
          <cell r="I36">
            <v>7.6690272116527298</v>
          </cell>
          <cell r="J36">
            <v>7.6690277106077609</v>
          </cell>
        </row>
        <row r="37">
          <cell r="A37" t="str">
            <v>RNWWOD3</v>
          </cell>
          <cell r="C37" t="str">
            <v>WOD</v>
          </cell>
          <cell r="H37">
            <v>4.8053862902790394</v>
          </cell>
          <cell r="I37">
            <v>4.8053862695841012</v>
          </cell>
          <cell r="J37">
            <v>4.8053860791299483</v>
          </cell>
        </row>
        <row r="38">
          <cell r="A38" t="str">
            <v>RNWWOD4</v>
          </cell>
          <cell r="C38" t="str">
            <v>WOD</v>
          </cell>
          <cell r="H38">
            <v>24.230797456358005</v>
          </cell>
          <cell r="I38">
            <v>23.944635116595666</v>
          </cell>
          <cell r="J38">
            <v>22.628932531046999</v>
          </cell>
        </row>
        <row r="39">
          <cell r="A39" t="str">
            <v>RNWWOD5</v>
          </cell>
          <cell r="C39" t="str">
            <v>WOD</v>
          </cell>
          <cell r="H39">
            <v>0.40372217178537695</v>
          </cell>
          <cell r="I39">
            <v>8.1959318163214744E-4</v>
          </cell>
          <cell r="J39">
            <v>4.9665741916969034E-4</v>
          </cell>
        </row>
        <row r="40">
          <cell r="A40" t="str">
            <v>RNNWWST1</v>
          </cell>
          <cell r="C40" t="str">
            <v>WSTNREN</v>
          </cell>
          <cell r="H40">
            <v>34.937585841478423</v>
          </cell>
          <cell r="I40">
            <v>38.082488924625189</v>
          </cell>
          <cell r="J40">
            <v>39.221621170918688</v>
          </cell>
        </row>
        <row r="41">
          <cell r="A41" t="str">
            <v>RNWSOL1</v>
          </cell>
          <cell r="C41" t="str">
            <v>SOL</v>
          </cell>
          <cell r="H41">
            <v>59.545466727115873</v>
          </cell>
          <cell r="I41">
            <v>122.30163088293489</v>
          </cell>
          <cell r="J41">
            <v>148.23225676488994</v>
          </cell>
        </row>
        <row r="42">
          <cell r="A42" t="str">
            <v>IMPHFO1</v>
          </cell>
          <cell r="C42" t="str">
            <v>HFO</v>
          </cell>
          <cell r="H42">
            <v>3.2822558842233339E-3</v>
          </cell>
          <cell r="I42">
            <v>2.6092289433621584E-4</v>
          </cell>
        </row>
        <row r="43">
          <cell r="A43" t="str">
            <v>RNWHYDD1</v>
          </cell>
          <cell r="C43" t="str">
            <v>HYDD</v>
          </cell>
          <cell r="H43">
            <v>71.446447132864563</v>
          </cell>
          <cell r="I43">
            <v>73.932924658636438</v>
          </cell>
          <cell r="J43">
            <v>74.836056776230436</v>
          </cell>
        </row>
        <row r="44">
          <cell r="A44" t="str">
            <v>IMPKER</v>
          </cell>
          <cell r="C44" t="str">
            <v>KER</v>
          </cell>
          <cell r="H44">
            <v>2.5870061711165926</v>
          </cell>
          <cell r="I44">
            <v>2.1267168052141514</v>
          </cell>
        </row>
        <row r="45">
          <cell r="A45" t="str">
            <v>IMPBDS</v>
          </cell>
          <cell r="C45" t="str">
            <v>BDS</v>
          </cell>
          <cell r="H45">
            <v>3.1592768214523779</v>
          </cell>
          <cell r="I45">
            <v>3.1447748718929827</v>
          </cell>
          <cell r="J45">
            <v>4.3217181508357925</v>
          </cell>
        </row>
        <row r="46">
          <cell r="A46" t="str">
            <v>IMPCOA1</v>
          </cell>
          <cell r="C46" t="str">
            <v>COA</v>
          </cell>
          <cell r="H46">
            <v>2.2535582696409798E-3</v>
          </cell>
          <cell r="I46">
            <v>2.5928858867473818E-4</v>
          </cell>
        </row>
        <row r="47">
          <cell r="A47" t="str">
            <v>IMPETH</v>
          </cell>
          <cell r="C47" t="str">
            <v>ETH</v>
          </cell>
          <cell r="H47">
            <v>1.4002000568921704</v>
          </cell>
          <cell r="I47">
            <v>1.2575291909690842</v>
          </cell>
          <cell r="J47">
            <v>9.2687702175031209E-2</v>
          </cell>
        </row>
        <row r="48">
          <cell r="A48" t="str">
            <v>IMPELC_DE</v>
          </cell>
          <cell r="C48" t="str">
            <v>ELC_I-DE</v>
          </cell>
          <cell r="H48">
            <v>35.861852079662157</v>
          </cell>
          <cell r="I48">
            <v>15.894918963756945</v>
          </cell>
          <cell r="J48">
            <v>5.3743901472101729</v>
          </cell>
        </row>
        <row r="49">
          <cell r="A49" t="str">
            <v>IMPELC_DE</v>
          </cell>
          <cell r="C49" t="str">
            <v>ELCS</v>
          </cell>
          <cell r="H49">
            <v>35.861852079662157</v>
          </cell>
          <cell r="I49">
            <v>15.894918963756945</v>
          </cell>
          <cell r="J49">
            <v>5.3743901472101729</v>
          </cell>
        </row>
        <row r="50">
          <cell r="A50" t="str">
            <v>RNWWST1</v>
          </cell>
          <cell r="C50" t="str">
            <v>WSTREN</v>
          </cell>
          <cell r="H50">
            <v>37.310157336788031</v>
          </cell>
          <cell r="I50">
            <v>41.113208066772614</v>
          </cell>
          <cell r="J50">
            <v>44.606341587657838</v>
          </cell>
        </row>
        <row r="51">
          <cell r="A51" t="str">
            <v>IMPNGA1</v>
          </cell>
          <cell r="C51" t="str">
            <v>NGA</v>
          </cell>
          <cell r="H51">
            <v>52.82409856135979</v>
          </cell>
          <cell r="I51">
            <v>14.453056363863764</v>
          </cell>
        </row>
        <row r="52">
          <cell r="A52" t="str">
            <v>IMPELC_IT</v>
          </cell>
          <cell r="C52" t="str">
            <v>ELC_I-IT</v>
          </cell>
          <cell r="H52">
            <v>1.8344066164266122E-4</v>
          </cell>
          <cell r="I52">
            <v>1.3437386611558994E-4</v>
          </cell>
          <cell r="J52">
            <v>1.0064450342835383E-4</v>
          </cell>
        </row>
        <row r="53">
          <cell r="A53" t="str">
            <v>IMPELC_IT</v>
          </cell>
          <cell r="C53" t="str">
            <v>ELCS</v>
          </cell>
          <cell r="H53">
            <v>1.8344066164266122E-4</v>
          </cell>
          <cell r="I53">
            <v>1.3437386611558994E-4</v>
          </cell>
          <cell r="J53">
            <v>1.0064450342835383E-4</v>
          </cell>
        </row>
        <row r="54">
          <cell r="A54"/>
          <cell r="C54"/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H4">
            <v>0.8046957974341491</v>
          </cell>
          <cell r="I4">
            <v>0.87221864510565583</v>
          </cell>
          <cell r="J4">
            <v>0.75421806379515677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H5">
            <v>0.8046957974341491</v>
          </cell>
          <cell r="I5">
            <v>0.87221864510565583</v>
          </cell>
          <cell r="J5">
            <v>0.75421806379515677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H6">
            <v>1.1386511365020827E-4</v>
          </cell>
          <cell r="I6">
            <v>6.8656667261940256E-5</v>
          </cell>
          <cell r="J6">
            <v>9.7702514522742562E-5</v>
          </cell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H7">
            <v>1.1397897876385849E-4</v>
          </cell>
          <cell r="I7">
            <v>6.8725323929202055E-5</v>
          </cell>
          <cell r="J7">
            <v>9.7800217037265241E-5</v>
          </cell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H8">
            <v>1.0322070146641384E-4</v>
          </cell>
          <cell r="I8">
            <v>6.4272870405032199E-5</v>
          </cell>
          <cell r="J8">
            <v>9.49202773059559E-5</v>
          </cell>
          <cell r="L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H9">
            <v>3.4104920106451698E-7</v>
          </cell>
          <cell r="I9">
            <v>1.0443307173703099E-5</v>
          </cell>
          <cell r="J9">
            <v>1.5616927987803399E-5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H10">
            <v>8.0930822625510705E-5</v>
          </cell>
          <cell r="I10">
            <v>2.23723269535067E-5</v>
          </cell>
          <cell r="J10">
            <v>2.3340248091786999E-5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H11">
            <v>7.3534128954994502</v>
          </cell>
          <cell r="I11">
            <v>5.0544496686081901</v>
          </cell>
          <cell r="J11"/>
          <cell r="L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H12">
            <v>9.4753644063761841E-2</v>
          </cell>
          <cell r="I12">
            <v>6.5129965043934979E-2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H13">
            <v>9.9774937523737506E-2</v>
          </cell>
          <cell r="I13">
            <v>6.8581406629690561E-2</v>
          </cell>
          <cell r="J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H14"/>
          <cell r="I14"/>
          <cell r="J14"/>
          <cell r="L14"/>
          <cell r="M14"/>
          <cell r="N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H15">
            <v>2.8557566522767034E-2</v>
          </cell>
          <cell r="I15">
            <v>5.0577781212391877E-3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H16">
            <v>21.426034186911298</v>
          </cell>
          <cell r="I16">
            <v>26.215497176823099</v>
          </cell>
          <cell r="J16">
            <v>30.716328410382101</v>
          </cell>
          <cell r="L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H17">
            <v>0.76697487367515116</v>
          </cell>
          <cell r="I17">
            <v>0.95099985941094223</v>
          </cell>
          <cell r="J17">
            <v>1.1662674094060799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H18">
            <v>0.37989422317218535</v>
          </cell>
          <cell r="I18">
            <v>0.46481377973090682</v>
          </cell>
          <cell r="J18">
            <v>0.54461575195712963</v>
          </cell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H19">
            <v>0.76697487367515116</v>
          </cell>
          <cell r="I19">
            <v>0.95099985941094223</v>
          </cell>
          <cell r="J19">
            <v>1.1662674094060799</v>
          </cell>
          <cell r="L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H20">
            <v>1.6508137771597702E-2</v>
          </cell>
          <cell r="I20">
            <v>3.3101125499395603E-2</v>
          </cell>
          <cell r="J20">
            <v>5.4220374579692802E-2</v>
          </cell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H21">
            <v>5.589366676565595E-2</v>
          </cell>
          <cell r="I21">
            <v>6.9513863108134205E-2</v>
          </cell>
          <cell r="J21">
            <v>8.5225735681591433E-2</v>
          </cell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H22">
            <v>0.54480481572638817</v>
          </cell>
          <cell r="I22">
            <v>0.54480636721956943</v>
          </cell>
          <cell r="J22">
            <v>0.54481110074958505</v>
          </cell>
          <cell r="L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H23">
            <v>0.54480481572638817</v>
          </cell>
          <cell r="I23">
            <v>0.54480636721956943</v>
          </cell>
          <cell r="J23">
            <v>0.54481110074958505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H24">
            <v>0.73251067660690816</v>
          </cell>
          <cell r="I24">
            <v>0.73046663761283104</v>
          </cell>
          <cell r="J24">
            <v>0.72641480099944711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H25">
            <v>2.8827117758401299E-2</v>
          </cell>
          <cell r="I25">
            <v>1.4031899447844999E-2</v>
          </cell>
          <cell r="J25">
            <v>1.9675892829236201E-2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H26">
            <v>4.0769817114820535E-2</v>
          </cell>
          <cell r="I26">
            <v>4.2864638451267582E-2</v>
          </cell>
          <cell r="J26">
            <v>4.204743854502381E-2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H27">
            <v>1.1772654674799211E-3</v>
          </cell>
          <cell r="I27">
            <v>1.183167943718521E-3</v>
          </cell>
          <cell r="J27">
            <v>4.4691728166073593E-4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H28">
            <v>5.1354731408136578E-4</v>
          </cell>
          <cell r="I28">
            <v>4.3592598240494541E-4</v>
          </cell>
          <cell r="J28">
            <v>2.1563431818759582E-4</v>
          </cell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H29">
            <v>1.6787301087693293E-3</v>
          </cell>
          <cell r="I29">
            <v>1.6123906779606264E-3</v>
          </cell>
          <cell r="J29">
            <v>6.5670514527157791E-4</v>
          </cell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H30">
            <v>1.0747836357942782</v>
          </cell>
          <cell r="I30">
            <v>1.002314928286409</v>
          </cell>
          <cell r="J30">
            <v>0.73441664694683484</v>
          </cell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H31">
            <v>2.3371585126519321</v>
          </cell>
          <cell r="I31">
            <v>2.1276711394885068</v>
          </cell>
          <cell r="J31">
            <v>1.4739842438275481</v>
          </cell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H32">
            <v>2.1888775837059199E-2</v>
          </cell>
          <cell r="I32">
            <v>4.1296899876893299E-2</v>
          </cell>
          <cell r="J32">
            <v>1.32145391334584E-2</v>
          </cell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H33">
            <v>7.3475661909632797E-2</v>
          </cell>
          <cell r="I33">
            <v>7.1051630651223927E-2</v>
          </cell>
          <cell r="J33">
            <v>5.2443759795376833E-2</v>
          </cell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H34">
            <v>3.4804099568490816</v>
          </cell>
          <cell r="I34">
            <v>2.7001046788106504</v>
          </cell>
          <cell r="J34">
            <v>1.4269510891137001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H35">
            <v>4.7753602656663254</v>
          </cell>
          <cell r="I35">
            <v>3.6804160128333798</v>
          </cell>
          <cell r="J35">
            <v>1.8857568230114155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H36">
            <v>0.14836125292300101</v>
          </cell>
          <cell r="I36">
            <v>6.8966042866465793E-2</v>
          </cell>
          <cell r="J36">
            <v>2.6827206636560498E-3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H37">
            <v>0.28119795093498834</v>
          </cell>
          <cell r="I37">
            <v>0.21982989264819172</v>
          </cell>
          <cell r="J37">
            <v>0.11548961805425433</v>
          </cell>
          <cell r="L37"/>
          <cell r="M37"/>
          <cell r="N37"/>
        </row>
        <row r="38">
          <cell r="A38" t="str">
            <v>D-EH2</v>
          </cell>
          <cell r="B38" t="str">
            <v>VAR_fout</v>
          </cell>
          <cell r="C38" t="str">
            <v>EH2</v>
          </cell>
          <cell r="H38"/>
          <cell r="I38">
            <v>4.6260496154725324E-3</v>
          </cell>
          <cell r="J38">
            <v>1.5301707804930422</v>
          </cell>
          <cell r="L38"/>
          <cell r="M38"/>
          <cell r="N38"/>
        </row>
        <row r="39">
          <cell r="A39" t="str">
            <v>D-EH2</v>
          </cell>
          <cell r="B39" t="str">
            <v>VAR_fin</v>
          </cell>
          <cell r="C39" t="str">
            <v>H2</v>
          </cell>
          <cell r="H39"/>
          <cell r="I39">
            <v>4.6727773893661924E-3</v>
          </cell>
          <cell r="J39">
            <v>1.5456270510030723</v>
          </cell>
        </row>
        <row r="40">
          <cell r="A40" t="str">
            <v>D-EH2</v>
          </cell>
          <cell r="B40" t="str">
            <v>VAR_ncap</v>
          </cell>
          <cell r="C40" t="str">
            <v>-</v>
          </cell>
          <cell r="H40">
            <v>1.4951048184137E-6</v>
          </cell>
          <cell r="I40">
            <v>6.9172111769931705E-4</v>
          </cell>
          <cell r="J40">
            <v>0.16416836675988</v>
          </cell>
        </row>
        <row r="41">
          <cell r="A41" t="str">
            <v>D-EH2</v>
          </cell>
          <cell r="B41" t="str">
            <v>VAR_cap</v>
          </cell>
          <cell r="C41" t="str">
            <v>-</v>
          </cell>
          <cell r="H41">
            <v>2.0338982399313299E-6</v>
          </cell>
          <cell r="I41">
            <v>6.9375501593924797E-4</v>
          </cell>
          <cell r="J41">
            <v>0.16486212177581999</v>
          </cell>
        </row>
        <row r="42">
          <cell r="A42" t="str">
            <v>SCOM-SHWODBR</v>
          </cell>
          <cell r="B42" t="str">
            <v>VAR_fout</v>
          </cell>
          <cell r="C42" t="str">
            <v>SCOM-SHWOD</v>
          </cell>
          <cell r="H42">
            <v>5.7276299036326481</v>
          </cell>
          <cell r="I42">
            <v>4.8630174472014165</v>
          </cell>
          <cell r="J42">
            <v>3.3475290117803804</v>
          </cell>
        </row>
        <row r="43">
          <cell r="A43" t="str">
            <v>SCOM-SHWODBR</v>
          </cell>
          <cell r="B43" t="str">
            <v>VAR_fin</v>
          </cell>
          <cell r="C43" t="str">
            <v>SWOD</v>
          </cell>
          <cell r="H43">
            <v>8.4536607663669674</v>
          </cell>
          <cell r="I43">
            <v>7.1452759078946855</v>
          </cell>
          <cell r="J43">
            <v>4.7599509692934525</v>
          </cell>
        </row>
        <row r="44">
          <cell r="A44" t="str">
            <v>SCOM-SHWODBR</v>
          </cell>
          <cell r="B44" t="str">
            <v>VAR_ncap</v>
          </cell>
          <cell r="C44" t="str">
            <v>-</v>
          </cell>
          <cell r="H44">
            <v>0.27197692566063097</v>
          </cell>
          <cell r="I44">
            <v>9.8036579508256103E-2</v>
          </cell>
          <cell r="J44">
            <v>8.1279613533291703E-2</v>
          </cell>
          <cell r="L44"/>
        </row>
        <row r="45">
          <cell r="A45" t="str">
            <v>SCOM-SHWODBR</v>
          </cell>
          <cell r="B45" t="str">
            <v>VAR_cap</v>
          </cell>
          <cell r="C45" t="str">
            <v>-</v>
          </cell>
          <cell r="H45">
            <v>0.44293539149050853</v>
          </cell>
          <cell r="I45">
            <v>0.37831820765679053</v>
          </cell>
          <cell r="J45">
            <v>0.26747246303299649</v>
          </cell>
        </row>
        <row r="46">
          <cell r="A46" t="str">
            <v>ITOT-SWHLTHCHP</v>
          </cell>
          <cell r="B46" t="str">
            <v>VAR_fout</v>
          </cell>
          <cell r="C46" t="str">
            <v>ITOT-SWH</v>
          </cell>
          <cell r="H46">
            <v>7.1989240916957984</v>
          </cell>
          <cell r="I46">
            <v>6.7733242764264876</v>
          </cell>
          <cell r="J46">
            <v>9.3562693176916767</v>
          </cell>
        </row>
        <row r="47">
          <cell r="A47" t="str">
            <v>ITOT-SWHLTHCHP</v>
          </cell>
          <cell r="B47" t="str">
            <v>VAR_fin</v>
          </cell>
          <cell r="C47" t="str">
            <v>ITOTLTHCHPC</v>
          </cell>
          <cell r="H47">
            <v>7.1989240916957984</v>
          </cell>
          <cell r="I47">
            <v>6.7733242764264876</v>
          </cell>
          <cell r="J47">
            <v>9.3562693176916767</v>
          </cell>
        </row>
        <row r="48">
          <cell r="A48" t="str">
            <v>ITOT-SWHLTHCHP</v>
          </cell>
          <cell r="B48" t="str">
            <v>VAR_fin</v>
          </cell>
          <cell r="C48" t="str">
            <v>ITOT_LTH_CHP_ON</v>
          </cell>
          <cell r="H48">
            <v>7.6639167144318012</v>
          </cell>
          <cell r="I48">
            <v>7.1730247247834722</v>
          </cell>
          <cell r="J48">
            <v>9.8487045449386166</v>
          </cell>
        </row>
        <row r="49">
          <cell r="A49" t="str">
            <v>ITOT-SWHLTHCHP</v>
          </cell>
          <cell r="B49" t="str">
            <v>VAR_ncap</v>
          </cell>
          <cell r="C49" t="str">
            <v>-</v>
          </cell>
          <cell r="H49">
            <v>0.285250090552505</v>
          </cell>
          <cell r="I49">
            <v>0.20544890081646899</v>
          </cell>
          <cell r="J49">
            <v>0.41903364948659799</v>
          </cell>
        </row>
        <row r="50">
          <cell r="A50" t="str">
            <v>ITOT-SWHLTHCHP</v>
          </cell>
          <cell r="B50" t="str">
            <v>VAR_cap</v>
          </cell>
          <cell r="C50" t="str">
            <v>-</v>
          </cell>
          <cell r="H50">
            <v>0.397748836784097</v>
          </cell>
          <cell r="I50">
            <v>0.49336319620071351</v>
          </cell>
          <cell r="J50">
            <v>0.66075600646292454</v>
          </cell>
        </row>
        <row r="51">
          <cell r="A51" t="str">
            <v>RHSA-WHSTG-NGAHP</v>
          </cell>
          <cell r="B51" t="str">
            <v>VAR_fout</v>
          </cell>
          <cell r="C51" t="str">
            <v>RHSA-WHANGAH</v>
          </cell>
          <cell r="H51">
            <v>0.30988545104864751</v>
          </cell>
          <cell r="I51">
            <v>0.53747360130321076</v>
          </cell>
          <cell r="J51">
            <v>0.57546680639902636</v>
          </cell>
        </row>
        <row r="52">
          <cell r="A52" t="str">
            <v>RHSA-WHSTG-NGAHP</v>
          </cell>
          <cell r="B52" t="str">
            <v>VAR_fout</v>
          </cell>
          <cell r="C52" t="str">
            <v>AUX_RHSA-WHSTG-NGAHP_OUT</v>
          </cell>
          <cell r="H52">
            <v>0.31019533649969611</v>
          </cell>
          <cell r="I52">
            <v>0.53801107490451383</v>
          </cell>
          <cell r="J52">
            <v>0.57604227320542545</v>
          </cell>
        </row>
        <row r="53">
          <cell r="A53" t="str">
            <v>RHSA-WHSTG-NGAHP</v>
          </cell>
          <cell r="B53" t="str">
            <v>VAR_fin</v>
          </cell>
          <cell r="C53" t="str">
            <v>RHSA-WHANGAH</v>
          </cell>
          <cell r="H53">
            <v>0.30989005242366913</v>
          </cell>
          <cell r="I53">
            <v>0.53747572857087178</v>
          </cell>
          <cell r="J53">
            <v>0.57547155393612848</v>
          </cell>
        </row>
        <row r="54">
          <cell r="A54" t="str">
            <v>RHSA-WHSTG-NGAHP</v>
          </cell>
          <cell r="B54" t="str">
            <v>VAR_ncap</v>
          </cell>
          <cell r="C54" t="str">
            <v>-</v>
          </cell>
          <cell r="H54">
            <v>2.25795066987559E-2</v>
          </cell>
          <cell r="I54">
            <v>4.7240645767972302E-2</v>
          </cell>
          <cell r="J54">
            <v>6.3957455392449195E-2</v>
          </cell>
        </row>
        <row r="55">
          <cell r="A55" t="str">
            <v>RHSA-WHSTG-NGAHP</v>
          </cell>
          <cell r="B55" t="str">
            <v>VAR_cap</v>
          </cell>
          <cell r="C55" t="str">
            <v>-</v>
          </cell>
          <cell r="H55">
            <v>7.3493068529260366E-2</v>
          </cell>
          <cell r="I55">
            <v>9.5951617439256606E-2</v>
          </cell>
          <cell r="J55">
            <v>0.10775577428263289</v>
          </cell>
        </row>
        <row r="56">
          <cell r="A56" t="str">
            <v>D-RES_LTH</v>
          </cell>
          <cell r="B56" t="str">
            <v>VAR_fout</v>
          </cell>
          <cell r="C56" t="str">
            <v>RHNS_LTH_DH</v>
          </cell>
          <cell r="H56">
            <v>0.17493830465697158</v>
          </cell>
          <cell r="I56">
            <v>0.18800472466091117</v>
          </cell>
          <cell r="J56">
            <v>0.21792370585734008</v>
          </cell>
        </row>
        <row r="57">
          <cell r="A57" t="str">
            <v>D-RES_LTH</v>
          </cell>
          <cell r="B57" t="str">
            <v>VAR_fout</v>
          </cell>
          <cell r="C57" t="str">
            <v>RHEM_LTH_DH</v>
          </cell>
          <cell r="H57">
            <v>6.0639862312505581</v>
          </cell>
          <cell r="I57">
            <v>6.3512613552380248</v>
          </cell>
          <cell r="J57">
            <v>5.7493909978041575</v>
          </cell>
        </row>
        <row r="58">
          <cell r="A58" t="str">
            <v>D-RES_LTH</v>
          </cell>
          <cell r="B58" t="str">
            <v>VAR_fout</v>
          </cell>
          <cell r="C58" t="str">
            <v>RHES_LTH_DH</v>
          </cell>
          <cell r="H58">
            <v>2.3207857004300281</v>
          </cell>
          <cell r="I58">
            <v>2.5043485464308541</v>
          </cell>
          <cell r="J58">
            <v>2.3855919370715299</v>
          </cell>
        </row>
        <row r="59">
          <cell r="A59" t="str">
            <v>D-RES_LTH</v>
          </cell>
          <cell r="B59" t="str">
            <v>VAR_fout</v>
          </cell>
          <cell r="C59" t="str">
            <v>RHSA_LTH</v>
          </cell>
          <cell r="H59">
            <v>1.7738512452647908</v>
          </cell>
          <cell r="I59">
            <v>1.9152034094695107</v>
          </cell>
          <cell r="J59">
            <v>2.9654171564651297</v>
          </cell>
        </row>
        <row r="60">
          <cell r="A60" t="str">
            <v>D-RES_LTH</v>
          </cell>
          <cell r="B60" t="str">
            <v>VAR_fout</v>
          </cell>
          <cell r="C60" t="str">
            <v>RHNM_LTH_DH</v>
          </cell>
          <cell r="H60">
            <v>0.2982007433696548</v>
          </cell>
          <cell r="I60">
            <v>0.34554844450633598</v>
          </cell>
          <cell r="J60">
            <v>0.42514472245354634</v>
          </cell>
        </row>
        <row r="61">
          <cell r="A61" t="str">
            <v>D-RES_LTH</v>
          </cell>
          <cell r="B61" t="str">
            <v>VAR_fin</v>
          </cell>
          <cell r="C61" t="str">
            <v>LTH</v>
          </cell>
          <cell r="H61">
            <v>11.63957675544823</v>
          </cell>
          <cell r="I61">
            <v>12.330604235573023</v>
          </cell>
          <cell r="J61">
            <v>12.71641745618955</v>
          </cell>
        </row>
        <row r="62">
          <cell r="A62" t="str">
            <v>D-RES_LTH</v>
          </cell>
          <cell r="B62" t="str">
            <v>VAR_ncap</v>
          </cell>
          <cell r="C62" t="str">
            <v>-</v>
          </cell>
          <cell r="H62">
            <v>1.01694740391482E-6</v>
          </cell>
          <cell r="I62">
            <v>3.9566134820468699E-4</v>
          </cell>
          <cell r="J62">
            <v>1.55281511726713E-7</v>
          </cell>
        </row>
        <row r="63">
          <cell r="A63" t="str">
            <v>D-RES_LTH</v>
          </cell>
          <cell r="B63" t="str">
            <v>VAR_cap</v>
          </cell>
          <cell r="C63" t="str">
            <v>-</v>
          </cell>
          <cell r="H63">
            <v>0.62767796217303695</v>
          </cell>
          <cell r="I63">
            <v>0.62807362352124196</v>
          </cell>
          <cell r="J63">
            <v>0.62807377880275395</v>
          </cell>
        </row>
        <row r="64">
          <cell r="A64" t="str">
            <v>D-RHEM_NKEV_GAS_ELC_CHP</v>
          </cell>
          <cell r="B64" t="str">
            <v>VAR_fout</v>
          </cell>
          <cell r="C64" t="str">
            <v>ELC5</v>
          </cell>
          <cell r="H64">
            <v>9.070621300454419E-4</v>
          </cell>
          <cell r="I64">
            <v>3.8239757839584893E-4</v>
          </cell>
          <cell r="J64"/>
        </row>
        <row r="65">
          <cell r="A65" t="str">
            <v>D-RHEM_NKEV_GAS_ELC_CHP</v>
          </cell>
          <cell r="B65" t="str">
            <v>VAR_fout</v>
          </cell>
          <cell r="C65" t="str">
            <v>RHEM_ELC</v>
          </cell>
          <cell r="H65">
            <v>6.4451781600581015E-3</v>
          </cell>
          <cell r="I65">
            <v>7.1887476321158452E-4</v>
          </cell>
          <cell r="J65"/>
        </row>
        <row r="66">
          <cell r="A66" t="str">
            <v>D-RHEM_NKEV_GAS_ELC_CHP</v>
          </cell>
          <cell r="B66" t="str">
            <v>VAR_fin</v>
          </cell>
          <cell r="C66" t="str">
            <v>RHEM_NKEV_GAS_ELC_CHP</v>
          </cell>
          <cell r="H66">
            <v>7.3349337018795823E-3</v>
          </cell>
          <cell r="I66">
            <v>1.0910803630946543E-3</v>
          </cell>
          <cell r="J66"/>
        </row>
        <row r="67">
          <cell r="A67" t="str">
            <v>SCOM-SHDEM</v>
          </cell>
          <cell r="B67" t="str">
            <v>VAR_fout</v>
          </cell>
          <cell r="C67" t="str">
            <v>SCOM-SHD</v>
          </cell>
          <cell r="H67">
            <v>60.169482906205424</v>
          </cell>
          <cell r="I67">
            <v>59.908791507749278</v>
          </cell>
          <cell r="J67">
            <v>58.417690743321195</v>
          </cell>
        </row>
        <row r="68">
          <cell r="A68" t="str">
            <v>SCOM-SHDEM</v>
          </cell>
          <cell r="B68" t="str">
            <v>VAR_fin</v>
          </cell>
          <cell r="C68" t="str">
            <v>SCOM-SHCON</v>
          </cell>
          <cell r="H68">
            <v>6.9857399004096044</v>
          </cell>
          <cell r="I68">
            <v>9.1855833413746968</v>
          </cell>
          <cell r="J68">
            <v>13.860813083872957</v>
          </cell>
        </row>
        <row r="69">
          <cell r="A69" t="str">
            <v>SCOM-SHDEM</v>
          </cell>
          <cell r="B69" t="str">
            <v>VAR_fin</v>
          </cell>
          <cell r="C69" t="str">
            <v>SCOM-SHWOD</v>
          </cell>
          <cell r="H69">
            <v>5.7276299036326481</v>
          </cell>
          <cell r="I69">
            <v>4.8630174472014165</v>
          </cell>
          <cell r="J69">
            <v>3.3475290117803804</v>
          </cell>
        </row>
        <row r="70">
          <cell r="A70" t="str">
            <v>SCOM-SHDEM</v>
          </cell>
          <cell r="B70" t="str">
            <v>VAR_fin</v>
          </cell>
          <cell r="C70" t="str">
            <v>SCOM-SHLTHD</v>
          </cell>
          <cell r="H70">
            <v>6.8699770515235112</v>
          </cell>
          <cell r="I70">
            <v>7.630971651334244</v>
          </cell>
          <cell r="J70">
            <v>7.375918720696288</v>
          </cell>
        </row>
        <row r="71">
          <cell r="A71" t="str">
            <v>SCOM-SHDEM</v>
          </cell>
          <cell r="B71" t="str">
            <v>VAR_fin</v>
          </cell>
          <cell r="C71" t="str">
            <v>SCOM-SHELCB</v>
          </cell>
          <cell r="H71">
            <v>0.26580166001234218</v>
          </cell>
          <cell r="I71">
            <v>0.21829231187846981</v>
          </cell>
          <cell r="J71">
            <v>0.1581661817084799</v>
          </cell>
        </row>
        <row r="72">
          <cell r="A72" t="str">
            <v>SCOM-SHDEM</v>
          </cell>
          <cell r="B72" t="str">
            <v>VAR_fin</v>
          </cell>
          <cell r="C72" t="str">
            <v>SCOM-SHBIO</v>
          </cell>
          <cell r="H72"/>
          <cell r="I72"/>
          <cell r="J72"/>
        </row>
        <row r="73">
          <cell r="A73" t="str">
            <v>SCOM-SHDEM</v>
          </cell>
          <cell r="B73" t="str">
            <v>VAR_fin</v>
          </cell>
          <cell r="C73" t="str">
            <v>SCOM-SHELCH</v>
          </cell>
          <cell r="H73">
            <v>11.58081404161929</v>
          </cell>
          <cell r="I73">
            <v>15.846848061598983</v>
          </cell>
          <cell r="J73">
            <v>18.489066689326293</v>
          </cell>
        </row>
        <row r="74">
          <cell r="A74" t="str">
            <v>SCOM-SHDEM</v>
          </cell>
          <cell r="B74" t="str">
            <v>VAR_fin</v>
          </cell>
          <cell r="C74" t="str">
            <v>SCOM-SHPLT</v>
          </cell>
          <cell r="H74">
            <v>0.5506454800835362</v>
          </cell>
          <cell r="I74">
            <v>0.71173507512877876</v>
          </cell>
          <cell r="J74">
            <v>0.73428263939063332</v>
          </cell>
        </row>
        <row r="75">
          <cell r="A75" t="str">
            <v>SCOM-SHDEM</v>
          </cell>
          <cell r="B75" t="str">
            <v>VAR_fin</v>
          </cell>
          <cell r="C75" t="str">
            <v>SCOM-SHLTHC-NGA</v>
          </cell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SCOM-SHSOL</v>
          </cell>
          <cell r="H76">
            <v>0.66055443759431032</v>
          </cell>
          <cell r="I76">
            <v>0.73653842483537835</v>
          </cell>
          <cell r="J76">
            <v>0.77782846880339451</v>
          </cell>
        </row>
        <row r="77">
          <cell r="A77" t="str">
            <v>SCOM-SHDEM</v>
          </cell>
          <cell r="B77" t="str">
            <v>VAR_fin</v>
          </cell>
          <cell r="C77" t="str">
            <v>SCOM-SHNGA</v>
          </cell>
          <cell r="H77">
            <v>9.7648021526750206</v>
          </cell>
          <cell r="I77">
            <v>5.1984335180937942</v>
          </cell>
          <cell r="J77">
            <v>1.9491682428326229</v>
          </cell>
        </row>
        <row r="78">
          <cell r="A78" t="str">
            <v>SCOM-SHDEM</v>
          </cell>
          <cell r="B78" t="str">
            <v>VAR_fin</v>
          </cell>
          <cell r="C78" t="str">
            <v>SCOM-SHNGAH</v>
          </cell>
          <cell r="H78">
            <v>8.6334803663045729</v>
          </cell>
          <cell r="I78">
            <v>11.067640934684656</v>
          </cell>
          <cell r="J78">
            <v>11.379122706833396</v>
          </cell>
        </row>
        <row r="79">
          <cell r="A79" t="str">
            <v>SCOM-SHDEM</v>
          </cell>
          <cell r="B79" t="str">
            <v>VAR_fin</v>
          </cell>
          <cell r="C79" t="str">
            <v>SCOM-SHLTHC-BIO</v>
          </cell>
          <cell r="H79"/>
          <cell r="I79"/>
          <cell r="J79"/>
        </row>
        <row r="80">
          <cell r="A80" t="str">
            <v>SCOM-SHDEM</v>
          </cell>
          <cell r="B80" t="str">
            <v>VAR_fin</v>
          </cell>
          <cell r="C80" t="str">
            <v>SCOM-SHLFO</v>
          </cell>
          <cell r="H80">
            <v>9.1300379123505788</v>
          </cell>
          <cell r="I80">
            <v>4.449730741618863</v>
          </cell>
          <cell r="J80">
            <v>0.34579499807679331</v>
          </cell>
        </row>
        <row r="81">
          <cell r="A81" t="str">
            <v>ITOT-SWHSTG-NGAHP</v>
          </cell>
          <cell r="B81" t="str">
            <v>VAR_fout</v>
          </cell>
          <cell r="C81" t="str">
            <v>ITOT-SWHANGAH</v>
          </cell>
          <cell r="H81">
            <v>6.0028997664308796E-4</v>
          </cell>
          <cell r="I81">
            <v>4.5131098035706854E-4</v>
          </cell>
          <cell r="J81">
            <v>3.0854449799329494E-4</v>
          </cell>
        </row>
        <row r="82">
          <cell r="A82" t="str">
            <v>ITOT-SWHSTG-NGAHP</v>
          </cell>
          <cell r="B82" t="str">
            <v>VAR_fin</v>
          </cell>
          <cell r="C82" t="str">
            <v>ITOT-SWHANGAH</v>
          </cell>
          <cell r="H82">
            <v>6.9587173990679917E-4</v>
          </cell>
          <cell r="I82">
            <v>5.2669242284209428E-4</v>
          </cell>
          <cell r="J82">
            <v>3.4284296917947967E-4</v>
          </cell>
        </row>
        <row r="83">
          <cell r="A83" t="str">
            <v>ITOT-SWHSTG-NGAHP</v>
          </cell>
          <cell r="B83" t="str">
            <v>VAR_ncap</v>
          </cell>
          <cell r="C83" t="str">
            <v>-</v>
          </cell>
          <cell r="H83">
            <v>3.3975095223533498E-5</v>
          </cell>
          <cell r="I83">
            <v>4.37025141916816E-5</v>
          </cell>
          <cell r="J83">
            <v>2.5055456240730799E-5</v>
          </cell>
        </row>
        <row r="84">
          <cell r="A84" t="str">
            <v>ITOT-SWHSTG-NGAHP</v>
          </cell>
          <cell r="B84" t="str">
            <v>VAR_cap</v>
          </cell>
          <cell r="C84" t="str">
            <v>-</v>
          </cell>
          <cell r="H84">
            <v>5.9600925107203989E-5</v>
          </cell>
          <cell r="I84">
            <v>5.1614561666194895E-5</v>
          </cell>
          <cell r="J84">
            <v>1.9927704332727898E-5</v>
          </cell>
        </row>
        <row r="85">
          <cell r="A85" t="str">
            <v>ITOT-STG-ELCSPEC</v>
          </cell>
          <cell r="B85" t="str">
            <v>VAR_fout</v>
          </cell>
          <cell r="C85" t="str">
            <v>ITOT-ELS</v>
          </cell>
          <cell r="H85">
            <v>2.3840943471458629E-2</v>
          </cell>
          <cell r="I85">
            <v>0.24046882834639277</v>
          </cell>
          <cell r="J85">
            <v>0.27892504429713633</v>
          </cell>
        </row>
        <row r="86">
          <cell r="A86" t="str">
            <v>ITOT-STG-ELCSPEC</v>
          </cell>
          <cell r="B86" t="str">
            <v>VAR_fin</v>
          </cell>
          <cell r="C86" t="str">
            <v>ITOT-ELS</v>
          </cell>
          <cell r="H86">
            <v>2.3843265347968434E-2</v>
          </cell>
          <cell r="I86">
            <v>0.24047071220397875</v>
          </cell>
          <cell r="J86">
            <v>0.27892692815472209</v>
          </cell>
        </row>
        <row r="87">
          <cell r="A87" t="str">
            <v>ITOT-STG-ELCSPEC</v>
          </cell>
          <cell r="B87" t="str">
            <v>VAR_ncap</v>
          </cell>
          <cell r="C87" t="str">
            <v>-</v>
          </cell>
          <cell r="H87">
            <v>1.2949040694991299E-5</v>
          </cell>
          <cell r="I87">
            <v>8.3571744959674808E-3</v>
          </cell>
          <cell r="J87">
            <v>1.94987079849464E-3</v>
          </cell>
          <cell r="L87"/>
        </row>
        <row r="88">
          <cell r="A88" t="str">
            <v>ITOT-STG-ELCSPEC</v>
          </cell>
          <cell r="B88" t="str">
            <v>VAR_cap</v>
          </cell>
          <cell r="C88" t="str">
            <v>-</v>
          </cell>
          <cell r="H88">
            <v>9.0788882539547639E-4</v>
          </cell>
          <cell r="I88">
            <v>8.8748204116301764E-3</v>
          </cell>
          <cell r="J88">
            <v>1.0317483675358641E-2</v>
          </cell>
        </row>
        <row r="89">
          <cell r="A89" t="str">
            <v>D-RHES_LTH_CHPNGA</v>
          </cell>
          <cell r="B89" t="str">
            <v>VAR_fout</v>
          </cell>
          <cell r="C89" t="str">
            <v>RHSA_LTH</v>
          </cell>
          <cell r="H89">
            <v>9.0652591456623095E-3</v>
          </cell>
          <cell r="I89">
            <v>8.1555519786592951E-4</v>
          </cell>
          <cell r="J89">
            <v>8.7732973056291144E-6</v>
          </cell>
        </row>
        <row r="90">
          <cell r="A90" t="str">
            <v>D-RHES_LTH_CHPNGA</v>
          </cell>
          <cell r="B90" t="str">
            <v>VAR_fout</v>
          </cell>
          <cell r="C90" t="str">
            <v>LTH</v>
          </cell>
          <cell r="H90">
            <v>8.1135772346607576E-6</v>
          </cell>
          <cell r="I90">
            <v>5.7220863594842638E-7</v>
          </cell>
          <cell r="J90">
            <v>4.888117102117648E-6</v>
          </cell>
        </row>
        <row r="91">
          <cell r="A91" t="str">
            <v>D-RHES_LTH_CHPNGA</v>
          </cell>
          <cell r="B91" t="str">
            <v>VAR_fout</v>
          </cell>
          <cell r="C91" t="str">
            <v>RHES_LTH_CHPNGA_ON</v>
          </cell>
          <cell r="H91"/>
          <cell r="I91">
            <v>7.1808331015351539E-4</v>
          </cell>
          <cell r="J91">
            <v>3.2386124173436593E-6</v>
          </cell>
        </row>
        <row r="92">
          <cell r="A92" t="str">
            <v>D-RHES_LTH_CHPNGA</v>
          </cell>
          <cell r="B92" t="str">
            <v>VAR_fin</v>
          </cell>
          <cell r="C92" t="str">
            <v>RHES_LTH_CHPNGA</v>
          </cell>
          <cell r="H92">
            <v>9.0738690261715858E-3</v>
          </cell>
          <cell r="I92">
            <v>1.5358303316914091E-3</v>
          </cell>
          <cell r="J92">
            <v>1.6900026825090425E-5</v>
          </cell>
        </row>
        <row r="93">
          <cell r="A93" t="str">
            <v>D-ICOA</v>
          </cell>
          <cell r="B93" t="str">
            <v>VAR_fout</v>
          </cell>
          <cell r="C93" t="str">
            <v>ICOA</v>
          </cell>
          <cell r="H93">
            <v>2.2535582696409798E-3</v>
          </cell>
          <cell r="I93">
            <v>2.5928858867473818E-4</v>
          </cell>
          <cell r="J93"/>
        </row>
        <row r="94">
          <cell r="A94" t="str">
            <v>D-ICOA</v>
          </cell>
          <cell r="B94" t="str">
            <v>VAR_fout</v>
          </cell>
          <cell r="C94" t="str">
            <v>CO2</v>
          </cell>
          <cell r="H94">
            <v>0.208904851595719</v>
          </cell>
          <cell r="I94">
            <v>2.40360521701482E-2</v>
          </cell>
          <cell r="J94"/>
        </row>
        <row r="95">
          <cell r="A95" t="str">
            <v>D-ICOA</v>
          </cell>
          <cell r="B95" t="str">
            <v>VAR_fin</v>
          </cell>
          <cell r="C95" t="str">
            <v>COA</v>
          </cell>
          <cell r="H95">
            <v>2.2535582696409798E-3</v>
          </cell>
          <cell r="I95">
            <v>2.5928858867473818E-4</v>
          </cell>
          <cell r="J95"/>
        </row>
        <row r="96">
          <cell r="A96" t="str">
            <v>RHEM-SHCONBR1</v>
          </cell>
          <cell r="B96" t="str">
            <v>VAR_fout</v>
          </cell>
          <cell r="C96" t="str">
            <v>RHEM-SHCON</v>
          </cell>
          <cell r="H96">
            <v>4.2469481961974322</v>
          </cell>
          <cell r="I96">
            <v>4.2469860648953741</v>
          </cell>
          <cell r="J96">
            <v>4.2470327638732801</v>
          </cell>
        </row>
        <row r="97">
          <cell r="A97" t="str">
            <v>RHEM-SHCONBR1</v>
          </cell>
          <cell r="B97" t="str">
            <v>VAR_fin</v>
          </cell>
          <cell r="C97" t="str">
            <v>CON</v>
          </cell>
          <cell r="H97">
            <v>4.2469481961974322</v>
          </cell>
          <cell r="I97">
            <v>4.2469860648953741</v>
          </cell>
          <cell r="J97">
            <v>4.2470327638732801</v>
          </cell>
        </row>
        <row r="98">
          <cell r="A98" t="str">
            <v>RHEM-SHCONBR1</v>
          </cell>
          <cell r="B98" t="str">
            <v>VAR_ncap</v>
          </cell>
          <cell r="C98" t="str">
            <v>-</v>
          </cell>
          <cell r="H98">
            <v>7.4868753311117295E-2</v>
          </cell>
          <cell r="I98">
            <v>2.2903865127273899E-6</v>
          </cell>
          <cell r="J98">
            <v>2.5359174730180099E-2</v>
          </cell>
        </row>
        <row r="99">
          <cell r="A99" t="str">
            <v>RHEM-SHCONBR1</v>
          </cell>
          <cell r="B99" t="str">
            <v>VAR_cap</v>
          </cell>
          <cell r="C99" t="str">
            <v>-</v>
          </cell>
          <cell r="H99">
            <v>0.29989940262259268</v>
          </cell>
          <cell r="I99">
            <v>0.29990169555702439</v>
          </cell>
          <cell r="J99">
            <v>0.29990255634032592</v>
          </cell>
        </row>
        <row r="100">
          <cell r="A100" t="str">
            <v>RHEM-SHELCBR</v>
          </cell>
          <cell r="B100" t="str">
            <v>VAR_fout</v>
          </cell>
          <cell r="C100" t="str">
            <v>RHEM-SHAELCB</v>
          </cell>
          <cell r="H100">
            <v>3.8901684035658633E-3</v>
          </cell>
          <cell r="I100">
            <v>3.1408011561962859E-3</v>
          </cell>
          <cell r="J100">
            <v>3.421329964754184E-3</v>
          </cell>
        </row>
        <row r="101">
          <cell r="A101" t="str">
            <v>RHEM-SHELCBR</v>
          </cell>
          <cell r="B101" t="str">
            <v>VAR_fin</v>
          </cell>
          <cell r="C101" t="str">
            <v>RHEM_ELC</v>
          </cell>
          <cell r="H101">
            <v>4.18177706800665E-3</v>
          </cell>
          <cell r="I101">
            <v>3.3762369356841217E-3</v>
          </cell>
          <cell r="J101">
            <v>3.6777943020612001E-3</v>
          </cell>
        </row>
        <row r="102">
          <cell r="A102" t="str">
            <v>RHEM-SHELCBR</v>
          </cell>
          <cell r="B102" t="str">
            <v>VAR_ncap</v>
          </cell>
          <cell r="C102" t="str">
            <v>-</v>
          </cell>
          <cell r="H102">
            <v>9.1881764006652194E-6</v>
          </cell>
          <cell r="I102">
            <v>3.8925941775113802E-4</v>
          </cell>
          <cell r="J102">
            <v>5.7873344954697802E-5</v>
          </cell>
        </row>
        <row r="103">
          <cell r="A103" t="str">
            <v>RHEM-SHELCBR</v>
          </cell>
          <cell r="B103" t="str">
            <v>VAR_cap</v>
          </cell>
          <cell r="C103" t="str">
            <v>-</v>
          </cell>
          <cell r="H103">
            <v>4.3600174138475056E-4</v>
          </cell>
          <cell r="I103">
            <v>3.9788505834616373E-4</v>
          </cell>
          <cell r="J103">
            <v>3.4373094352312187E-4</v>
          </cell>
        </row>
        <row r="104">
          <cell r="A104" t="str">
            <v>RHNM-SHLTHCHPNGA</v>
          </cell>
          <cell r="B104" t="str">
            <v>VAR_fout</v>
          </cell>
          <cell r="C104" t="str">
            <v>RHNM-SHLTHC-NGA</v>
          </cell>
          <cell r="H104"/>
          <cell r="I104"/>
          <cell r="J104"/>
        </row>
        <row r="105">
          <cell r="A105" t="str">
            <v>RHNM-SHLTHCHPNGA</v>
          </cell>
          <cell r="B105" t="str">
            <v>VAR_fin</v>
          </cell>
          <cell r="C105" t="str">
            <v>RHNMLTHCHPC</v>
          </cell>
          <cell r="H105"/>
          <cell r="I105"/>
          <cell r="J105"/>
        </row>
        <row r="106">
          <cell r="A106" t="str">
            <v>RHNM-SHLTHCHPNGA</v>
          </cell>
          <cell r="B106" t="str">
            <v>VAR_fin</v>
          </cell>
          <cell r="C106" t="str">
            <v>RHNM_LTH_CHPNGA_ON</v>
          </cell>
          <cell r="H106"/>
          <cell r="I106"/>
          <cell r="J106"/>
        </row>
        <row r="107">
          <cell r="A107" t="str">
            <v>RHNM-SHLTHCHPNGA</v>
          </cell>
          <cell r="B107" t="str">
            <v>VAR_ncap</v>
          </cell>
          <cell r="C107" t="str">
            <v>-</v>
          </cell>
          <cell r="H107">
            <v>1.6767198416636699E-4</v>
          </cell>
          <cell r="I107">
            <v>6.8757310062821805E-5</v>
          </cell>
          <cell r="J107">
            <v>2.3954997548720299E-8</v>
          </cell>
        </row>
        <row r="108">
          <cell r="A108" t="str">
            <v>RHNM-SHLTHCHPNGA</v>
          </cell>
          <cell r="B108" t="str">
            <v>VAR_cap</v>
          </cell>
          <cell r="C108" t="str">
            <v>-</v>
          </cell>
          <cell r="H108">
            <v>2.9963078554481003E-4</v>
          </cell>
          <cell r="I108">
            <v>1.3727251261226397E-4</v>
          </cell>
          <cell r="J108"/>
        </row>
        <row r="109">
          <cell r="A109" t="str">
            <v>RHEM-SHCONBR2</v>
          </cell>
          <cell r="B109" t="str">
            <v>VAR_fout</v>
          </cell>
          <cell r="C109" t="str">
            <v>RHEM-SHCON</v>
          </cell>
          <cell r="H109">
            <v>2.963678229391844</v>
          </cell>
          <cell r="I109">
            <v>4.0246060371095398</v>
          </cell>
          <cell r="J109">
            <v>6.6148363875105884</v>
          </cell>
        </row>
        <row r="110">
          <cell r="A110" t="str">
            <v>RHEM-SHCONBR2</v>
          </cell>
          <cell r="B110" t="str">
            <v>VAR_fin</v>
          </cell>
          <cell r="C110" t="str">
            <v>CON</v>
          </cell>
          <cell r="H110">
            <v>2.963678229391844</v>
          </cell>
          <cell r="I110">
            <v>4.0246060371095398</v>
          </cell>
          <cell r="J110">
            <v>6.6148363875105884</v>
          </cell>
        </row>
        <row r="111">
          <cell r="A111" t="str">
            <v>RHEM-SHCONBR2</v>
          </cell>
          <cell r="B111" t="str">
            <v>VAR_ncap</v>
          </cell>
          <cell r="C111" t="str">
            <v>-</v>
          </cell>
          <cell r="H111">
            <v>0.123452758745309</v>
          </cell>
          <cell r="I111">
            <v>7.4915480206065505E-2</v>
          </cell>
          <cell r="J111">
            <v>0.22239839763674299</v>
          </cell>
        </row>
        <row r="112">
          <cell r="A112" t="str">
            <v>RHEM-SHCONBR2</v>
          </cell>
          <cell r="B112" t="str">
            <v>VAR_cap</v>
          </cell>
          <cell r="C112" t="str">
            <v>-</v>
          </cell>
          <cell r="H112">
            <v>0.20928300625931837</v>
          </cell>
          <cell r="I112">
            <v>0.28419848926966401</v>
          </cell>
          <cell r="J112">
            <v>0.46710084146962039</v>
          </cell>
        </row>
        <row r="113">
          <cell r="A113" t="str">
            <v>D-RHSA_LTH</v>
          </cell>
          <cell r="B113" t="str">
            <v>VAR_fout</v>
          </cell>
          <cell r="C113" t="str">
            <v>RHSA_LTH</v>
          </cell>
          <cell r="H113">
            <v>8.0275267836684115E-3</v>
          </cell>
          <cell r="I113">
            <v>0.5589570951320969</v>
          </cell>
          <cell r="J113">
            <v>9.5380441861957783E-3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RHEM_LTH_CHPWOD_ON</v>
          </cell>
          <cell r="H114"/>
          <cell r="I114">
            <v>0.38336310870187584</v>
          </cell>
          <cell r="J114">
            <v>9.5238992708404375E-3</v>
          </cell>
        </row>
        <row r="115">
          <cell r="A115" t="str">
            <v>D-RHSA_LTH</v>
          </cell>
          <cell r="B115" t="str">
            <v>VAR_fin</v>
          </cell>
          <cell r="C115" t="str">
            <v>RHNM_LTH_CHPWOD_ON</v>
          </cell>
          <cell r="H115"/>
          <cell r="I115">
            <v>0.17198061285930452</v>
          </cell>
          <cell r="J115"/>
        </row>
        <row r="116">
          <cell r="A116" t="str">
            <v>D-RHSA_LTH</v>
          </cell>
          <cell r="B116" t="str">
            <v>VAR_fin</v>
          </cell>
          <cell r="C116" t="str">
            <v>RHES_LTH_CHPWOD_ON</v>
          </cell>
          <cell r="H116"/>
          <cell r="I116">
            <v>5.9898577688797519E-4</v>
          </cell>
          <cell r="J116"/>
        </row>
        <row r="117">
          <cell r="A117" t="str">
            <v>D-RHSA_LTH</v>
          </cell>
          <cell r="B117" t="str">
            <v>VAR_fin</v>
          </cell>
          <cell r="C117" t="str">
            <v>RHNS_LTH_CHPWOD_ON</v>
          </cell>
          <cell r="H117"/>
          <cell r="I117">
            <v>6.9143064889289849E-5</v>
          </cell>
          <cell r="J117"/>
        </row>
        <row r="118">
          <cell r="A118" t="str">
            <v>D-RHSA_LTH</v>
          </cell>
          <cell r="B118" t="str">
            <v>VAR_fin</v>
          </cell>
          <cell r="C118" t="str">
            <v>RHEM_LTH_CHPNGA_ON</v>
          </cell>
          <cell r="H118">
            <v>7.0335027208432415E-3</v>
          </cell>
          <cell r="I118">
            <v>9.92750618191584E-4</v>
          </cell>
          <cell r="J118">
            <v>4.5454088492544868E-6</v>
          </cell>
        </row>
        <row r="119">
          <cell r="A119" t="str">
            <v>D-RHSA_LTH</v>
          </cell>
          <cell r="B119" t="str">
            <v>VAR_fin</v>
          </cell>
          <cell r="C119" t="str">
            <v>RHNM_LTH_CHPNGA_ON</v>
          </cell>
          <cell r="H119">
            <v>9.9402406282517218E-4</v>
          </cell>
          <cell r="I119">
            <v>1.0882994482181749E-3</v>
          </cell>
          <cell r="J119">
            <v>3.4828004769414661E-6</v>
          </cell>
        </row>
        <row r="120">
          <cell r="A120" t="str">
            <v>D-RHSA_LTH</v>
          </cell>
          <cell r="B120" t="str">
            <v>VAR_fin</v>
          </cell>
          <cell r="C120" t="str">
            <v>RHES_LTH_CHPNGA_ON</v>
          </cell>
          <cell r="H120"/>
          <cell r="I120">
            <v>7.1808331015351539E-4</v>
          </cell>
          <cell r="J120">
            <v>3.2386124173436593E-6</v>
          </cell>
        </row>
        <row r="121">
          <cell r="A121" t="str">
            <v>D-RHSA_LTH</v>
          </cell>
          <cell r="B121" t="str">
            <v>VAR_fin</v>
          </cell>
          <cell r="C121" t="str">
            <v>RHNS_LTH_CHPNGA_ON</v>
          </cell>
          <cell r="H121"/>
          <cell r="I121">
            <v>1.4611135257603262E-4</v>
          </cell>
          <cell r="J121">
            <v>2.8780936117922467E-6</v>
          </cell>
        </row>
        <row r="122">
          <cell r="A122" t="str">
            <v>RHEM-SHLTHCHPWOD</v>
          </cell>
          <cell r="B122" t="str">
            <v>VAR_ncap</v>
          </cell>
          <cell r="C122" t="str">
            <v>-</v>
          </cell>
          <cell r="H122">
            <v>2.17600358776198E-2</v>
          </cell>
          <cell r="I122">
            <v>1.1716639389770699E-2</v>
          </cell>
          <cell r="J122">
            <v>6.8889893940671304E-3</v>
          </cell>
        </row>
        <row r="123">
          <cell r="A123" t="str">
            <v>RHEM-SHLTHCHPWOD</v>
          </cell>
          <cell r="B123" t="str">
            <v>VAR_cap</v>
          </cell>
          <cell r="C123" t="str">
            <v>-</v>
          </cell>
          <cell r="H123">
            <v>2.1875063677434591E-2</v>
          </cell>
          <cell r="I123">
            <v>2.6523315266460238E-2</v>
          </cell>
          <cell r="J123">
            <v>1.41284749054433E-2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RHEM_LTH_CHPWOD_ON</v>
          </cell>
          <cell r="H124"/>
          <cell r="I124">
            <v>0.38336310870187584</v>
          </cell>
          <cell r="J124">
            <v>9.5238992708404375E-3</v>
          </cell>
        </row>
        <row r="125">
          <cell r="A125" t="str">
            <v>D-RHEM_LTH_CHPWOD</v>
          </cell>
          <cell r="B125" t="str">
            <v>VAR_fout</v>
          </cell>
          <cell r="C125" t="str">
            <v>RHSA_LTH</v>
          </cell>
          <cell r="H125">
            <v>0.5914874223678992</v>
          </cell>
          <cell r="I125">
            <v>0.36773161938368171</v>
          </cell>
          <cell r="J125">
            <v>0.35567947543755096</v>
          </cell>
        </row>
        <row r="126">
          <cell r="A126" t="str">
            <v>D-RHEM_LTH_CHPWOD</v>
          </cell>
          <cell r="B126" t="str">
            <v>VAR_fout</v>
          </cell>
          <cell r="C126" t="str">
            <v>LTH</v>
          </cell>
          <cell r="H126">
            <v>3.4113952653792444E-4</v>
          </cell>
          <cell r="I126">
            <v>2.7922348170465267E-4</v>
          </cell>
          <cell r="J126">
            <v>1.5540115705648985E-4</v>
          </cell>
        </row>
        <row r="127">
          <cell r="A127" t="str">
            <v>D-RHEM_LTH_CHPWOD</v>
          </cell>
          <cell r="B127" t="str">
            <v>VAR_fin</v>
          </cell>
          <cell r="C127" t="str">
            <v>RHEM_LTH_CHPWOD</v>
          </cell>
          <cell r="H127">
            <v>0.59182856189443744</v>
          </cell>
          <cell r="I127">
            <v>0.75137407790305255</v>
          </cell>
          <cell r="J127">
            <v>0.36535886915044818</v>
          </cell>
        </row>
        <row r="128">
          <cell r="A128" t="str">
            <v>RHES-SHLTHDH</v>
          </cell>
          <cell r="B128" t="str">
            <v>VAR_fout</v>
          </cell>
          <cell r="C128" t="str">
            <v>RHES-SHLTHD</v>
          </cell>
          <cell r="H128">
            <v>2.0765007737380099</v>
          </cell>
          <cell r="I128">
            <v>2.2427617730549216</v>
          </cell>
          <cell r="J128">
            <v>2.1427061550986251</v>
          </cell>
        </row>
        <row r="129">
          <cell r="A129" t="str">
            <v>RHES-SHLTHDH</v>
          </cell>
          <cell r="B129" t="str">
            <v>VAR_fin</v>
          </cell>
          <cell r="C129" t="str">
            <v>RHESLTHDHC</v>
          </cell>
          <cell r="H129">
            <v>2.0765007737380099</v>
          </cell>
          <cell r="I129">
            <v>2.2427617730549216</v>
          </cell>
          <cell r="J129">
            <v>2.1427061550986251</v>
          </cell>
          <cell r="L129"/>
          <cell r="M129"/>
          <cell r="N129"/>
        </row>
        <row r="130">
          <cell r="A130" t="str">
            <v>RHES-SHLTHDH</v>
          </cell>
          <cell r="B130" t="str">
            <v>VAR_fin</v>
          </cell>
          <cell r="C130" t="str">
            <v>RHES_LTH_DH</v>
          </cell>
          <cell r="H130">
            <v>2.3207857004300281</v>
          </cell>
          <cell r="I130">
            <v>2.5043485464308541</v>
          </cell>
          <cell r="J130">
            <v>2.3855919370715299</v>
          </cell>
        </row>
        <row r="131">
          <cell r="A131" t="str">
            <v>RHES-SHLTHDH</v>
          </cell>
          <cell r="B131" t="str">
            <v>VAR_ncap</v>
          </cell>
          <cell r="C131" t="str">
            <v>-</v>
          </cell>
          <cell r="H131">
            <v>3.7861366648287299E-2</v>
          </cell>
          <cell r="I131">
            <v>4.1150056743162799E-2</v>
          </cell>
          <cell r="J131">
            <v>3.5369921452460797E-2</v>
          </cell>
        </row>
        <row r="132">
          <cell r="A132" t="str">
            <v>RHES-SHLTHDH</v>
          </cell>
          <cell r="B132" t="str">
            <v>VAR_cap</v>
          </cell>
          <cell r="C132" t="str">
            <v>-</v>
          </cell>
          <cell r="H132">
            <v>0.17532158898339201</v>
          </cell>
          <cell r="I132">
            <v>0.18265340979912298</v>
          </cell>
          <cell r="J132">
            <v>0.17954158428433808</v>
          </cell>
        </row>
        <row r="133">
          <cell r="A133" t="str">
            <v>RHEM-SHCONBR3</v>
          </cell>
          <cell r="B133" t="str">
            <v>VAR_fout</v>
          </cell>
          <cell r="C133" t="str">
            <v>RHEM-SHCON</v>
          </cell>
          <cell r="H133">
            <v>0.97653406430491307</v>
          </cell>
          <cell r="I133">
            <v>2.4789883509700341</v>
          </cell>
          <cell r="J133">
            <v>4.560390088347817</v>
          </cell>
        </row>
        <row r="134">
          <cell r="A134" t="str">
            <v>RHEM-SHCONBR3</v>
          </cell>
          <cell r="B134" t="str">
            <v>VAR_fin</v>
          </cell>
          <cell r="C134" t="str">
            <v>CON</v>
          </cell>
          <cell r="H134">
            <v>0.97653406430491307</v>
          </cell>
          <cell r="I134">
            <v>2.4789883509700341</v>
          </cell>
          <cell r="J134">
            <v>4.560390088347817</v>
          </cell>
        </row>
        <row r="135">
          <cell r="A135" t="str">
            <v>RHEM-SHCONBR3</v>
          </cell>
          <cell r="B135" t="str">
            <v>VAR_ncap</v>
          </cell>
          <cell r="C135" t="str">
            <v>-</v>
          </cell>
          <cell r="H135">
            <v>1.54707275567079E-7</v>
          </cell>
          <cell r="I135">
            <v>0.106093337748047</v>
          </cell>
          <cell r="J135">
            <v>0.17870609126739601</v>
          </cell>
        </row>
        <row r="136">
          <cell r="A136" t="str">
            <v>RHEM-SHCONBR3</v>
          </cell>
          <cell r="B136" t="str">
            <v>VAR_cap</v>
          </cell>
          <cell r="C136" t="str">
            <v>-</v>
          </cell>
          <cell r="H136">
            <v>6.8963103174536147E-2</v>
          </cell>
          <cell r="I136">
            <v>0.17505644518652522</v>
          </cell>
          <cell r="J136">
            <v>0.32202608605967448</v>
          </cell>
        </row>
        <row r="137">
          <cell r="A137" t="str">
            <v>D-RHSA_ELC</v>
          </cell>
          <cell r="B137" t="str">
            <v>VAR_fout</v>
          </cell>
          <cell r="C137" t="str">
            <v>RHSA_ELC</v>
          </cell>
          <cell r="H137">
            <v>54.137582756350767</v>
          </cell>
          <cell r="I137">
            <v>53.023141385142381</v>
          </cell>
          <cell r="J137">
            <v>49.842014736344495</v>
          </cell>
        </row>
        <row r="138">
          <cell r="A138" t="str">
            <v>D-RHSA_ELC</v>
          </cell>
          <cell r="B138" t="str">
            <v>VAR_fin</v>
          </cell>
          <cell r="C138" t="str">
            <v>RHNS_ELC</v>
          </cell>
          <cell r="H138">
            <v>17.204617725961015</v>
          </cell>
          <cell r="I138">
            <v>17.09981443056834</v>
          </cell>
          <cell r="J138">
            <v>16.519970061947017</v>
          </cell>
        </row>
        <row r="139">
          <cell r="A139" t="str">
            <v>D-RHSA_ELC</v>
          </cell>
          <cell r="B139" t="str">
            <v>VAR_fin</v>
          </cell>
          <cell r="C139" t="str">
            <v>RHES_ELC</v>
          </cell>
          <cell r="H139">
            <v>11.674913469714346</v>
          </cell>
          <cell r="I139">
            <v>11.507669481385655</v>
          </cell>
          <cell r="J139">
            <v>11.019814085375733</v>
          </cell>
        </row>
        <row r="140">
          <cell r="A140" t="str">
            <v>D-RHSA_ELC</v>
          </cell>
          <cell r="B140" t="str">
            <v>VAR_fin</v>
          </cell>
          <cell r="C140" t="str">
            <v>RHNM_ELC</v>
          </cell>
          <cell r="H140">
            <v>13.62718213580151</v>
          </cell>
          <cell r="I140">
            <v>13.310403766823613</v>
          </cell>
          <cell r="J140">
            <v>12.131013681248859</v>
          </cell>
        </row>
        <row r="141">
          <cell r="A141" t="str">
            <v>D-RHSA_ELC</v>
          </cell>
          <cell r="B141" t="str">
            <v>VAR_fin</v>
          </cell>
          <cell r="C141" t="str">
            <v>RHEM_ELC</v>
          </cell>
          <cell r="H141">
            <v>11.630869424873882</v>
          </cell>
          <cell r="I141">
            <v>11.105253706364801</v>
          </cell>
          <cell r="J141">
            <v>10.171216907772855</v>
          </cell>
        </row>
        <row r="142">
          <cell r="A142" t="str">
            <v>SCOM-SHLTHDH</v>
          </cell>
          <cell r="B142" t="str">
            <v>VAR_fout</v>
          </cell>
          <cell r="C142" t="str">
            <v>SCOM-SHLTHD</v>
          </cell>
          <cell r="H142">
            <v>6.8699770515235112</v>
          </cell>
          <cell r="I142">
            <v>7.630971651334244</v>
          </cell>
          <cell r="J142">
            <v>7.375918720696288</v>
          </cell>
        </row>
        <row r="143">
          <cell r="A143" t="str">
            <v>SCOM-SHLTHDH</v>
          </cell>
          <cell r="B143" t="str">
            <v>VAR_fin</v>
          </cell>
          <cell r="C143" t="str">
            <v>SCOMLTHDHC</v>
          </cell>
          <cell r="H143">
            <v>6.8699770515235112</v>
          </cell>
          <cell r="I143">
            <v>7.630971651334244</v>
          </cell>
          <cell r="J143">
            <v>7.375918720696288</v>
          </cell>
        </row>
        <row r="144">
          <cell r="A144" t="str">
            <v>SCOM-SHLTHDH</v>
          </cell>
          <cell r="B144" t="str">
            <v>VAR_fin</v>
          </cell>
          <cell r="C144" t="str">
            <v>SCOM_LTH_DH</v>
          </cell>
          <cell r="H144">
            <v>8.3305128583547994</v>
          </cell>
          <cell r="I144">
            <v>9.2532925490753133</v>
          </cell>
          <cell r="J144">
            <v>8.9440161566935714</v>
          </cell>
        </row>
        <row r="145">
          <cell r="A145" t="str">
            <v>SCOM-SHLTHDH</v>
          </cell>
          <cell r="B145" t="str">
            <v>VAR_ncap</v>
          </cell>
          <cell r="C145" t="str">
            <v>-</v>
          </cell>
          <cell r="H145">
            <v>0.56467981709437798</v>
          </cell>
          <cell r="I145">
            <v>0.22125181094885299</v>
          </cell>
          <cell r="J145">
            <v>0.47938265481632902</v>
          </cell>
        </row>
        <row r="146">
          <cell r="A146" t="str">
            <v>SCOM-SHLTHDH</v>
          </cell>
          <cell r="B146" t="str">
            <v>VAR_cap</v>
          </cell>
          <cell r="C146" t="str">
            <v>-</v>
          </cell>
          <cell r="H146">
            <v>0.84969896512935006</v>
          </cell>
          <cell r="I146">
            <v>0.84969998542885394</v>
          </cell>
          <cell r="J146">
            <v>0.84970037050856184</v>
          </cell>
        </row>
        <row r="147">
          <cell r="A147" t="str">
            <v>ITOT-SWHSTG-ELC</v>
          </cell>
          <cell r="B147" t="str">
            <v>VAR_fout</v>
          </cell>
          <cell r="C147" t="str">
            <v>ITOT-SWHAELC</v>
          </cell>
          <cell r="H147">
            <v>8.2292935145472756E-2</v>
          </cell>
          <cell r="I147">
            <v>0.59038600850959111</v>
          </cell>
          <cell r="J147">
            <v>1.4396824902763892</v>
          </cell>
        </row>
        <row r="148">
          <cell r="A148" t="str">
            <v>ITOT-SWHSTG-ELC</v>
          </cell>
          <cell r="B148" t="str">
            <v>VAR_fin</v>
          </cell>
          <cell r="C148" t="str">
            <v>ITOT-SWHAELC</v>
          </cell>
          <cell r="H148">
            <v>9.9815345430418242E-2</v>
          </cell>
          <cell r="I148">
            <v>0.69464697234489381</v>
          </cell>
          <cell r="J148">
            <v>1.5997436164031582</v>
          </cell>
        </row>
        <row r="149">
          <cell r="A149" t="str">
            <v>ITOT-SWHSTG-ELC</v>
          </cell>
          <cell r="B149" t="str">
            <v>VAR_ncap</v>
          </cell>
          <cell r="C149" t="str">
            <v>-</v>
          </cell>
          <cell r="H149">
            <v>0.134880607084372</v>
          </cell>
          <cell r="I149">
            <v>0.117532111262315</v>
          </cell>
          <cell r="J149">
            <v>0.23251377055995001</v>
          </cell>
        </row>
        <row r="150">
          <cell r="A150" t="str">
            <v>ITOT-SWHSTG-ELC</v>
          </cell>
          <cell r="B150" t="str">
            <v>VAR_cap</v>
          </cell>
          <cell r="C150" t="str">
            <v>-</v>
          </cell>
          <cell r="H150">
            <v>0.37203186427534524</v>
          </cell>
          <cell r="I150">
            <v>0.33946114067229594</v>
          </cell>
          <cell r="J150">
            <v>0.37486166502132429</v>
          </cell>
        </row>
        <row r="151">
          <cell r="A151" t="str">
            <v>D-SCOM_SOLELC</v>
          </cell>
          <cell r="B151" t="str">
            <v>VAR_fout</v>
          </cell>
          <cell r="C151" t="str">
            <v>ELC5</v>
          </cell>
          <cell r="H151">
            <v>8.6153793795831172E-4</v>
          </cell>
          <cell r="I151">
            <v>0.54527759050432334</v>
          </cell>
          <cell r="J151">
            <v>0.54831650113756292</v>
          </cell>
        </row>
        <row r="152">
          <cell r="A152" t="str">
            <v>D-SCOM_SOLELC</v>
          </cell>
          <cell r="B152" t="str">
            <v>VAR_fout</v>
          </cell>
          <cell r="C152" t="str">
            <v>SCOM_ELC</v>
          </cell>
          <cell r="H152">
            <v>18.814416096279054</v>
          </cell>
          <cell r="I152">
            <v>35.487610442997955</v>
          </cell>
          <cell r="J152">
            <v>37.788241127866058</v>
          </cell>
        </row>
        <row r="153">
          <cell r="A153" t="str">
            <v>D-SCOM_SOLELC</v>
          </cell>
          <cell r="B153" t="str">
            <v>VAR_fin</v>
          </cell>
          <cell r="C153" t="str">
            <v>SCOM_SOL_ELC</v>
          </cell>
          <cell r="H153">
            <v>18.815277634217011</v>
          </cell>
          <cell r="I153">
            <v>36.03288803350226</v>
          </cell>
          <cell r="J153">
            <v>38.33655762900365</v>
          </cell>
        </row>
        <row r="154">
          <cell r="A154" t="str">
            <v>D-ILFO</v>
          </cell>
          <cell r="B154" t="str">
            <v>VAR_fout</v>
          </cell>
          <cell r="C154" t="str">
            <v>CO2</v>
          </cell>
          <cell r="H154">
            <v>452.91007803125598</v>
          </cell>
          <cell r="I154">
            <v>239.29763546799001</v>
          </cell>
          <cell r="J154">
            <v>3.1408589016429002E-4</v>
          </cell>
        </row>
        <row r="155">
          <cell r="A155" t="str">
            <v>D-ILFO</v>
          </cell>
          <cell r="B155" t="str">
            <v>VAR_fout</v>
          </cell>
          <cell r="C155" t="str">
            <v>ILFO</v>
          </cell>
          <cell r="H155">
            <v>6.1827622242518432</v>
          </cell>
          <cell r="I155">
            <v>3.3327587696569569</v>
          </cell>
          <cell r="J155">
            <v>0.25347337143741311</v>
          </cell>
        </row>
        <row r="156">
          <cell r="A156" t="str">
            <v>D-ILFO</v>
          </cell>
          <cell r="B156" t="str">
            <v>VAR_fin</v>
          </cell>
          <cell r="C156" t="str">
            <v>LFO</v>
          </cell>
          <cell r="H156">
            <v>6.1453199190129713</v>
          </cell>
          <cell r="I156">
            <v>3.2469149995656701</v>
          </cell>
          <cell r="J156">
            <v>4.2616810062997371E-6</v>
          </cell>
        </row>
        <row r="157">
          <cell r="A157" t="str">
            <v>D-ILFO</v>
          </cell>
          <cell r="B157" t="str">
            <v>VAR_fin</v>
          </cell>
          <cell r="C157" t="str">
            <v>BDS</v>
          </cell>
          <cell r="H157">
            <v>0.1424560119553967</v>
          </cell>
          <cell r="I157">
            <v>0.14245720138500653</v>
          </cell>
          <cell r="J157">
            <v>0.2577821145806492</v>
          </cell>
        </row>
        <row r="158">
          <cell r="A158" t="str">
            <v>RHEM-SHSTG-NGAHP</v>
          </cell>
          <cell r="B158" t="str">
            <v>VAR_fout</v>
          </cell>
          <cell r="C158" t="str">
            <v>AUX_RHEM-SHSTG-NGAHP_OUT</v>
          </cell>
          <cell r="H158">
            <v>0.84936585770163886</v>
          </cell>
          <cell r="I158">
            <v>1.1473609139524037</v>
          </cell>
          <cell r="J158">
            <v>0.99256984406269222</v>
          </cell>
        </row>
        <row r="159">
          <cell r="A159" t="str">
            <v>RHEM-SHSTG-NGAHP</v>
          </cell>
          <cell r="B159" t="str">
            <v>VAR_fout</v>
          </cell>
          <cell r="C159" t="str">
            <v>RHEM-SHANGAH</v>
          </cell>
          <cell r="H159">
            <v>0.84851734036127802</v>
          </cell>
          <cell r="I159">
            <v>1.1462146992531503</v>
          </cell>
          <cell r="J159">
            <v>0.99157826579689512</v>
          </cell>
        </row>
        <row r="160">
          <cell r="A160" t="str">
            <v>RHEM-SHSTG-NGAHP</v>
          </cell>
          <cell r="B160" t="str">
            <v>VAR_fin</v>
          </cell>
          <cell r="C160" t="str">
            <v>RHEM-SHANGAH</v>
          </cell>
          <cell r="H160">
            <v>0.84853649425820221</v>
          </cell>
          <cell r="I160">
            <v>1.146229050268077</v>
          </cell>
          <cell r="J160">
            <v>0.99159590666491304</v>
          </cell>
        </row>
        <row r="161">
          <cell r="A161" t="str">
            <v>RHEM-SHSTG-NGAHP</v>
          </cell>
          <cell r="B161" t="str">
            <v>VAR_ncap</v>
          </cell>
          <cell r="C161" t="str">
            <v>-</v>
          </cell>
          <cell r="H161">
            <v>2.65106151920226E-2</v>
          </cell>
          <cell r="I161">
            <v>8.8152279942662407E-2</v>
          </cell>
          <cell r="J161">
            <v>7.8303604926061296E-2</v>
          </cell>
        </row>
        <row r="162">
          <cell r="A162" t="str">
            <v>RHEM-SHSTG-NGAHP</v>
          </cell>
          <cell r="B162" t="str">
            <v>VAR_cap</v>
          </cell>
          <cell r="C162" t="str">
            <v>-</v>
          </cell>
          <cell r="H162">
            <v>0.14189776743280533</v>
          </cell>
          <cell r="I162">
            <v>0.17297883570010669</v>
          </cell>
          <cell r="J162">
            <v>0.15345022954413348</v>
          </cell>
        </row>
        <row r="163">
          <cell r="A163" t="str">
            <v>RHEM-SHCONBR4</v>
          </cell>
          <cell r="B163" t="str">
            <v>VAR_fout</v>
          </cell>
          <cell r="C163" t="str">
            <v>RHEM-SHCON</v>
          </cell>
          <cell r="H163">
            <v>0.53690891898856563</v>
          </cell>
          <cell r="I163">
            <v>0.53691400216043739</v>
          </cell>
          <cell r="J163">
            <v>1.2305346834012196</v>
          </cell>
        </row>
        <row r="164">
          <cell r="A164" t="str">
            <v>RHEM-SHCONBR4</v>
          </cell>
          <cell r="B164" t="str">
            <v>VAR_fin</v>
          </cell>
          <cell r="C164" t="str">
            <v>CON</v>
          </cell>
          <cell r="H164">
            <v>0.53690891898856563</v>
          </cell>
          <cell r="I164">
            <v>0.53691400216043739</v>
          </cell>
          <cell r="J164">
            <v>1.2305346834012196</v>
          </cell>
        </row>
        <row r="165">
          <cell r="A165" t="str">
            <v>RHEM-SHCONBR4</v>
          </cell>
          <cell r="B165" t="str">
            <v>VAR_ncap</v>
          </cell>
          <cell r="C165" t="str">
            <v>-</v>
          </cell>
          <cell r="H165">
            <v>3.9958892001853003E-8</v>
          </cell>
          <cell r="I165">
            <v>4.2648686499662002E-8</v>
          </cell>
          <cell r="J165">
            <v>6.4971972110476298E-2</v>
          </cell>
        </row>
        <row r="166">
          <cell r="A166" t="str">
            <v>RHEM-SHCONBR4</v>
          </cell>
          <cell r="B166" t="str">
            <v>VAR_cap</v>
          </cell>
          <cell r="C166" t="str">
            <v>-</v>
          </cell>
          <cell r="H166">
            <v>3.7919406470687159E-2</v>
          </cell>
          <cell r="I166">
            <v>3.791945532440117E-2</v>
          </cell>
          <cell r="J166">
            <v>8.6893058348941121E-2</v>
          </cell>
        </row>
        <row r="167">
          <cell r="A167" t="str">
            <v>RHNM-SHCONBR</v>
          </cell>
          <cell r="B167" t="str">
            <v>VAR_fout</v>
          </cell>
          <cell r="C167" t="str">
            <v>RHNM-SHCON</v>
          </cell>
          <cell r="H167">
            <v>1.1553383984916332E-3</v>
          </cell>
          <cell r="I167">
            <v>5.9651555827353146E-3</v>
          </cell>
          <cell r="J167">
            <v>5.9286434453226459E-3</v>
          </cell>
        </row>
        <row r="168">
          <cell r="A168" t="str">
            <v>RHNM-SHCONBR</v>
          </cell>
          <cell r="B168" t="str">
            <v>VAR_fin</v>
          </cell>
          <cell r="C168" t="str">
            <v>CON</v>
          </cell>
          <cell r="H168">
            <v>1.1553383984916332E-3</v>
          </cell>
          <cell r="I168">
            <v>5.9651555827353146E-3</v>
          </cell>
          <cell r="J168">
            <v>5.9286434453226459E-3</v>
          </cell>
        </row>
        <row r="169">
          <cell r="A169" t="str">
            <v>RHNM-SHCONBR</v>
          </cell>
          <cell r="B169" t="str">
            <v>VAR_ncap</v>
          </cell>
          <cell r="C169" t="str">
            <v>-</v>
          </cell>
          <cell r="H169">
            <v>7.0065745274201101E-6</v>
          </cell>
          <cell r="I169">
            <v>3.7220767688761702E-4</v>
          </cell>
          <cell r="J169">
            <v>2.6416988433601099E-8</v>
          </cell>
        </row>
        <row r="170">
          <cell r="A170" t="str">
            <v>RHNM-SHCONBR</v>
          </cell>
          <cell r="B170" t="str">
            <v>VAR_cap</v>
          </cell>
          <cell r="C170" t="str">
            <v>-</v>
          </cell>
          <cell r="H170">
            <v>8.7812985704109825E-5</v>
          </cell>
          <cell r="I170">
            <v>4.6002498890962385E-4</v>
          </cell>
          <cell r="J170">
            <v>4.6009876820408101E-4</v>
          </cell>
        </row>
        <row r="171">
          <cell r="A171" t="str">
            <v>RHEM-SHCONBR5</v>
          </cell>
          <cell r="B171" t="str">
            <v>VAR_fout</v>
          </cell>
          <cell r="C171" t="str">
            <v>RHEM-SHCON</v>
          </cell>
          <cell r="H171">
            <v>2.7734172621953594E-3</v>
          </cell>
          <cell r="I171">
            <v>2.7788733211609137E-3</v>
          </cell>
          <cell r="J171">
            <v>1.6528898739457309E-3</v>
          </cell>
        </row>
        <row r="172">
          <cell r="A172" t="str">
            <v>RHEM-SHCONBR5</v>
          </cell>
          <cell r="B172" t="str">
            <v>VAR_fin</v>
          </cell>
          <cell r="C172" t="str">
            <v>CON</v>
          </cell>
          <cell r="H172">
            <v>2.7734172621953594E-3</v>
          </cell>
          <cell r="I172">
            <v>2.7788733211609137E-3</v>
          </cell>
          <cell r="J172">
            <v>1.6528898739457309E-3</v>
          </cell>
        </row>
        <row r="173">
          <cell r="A173" t="str">
            <v>RHEM-SHCONBR5</v>
          </cell>
          <cell r="B173" t="str">
            <v>VAR_ncap</v>
          </cell>
          <cell r="C173" t="str">
            <v>-</v>
          </cell>
          <cell r="H173">
            <v>3.77692313243485E-8</v>
          </cell>
          <cell r="I173">
            <v>3.8503626191497399E-8</v>
          </cell>
          <cell r="J173">
            <v>8.8393842123112199E-7</v>
          </cell>
        </row>
        <row r="174">
          <cell r="A174" t="str">
            <v>RHEM-SHCONBR5</v>
          </cell>
          <cell r="B174" t="str">
            <v>VAR_cap</v>
          </cell>
          <cell r="C174" t="str">
            <v>-</v>
          </cell>
          <cell r="H174">
            <v>2.0106644398583244E-4</v>
          </cell>
          <cell r="I174">
            <v>2.0110914569694682E-4</v>
          </cell>
          <cell r="J174">
            <v>1.1709940559365926E-4</v>
          </cell>
        </row>
        <row r="175">
          <cell r="A175" t="str">
            <v>ITOT-SWHNGABR</v>
          </cell>
          <cell r="B175" t="str">
            <v>VAR_fout</v>
          </cell>
          <cell r="C175" t="str">
            <v>ITOT-SWH</v>
          </cell>
          <cell r="H175">
            <v>8.4997951749818732</v>
          </cell>
          <cell r="I175">
            <v>4.394625555443584</v>
          </cell>
          <cell r="J175">
            <v>0.98904602305450795</v>
          </cell>
        </row>
        <row r="176">
          <cell r="A176" t="str">
            <v>ITOT-SWHNGABR</v>
          </cell>
          <cell r="B176" t="str">
            <v>VAR_fout</v>
          </cell>
          <cell r="C176" t="str">
            <v>CO2_I</v>
          </cell>
          <cell r="H176">
            <v>591.627226640647</v>
          </cell>
          <cell r="I176">
            <v>305.22383211457799</v>
          </cell>
          <cell r="J176">
            <v>68.396350835381199</v>
          </cell>
        </row>
        <row r="177">
          <cell r="A177" t="str">
            <v>ITOT-SWHNGABR</v>
          </cell>
          <cell r="B177" t="str">
            <v>VAR_fin</v>
          </cell>
          <cell r="C177" t="str">
            <v>INGA</v>
          </cell>
          <cell r="H177">
            <v>10.489844443983113</v>
          </cell>
          <cell r="I177">
            <v>5.4117700729535043</v>
          </cell>
          <cell r="J177">
            <v>1.2127012559464754</v>
          </cell>
        </row>
        <row r="178">
          <cell r="A178" t="str">
            <v>ITOT-SWHNGABR</v>
          </cell>
          <cell r="B178" t="str">
            <v>VAR_ncap</v>
          </cell>
          <cell r="C178" t="str">
            <v>-</v>
          </cell>
          <cell r="H178">
            <v>0.20499236419191499</v>
          </cell>
          <cell r="I178">
            <v>7.9179196292118906E-2</v>
          </cell>
          <cell r="J178">
            <v>7.9176379977105707E-6</v>
          </cell>
        </row>
        <row r="179">
          <cell r="A179" t="str">
            <v>ITOT-SWHNGABR</v>
          </cell>
          <cell r="B179" t="str">
            <v>VAR_cap</v>
          </cell>
          <cell r="C179" t="str">
            <v>-</v>
          </cell>
          <cell r="H179">
            <v>0.53471545705645473</v>
          </cell>
          <cell r="I179">
            <v>0.28417118400918939</v>
          </cell>
          <cell r="J179">
            <v>7.2895446087047899E-2</v>
          </cell>
        </row>
        <row r="180">
          <cell r="A180" t="str">
            <v>RHNM-SHSOLBR</v>
          </cell>
          <cell r="B180" t="str">
            <v>VAR_fout</v>
          </cell>
          <cell r="C180" t="str">
            <v>RHNM-SHASOL</v>
          </cell>
          <cell r="H180">
            <v>3.0246675929758757E-5</v>
          </cell>
          <cell r="I180">
            <v>4.0579314599414552E-5</v>
          </cell>
          <cell r="J180">
            <v>1.2900099318647373E-4</v>
          </cell>
          <cell r="L180"/>
        </row>
        <row r="181">
          <cell r="A181" t="str">
            <v>RHNM-SHSOLBR</v>
          </cell>
          <cell r="B181" t="str">
            <v>VAR_fin</v>
          </cell>
          <cell r="C181" t="str">
            <v>SOL</v>
          </cell>
          <cell r="H181">
            <v>3.0246675929758757E-5</v>
          </cell>
          <cell r="I181">
            <v>4.0579314599414552E-5</v>
          </cell>
          <cell r="J181">
            <v>1.2900099318647373E-4</v>
          </cell>
        </row>
        <row r="182">
          <cell r="A182" t="str">
            <v>RHNM-SHSOLBR</v>
          </cell>
          <cell r="B182" t="str">
            <v>VAR_ncap</v>
          </cell>
          <cell r="C182" t="str">
            <v>-</v>
          </cell>
          <cell r="H182">
            <v>9.4122933764648995E-5</v>
          </cell>
          <cell r="I182">
            <v>1.86251897026069E-5</v>
          </cell>
          <cell r="J182">
            <v>3.7763363884311101E-5</v>
          </cell>
        </row>
        <row r="183">
          <cell r="A183" t="str">
            <v>RHNM-SHSOLBR</v>
          </cell>
          <cell r="B183" t="str">
            <v>VAR_cap</v>
          </cell>
          <cell r="C183" t="str">
            <v>-</v>
          </cell>
          <cell r="H183">
            <v>4.7966549497808998E-4</v>
          </cell>
          <cell r="I183">
            <v>1.140401255187125E-4</v>
          </cell>
          <cell r="J183">
            <v>9.0881792357112851E-5</v>
          </cell>
        </row>
        <row r="184">
          <cell r="A184" t="str">
            <v>RHEM-SHPLTBR</v>
          </cell>
          <cell r="B184" t="str">
            <v>VAR_fout</v>
          </cell>
          <cell r="C184" t="str">
            <v>RHEM-SHPLT</v>
          </cell>
          <cell r="H184">
            <v>0.34319907098514518</v>
          </cell>
          <cell r="I184">
            <v>0.3628601776046344</v>
          </cell>
          <cell r="J184">
            <v>0.28501188436362213</v>
          </cell>
        </row>
        <row r="185">
          <cell r="A185" t="str">
            <v>RHEM-SHPLTBR</v>
          </cell>
          <cell r="B185" t="str">
            <v>VAR_fin</v>
          </cell>
          <cell r="C185" t="str">
            <v>RHEMPLTBRC</v>
          </cell>
          <cell r="H185">
            <v>0.34319907098514518</v>
          </cell>
          <cell r="I185">
            <v>0.3628601776046344</v>
          </cell>
          <cell r="J185">
            <v>0.28501188436362213</v>
          </cell>
        </row>
        <row r="186">
          <cell r="A186" t="str">
            <v>RHEM-SHPLTBR</v>
          </cell>
          <cell r="B186" t="str">
            <v>VAR_fin</v>
          </cell>
          <cell r="C186" t="str">
            <v>RPLT</v>
          </cell>
          <cell r="H186">
            <v>0.46729249744463769</v>
          </cell>
          <cell r="I186">
            <v>0.49147085079377495</v>
          </cell>
          <cell r="J186">
            <v>0.38106788648542284</v>
          </cell>
        </row>
        <row r="187">
          <cell r="A187" t="str">
            <v>RHEM-SHPLTBR</v>
          </cell>
          <cell r="B187" t="str">
            <v>VAR_ncap</v>
          </cell>
          <cell r="C187" t="str">
            <v>-</v>
          </cell>
          <cell r="H187">
            <v>8.9540415426746407E-3</v>
          </cell>
          <cell r="I187">
            <v>1.7043601914432799E-2</v>
          </cell>
          <cell r="J187">
            <v>4.01476170556725E-3</v>
          </cell>
        </row>
        <row r="188">
          <cell r="A188" t="str">
            <v>RHEM-SHPLTBR</v>
          </cell>
          <cell r="B188" t="str">
            <v>VAR_cap</v>
          </cell>
          <cell r="C188" t="str">
            <v>-</v>
          </cell>
          <cell r="H188">
            <v>2.4263455930487596E-2</v>
          </cell>
          <cell r="I188">
            <v>2.5997609031685218E-2</v>
          </cell>
          <cell r="J188">
            <v>2.0171269463794547E-2</v>
          </cell>
        </row>
        <row r="189">
          <cell r="A189" t="str">
            <v>RHEM-SHCONBR6</v>
          </cell>
          <cell r="B189" t="str">
            <v>VAR_fout</v>
          </cell>
          <cell r="C189" t="str">
            <v>RHEM-SHCON</v>
          </cell>
          <cell r="H189">
            <v>3.8151162329544939E-4</v>
          </cell>
          <cell r="I189">
            <v>3.8274212845438086E-4</v>
          </cell>
          <cell r="J189">
            <v>2.4504517163364403E-4</v>
          </cell>
        </row>
        <row r="190">
          <cell r="A190" t="str">
            <v>RHEM-SHCONBR6</v>
          </cell>
          <cell r="B190" t="str">
            <v>VAR_fin</v>
          </cell>
          <cell r="C190" t="str">
            <v>CON</v>
          </cell>
          <cell r="H190">
            <v>3.8151162329544939E-4</v>
          </cell>
          <cell r="I190">
            <v>3.8274212845438086E-4</v>
          </cell>
          <cell r="J190">
            <v>2.4504517163364403E-4</v>
          </cell>
        </row>
        <row r="191">
          <cell r="A191" t="str">
            <v>RHEM-SHCONBR6</v>
          </cell>
          <cell r="B191" t="str">
            <v>VAR_ncap</v>
          </cell>
          <cell r="C191" t="str">
            <v>-</v>
          </cell>
          <cell r="H191">
            <v>3.1671471163291998E-8</v>
          </cell>
          <cell r="I191">
            <v>3.1136592412868798E-8</v>
          </cell>
          <cell r="J191">
            <v>2.8352790091430399E-7</v>
          </cell>
        </row>
        <row r="192">
          <cell r="A192" t="str">
            <v>RHEM-SHCONBR6</v>
          </cell>
          <cell r="B192" t="str">
            <v>VAR_cap</v>
          </cell>
          <cell r="C192" t="str">
            <v>-</v>
          </cell>
          <cell r="H192">
            <v>2.9087717673600413E-5</v>
          </cell>
          <cell r="I192">
            <v>2.9109573086105337E-5</v>
          </cell>
          <cell r="J192">
            <v>1.7178029347639933E-5</v>
          </cell>
        </row>
        <row r="193">
          <cell r="A193" t="str">
            <v>RHEM-SHCONBR7</v>
          </cell>
          <cell r="B193" t="str">
            <v>VAR_fout</v>
          </cell>
          <cell r="C193" t="str">
            <v>RHEM-SHCON</v>
          </cell>
          <cell r="H193">
            <v>1.5067578294130249E-4</v>
          </cell>
          <cell r="I193">
            <v>1.4937255435733181E-4</v>
          </cell>
          <cell r="J193">
            <v>1.003609177378775E-4</v>
          </cell>
        </row>
        <row r="194">
          <cell r="A194" t="str">
            <v>RHEM-SHCONBR7</v>
          </cell>
          <cell r="B194" t="str">
            <v>VAR_fin</v>
          </cell>
          <cell r="C194" t="str">
            <v>CON</v>
          </cell>
          <cell r="H194">
            <v>1.5067578294130249E-4</v>
          </cell>
          <cell r="I194">
            <v>1.4937255435733181E-4</v>
          </cell>
          <cell r="J194">
            <v>1.003609177378775E-4</v>
          </cell>
        </row>
        <row r="195">
          <cell r="A195" t="str">
            <v>RHEM-SHCONBR7</v>
          </cell>
          <cell r="B195" t="str">
            <v>VAR_ncap</v>
          </cell>
          <cell r="C195" t="str">
            <v>-</v>
          </cell>
          <cell r="H195">
            <v>2.5385192143653202E-8</v>
          </cell>
          <cell r="I195">
            <v>2.4445647957015999E-8</v>
          </cell>
          <cell r="J195">
            <v>1.0292674441307699E-7</v>
          </cell>
        </row>
        <row r="196">
          <cell r="A196" t="str">
            <v>RHEM-SHCONBR7</v>
          </cell>
          <cell r="B196" t="str">
            <v>VAR_cap</v>
          </cell>
          <cell r="C196" t="str">
            <v>-</v>
          </cell>
          <cell r="H196">
            <v>1.0961878715728003E-5</v>
          </cell>
          <cell r="I196">
            <v>1.0976275977248422E-5</v>
          </cell>
          <cell r="J196">
            <v>6.5028746892890449E-6</v>
          </cell>
        </row>
        <row r="197">
          <cell r="A197" t="str">
            <v>RHEM-SHCONBR8</v>
          </cell>
          <cell r="B197" t="str">
            <v>VAR_fout</v>
          </cell>
          <cell r="C197" t="str">
            <v>RHEM-SHCON</v>
          </cell>
          <cell r="H197">
            <v>3.8492623016874368E-5</v>
          </cell>
          <cell r="I197">
            <v>3.5165356887102674E-5</v>
          </cell>
          <cell r="J197">
            <v>2.5062257508818242E-5</v>
          </cell>
        </row>
        <row r="198">
          <cell r="A198" t="str">
            <v>RHEM-SHCONBR8</v>
          </cell>
          <cell r="B198" t="str">
            <v>VAR_fin</v>
          </cell>
          <cell r="C198" t="str">
            <v>CON</v>
          </cell>
          <cell r="H198">
            <v>3.8492623016874368E-5</v>
          </cell>
          <cell r="I198">
            <v>3.5165356887102674E-5</v>
          </cell>
          <cell r="J198">
            <v>2.5062257508818242E-5</v>
          </cell>
          <cell r="L198"/>
          <cell r="M198"/>
          <cell r="N198"/>
        </row>
        <row r="199">
          <cell r="A199" t="str">
            <v>RHEM-SHCONBR8</v>
          </cell>
          <cell r="B199" t="str">
            <v>VAR_ncap</v>
          </cell>
          <cell r="C199" t="str">
            <v>-</v>
          </cell>
          <cell r="H199">
            <v>1.4288046444890401E-8</v>
          </cell>
          <cell r="I199">
            <v>1.33633490682038E-8</v>
          </cell>
          <cell r="J199">
            <v>2.4424689854279399E-8</v>
          </cell>
        </row>
        <row r="200">
          <cell r="A200" t="str">
            <v>RHEM-SHCONBR8</v>
          </cell>
          <cell r="B200" t="str">
            <v>VAR_cap</v>
          </cell>
          <cell r="C200" t="str">
            <v>-</v>
          </cell>
          <cell r="H200">
            <v>7.5591938134991348E-7</v>
          </cell>
          <cell r="I200">
            <v>7.9252107152476912E-7</v>
          </cell>
          <cell r="J200">
            <v>5.1852428309953599E-7</v>
          </cell>
        </row>
        <row r="201">
          <cell r="A201" t="str">
            <v>RHES-SHELCHP</v>
          </cell>
          <cell r="B201" t="str">
            <v>VAR_fout</v>
          </cell>
          <cell r="C201" t="str">
            <v>RHES-SHAELCH</v>
          </cell>
          <cell r="H201">
            <v>25.448940886496928</v>
          </cell>
          <cell r="I201">
            <v>27.259850156333595</v>
          </cell>
          <cell r="J201">
            <v>26.2068356481576</v>
          </cell>
          <cell r="M201"/>
          <cell r="N201"/>
        </row>
        <row r="202">
          <cell r="A202" t="str">
            <v>RHES-SHELCHP</v>
          </cell>
          <cell r="B202" t="str">
            <v>VAR_fin</v>
          </cell>
          <cell r="C202" t="str">
            <v>RHES_ELC</v>
          </cell>
          <cell r="H202">
            <v>7.6592083368144497</v>
          </cell>
          <cell r="I202">
            <v>7.7342585308667999</v>
          </cell>
          <cell r="J202">
            <v>6.5940094740886428</v>
          </cell>
        </row>
        <row r="203">
          <cell r="A203" t="str">
            <v>RHES-SHELCHP</v>
          </cell>
          <cell r="B203" t="str">
            <v>VAR_fin</v>
          </cell>
          <cell r="C203" t="str">
            <v>RHESELCHPC</v>
          </cell>
          <cell r="H203">
            <v>25.448940886496928</v>
          </cell>
          <cell r="I203">
            <v>27.259850156333595</v>
          </cell>
          <cell r="J203">
            <v>26.2068356481576</v>
          </cell>
        </row>
        <row r="204">
          <cell r="A204" t="str">
            <v>RHES-SHELCHP</v>
          </cell>
          <cell r="B204" t="str">
            <v>VAR_ncap</v>
          </cell>
          <cell r="C204" t="str">
            <v>-</v>
          </cell>
          <cell r="H204">
            <v>0.73150632025483397</v>
          </cell>
          <cell r="I204">
            <v>1.1189361710150101</v>
          </cell>
          <cell r="J204">
            <v>0.99572277610758997</v>
          </cell>
        </row>
        <row r="205">
          <cell r="A205" t="str">
            <v>RHES-SHELCHP</v>
          </cell>
          <cell r="B205" t="str">
            <v>VAR_cap</v>
          </cell>
          <cell r="C205" t="str">
            <v>-</v>
          </cell>
          <cell r="H205">
            <v>2.0559795385816906</v>
          </cell>
          <cell r="I205">
            <v>2.2022848027556381</v>
          </cell>
          <cell r="J205">
            <v>2.117195453610961</v>
          </cell>
        </row>
        <row r="206">
          <cell r="A206" t="str">
            <v>RHSA-WHELCHP</v>
          </cell>
          <cell r="B206" t="str">
            <v>VAR_fout</v>
          </cell>
          <cell r="C206" t="str">
            <v>RHSA-WHAELCH</v>
          </cell>
          <cell r="H206">
            <v>9.8116633017870125</v>
          </cell>
          <cell r="I206">
            <v>12.525319651233593</v>
          </cell>
          <cell r="J206">
            <v>15.268814558696253</v>
          </cell>
        </row>
        <row r="207">
          <cell r="A207" t="str">
            <v>RHSA-WHELCHP</v>
          </cell>
          <cell r="B207" t="str">
            <v>VAR_fin</v>
          </cell>
          <cell r="C207" t="str">
            <v>RHSA_ELC</v>
          </cell>
          <cell r="H207">
            <v>4.3317568057963376</v>
          </cell>
          <cell r="I207">
            <v>5.1765296504388276</v>
          </cell>
          <cell r="J207">
            <v>5.6037921593853737</v>
          </cell>
        </row>
        <row r="208">
          <cell r="A208" t="str">
            <v>RHSA-WHELCHP</v>
          </cell>
          <cell r="B208" t="str">
            <v>VAR_ncap</v>
          </cell>
          <cell r="C208" t="str">
            <v>-</v>
          </cell>
          <cell r="H208">
            <v>0.34572314278644001</v>
          </cell>
          <cell r="I208">
            <v>0.37764116746020998</v>
          </cell>
          <cell r="J208">
            <v>0.62331871423554697</v>
          </cell>
        </row>
        <row r="209">
          <cell r="A209" t="str">
            <v>RHSA-WHELCHP</v>
          </cell>
          <cell r="B209" t="str">
            <v>VAR_cap</v>
          </cell>
          <cell r="C209" t="str">
            <v>-</v>
          </cell>
          <cell r="H209">
            <v>0.67063216602680797</v>
          </cell>
          <cell r="I209">
            <v>0.85610843885968324</v>
          </cell>
          <cell r="J209">
            <v>1.0436244978987368</v>
          </cell>
        </row>
        <row r="210">
          <cell r="A210" t="str">
            <v>D-ITOT_LTH_CHP</v>
          </cell>
          <cell r="B210" t="str">
            <v>VAR_fout</v>
          </cell>
          <cell r="C210" t="str">
            <v>ITOT_LTH_CHP_ON</v>
          </cell>
          <cell r="H210">
            <v>7.6639167144318012</v>
          </cell>
          <cell r="I210">
            <v>7.1730247247834722</v>
          </cell>
          <cell r="J210">
            <v>9.8487045449386166</v>
          </cell>
        </row>
        <row r="211">
          <cell r="A211" t="str">
            <v>D-ITOT_LTH_CHP</v>
          </cell>
          <cell r="B211" t="str">
            <v>VAR_fout</v>
          </cell>
          <cell r="C211" t="str">
            <v>LTH</v>
          </cell>
          <cell r="H211">
            <v>1.3466984594172903E-2</v>
          </cell>
          <cell r="I211">
            <v>1.2213288470218908E-2</v>
          </cell>
          <cell r="J211">
            <v>1.9593252112407269E-2</v>
          </cell>
        </row>
        <row r="212">
          <cell r="A212" t="str">
            <v>D-ITOT_LTH_CHP</v>
          </cell>
          <cell r="B212" t="str">
            <v>VAR_fin</v>
          </cell>
          <cell r="C212" t="str">
            <v>ITOT_LTH_CHP</v>
          </cell>
          <cell r="H212">
            <v>7.6773836990259712</v>
          </cell>
          <cell r="I212">
            <v>7.1852380132536906</v>
          </cell>
          <cell r="J212">
            <v>9.8682977970510102</v>
          </cell>
        </row>
        <row r="213">
          <cell r="A213" t="str">
            <v>RHEM-SHCONBR9</v>
          </cell>
          <cell r="B213" t="str">
            <v>VAR_fout</v>
          </cell>
          <cell r="C213" t="str">
            <v>RHEM-SHCON</v>
          </cell>
          <cell r="H213">
            <v>3.0738858814581797E-5</v>
          </cell>
          <cell r="I213">
            <v>2.6782474802896939E-5</v>
          </cell>
          <cell r="J213">
            <v>1.8658449503431503E-5</v>
          </cell>
        </row>
        <row r="214">
          <cell r="A214" t="str">
            <v>RHEM-SHCONBR9</v>
          </cell>
          <cell r="B214" t="str">
            <v>VAR_fin</v>
          </cell>
          <cell r="C214" t="str">
            <v>CON</v>
          </cell>
          <cell r="H214">
            <v>3.0738858814581797E-5</v>
          </cell>
          <cell r="I214">
            <v>2.6782474802896939E-5</v>
          </cell>
          <cell r="J214">
            <v>1.8658449503431503E-5</v>
          </cell>
        </row>
        <row r="215">
          <cell r="A215" t="str">
            <v>RHEM-SHCONBR9</v>
          </cell>
          <cell r="B215" t="str">
            <v>VAR_cap</v>
          </cell>
          <cell r="C215" t="str">
            <v>-</v>
          </cell>
          <cell r="H215"/>
          <cell r="I215"/>
          <cell r="J215"/>
        </row>
        <row r="216">
          <cell r="A216" t="str">
            <v>SCOM-SHELCHP</v>
          </cell>
          <cell r="B216" t="str">
            <v>VAR_fout</v>
          </cell>
          <cell r="C216" t="str">
            <v>SCOM-SHAELCH</v>
          </cell>
          <cell r="H216">
            <v>11.580822489780838</v>
          </cell>
          <cell r="I216">
            <v>15.846857842440322</v>
          </cell>
          <cell r="J216">
            <v>18.489072622326635</v>
          </cell>
        </row>
        <row r="217">
          <cell r="A217" t="str">
            <v>SCOM-SHELCHP</v>
          </cell>
          <cell r="B217" t="str">
            <v>VAR_fin</v>
          </cell>
          <cell r="C217" t="str">
            <v>SCOMELCHPC</v>
          </cell>
          <cell r="H217">
            <v>11.580822489780838</v>
          </cell>
          <cell r="I217">
            <v>15.846857842440322</v>
          </cell>
          <cell r="J217">
            <v>18.489072622326635</v>
          </cell>
        </row>
        <row r="218">
          <cell r="A218" t="str">
            <v>SCOM-SHELCHP</v>
          </cell>
          <cell r="B218" t="str">
            <v>VAR_fin</v>
          </cell>
          <cell r="C218" t="str">
            <v>SCOM_ELC</v>
          </cell>
          <cell r="H218">
            <v>3.436761463963943</v>
          </cell>
          <cell r="I218">
            <v>4.4364618672739446</v>
          </cell>
          <cell r="J218">
            <v>4.7969768754863367</v>
          </cell>
        </row>
        <row r="219">
          <cell r="A219" t="str">
            <v>SCOM-SHELCHP</v>
          </cell>
          <cell r="B219" t="str">
            <v>VAR_ncap</v>
          </cell>
          <cell r="C219" t="str">
            <v>-</v>
          </cell>
          <cell r="H219">
            <v>0.58242441194495798</v>
          </cell>
          <cell r="I219">
            <v>0.50706097299627295</v>
          </cell>
          <cell r="J219">
            <v>0.82097438914916998</v>
          </cell>
        </row>
        <row r="220">
          <cell r="A220" t="str">
            <v>SCOM-SHELCHP</v>
          </cell>
          <cell r="B220" t="str">
            <v>VAR_cap</v>
          </cell>
          <cell r="C220" t="str">
            <v>-</v>
          </cell>
          <cell r="H220">
            <v>0.89521687138683892</v>
          </cell>
          <cell r="I220">
            <v>1.2268465287591823</v>
          </cell>
          <cell r="J220">
            <v>1.4353277902556369</v>
          </cell>
        </row>
        <row r="221">
          <cell r="A221" t="str">
            <v>D-ITOT_NKEV_OIL_ELC_CHP</v>
          </cell>
          <cell r="B221" t="str">
            <v>VAR_fout</v>
          </cell>
          <cell r="C221" t="str">
            <v>ITOT_ELC</v>
          </cell>
          <cell r="H221">
            <v>0.1647784258659632</v>
          </cell>
          <cell r="I221"/>
          <cell r="J221"/>
        </row>
        <row r="222">
          <cell r="A222" t="str">
            <v>D-ITOT_NKEV_OIL_ELC_CHP</v>
          </cell>
          <cell r="B222" t="str">
            <v>VAR_fout</v>
          </cell>
          <cell r="C222" t="str">
            <v>ELC5</v>
          </cell>
          <cell r="H222">
            <v>1.9934840625357511E-3</v>
          </cell>
          <cell r="I222"/>
          <cell r="J222"/>
        </row>
        <row r="223">
          <cell r="A223" t="str">
            <v>D-ITOT_NKEV_OIL_ELC_CHP</v>
          </cell>
          <cell r="B223" t="str">
            <v>VAR_fin</v>
          </cell>
          <cell r="C223" t="str">
            <v>ITOT_NKEV_OIL_ELC_CHP</v>
          </cell>
          <cell r="H223">
            <v>0.16675587277879184</v>
          </cell>
          <cell r="I223"/>
          <cell r="J223"/>
        </row>
        <row r="224">
          <cell r="A224" t="str">
            <v>RHSA-WHCONBR1</v>
          </cell>
          <cell r="B224" t="str">
            <v>VAR_ncap</v>
          </cell>
          <cell r="C224" t="str">
            <v>-</v>
          </cell>
          <cell r="H224">
            <v>5.1879646717722103</v>
          </cell>
          <cell r="I224"/>
          <cell r="J224"/>
        </row>
        <row r="225">
          <cell r="A225" t="str">
            <v>RHSA-WHCONBR1</v>
          </cell>
          <cell r="B225" t="str">
            <v>VAR_cap</v>
          </cell>
          <cell r="C225" t="str">
            <v>-</v>
          </cell>
          <cell r="H225">
            <v>12.999134296048965</v>
          </cell>
          <cell r="I225">
            <v>7.5256697854669596</v>
          </cell>
          <cell r="J225">
            <v>3.3837987282090012</v>
          </cell>
        </row>
        <row r="226">
          <cell r="A226" t="str">
            <v>RHNS-SHELCBR</v>
          </cell>
          <cell r="B226" t="str">
            <v>VAR_fout</v>
          </cell>
          <cell r="C226" t="str">
            <v>RHNS-SHAELCB</v>
          </cell>
          <cell r="H226">
            <v>1.0978615578042507E-2</v>
          </cell>
          <cell r="I226">
            <v>1.1271655488667582E-2</v>
          </cell>
          <cell r="J226">
            <v>9.5471300881113039E-3</v>
          </cell>
        </row>
        <row r="227">
          <cell r="A227" t="str">
            <v>RHNS-SHELCBR</v>
          </cell>
          <cell r="B227" t="str">
            <v>VAR_fin</v>
          </cell>
          <cell r="C227" t="str">
            <v>RHNS_ELC</v>
          </cell>
          <cell r="H227">
            <v>1.1556437450571066E-2</v>
          </cell>
          <cell r="I227">
            <v>1.1864900514386944E-2</v>
          </cell>
          <cell r="J227">
            <v>1.004961061906454E-2</v>
          </cell>
        </row>
        <row r="228">
          <cell r="A228" t="str">
            <v>RHNS-SHELCBR</v>
          </cell>
          <cell r="B228" t="str">
            <v>VAR_ncap</v>
          </cell>
          <cell r="C228" t="str">
            <v>-</v>
          </cell>
          <cell r="H228">
            <v>1.7587721949428199E-3</v>
          </cell>
          <cell r="I228"/>
          <cell r="J228"/>
        </row>
        <row r="229">
          <cell r="A229" t="str">
            <v>RHNS-SHELCBR</v>
          </cell>
          <cell r="B229" t="str">
            <v>VAR_cap</v>
          </cell>
          <cell r="C229" t="str">
            <v>-</v>
          </cell>
          <cell r="H229">
            <v>4.3714792162614265E-3</v>
          </cell>
          <cell r="I229">
            <v>1.7586376873051401E-3</v>
          </cell>
          <cell r="J229">
            <v>7.4371505980061437E-4</v>
          </cell>
        </row>
        <row r="230">
          <cell r="A230" t="str">
            <v>RHSA-WHCONBR2</v>
          </cell>
          <cell r="B230" t="str">
            <v>VAR_ncap</v>
          </cell>
          <cell r="C230" t="str">
            <v>-</v>
          </cell>
          <cell r="H230">
            <v>5.1879646717721899</v>
          </cell>
          <cell r="I230"/>
          <cell r="J230"/>
        </row>
        <row r="231">
          <cell r="A231" t="str">
            <v>RHSA-WHCONBR2</v>
          </cell>
          <cell r="B231" t="str">
            <v>VAR_cap</v>
          </cell>
          <cell r="C231" t="str">
            <v>-</v>
          </cell>
          <cell r="H231">
            <v>12.999134296050954</v>
          </cell>
          <cell r="I231">
            <v>7.5256697854679828</v>
          </cell>
          <cell r="J231">
            <v>3.3837987282100244</v>
          </cell>
        </row>
        <row r="232">
          <cell r="A232" t="str">
            <v>ITOT-SWHSTG-SOL</v>
          </cell>
          <cell r="B232" t="str">
            <v>VAR_fout</v>
          </cell>
          <cell r="C232" t="str">
            <v>ITOT-SWHASOL</v>
          </cell>
          <cell r="H232">
            <v>4.615744242863346E-4</v>
          </cell>
          <cell r="I232">
            <v>5.9789592319943463E-3</v>
          </cell>
          <cell r="J232">
            <v>3.5801618284447591E-3</v>
          </cell>
        </row>
        <row r="233">
          <cell r="A233" t="str">
            <v>ITOT-SWHSTG-SOL</v>
          </cell>
          <cell r="B233" t="str">
            <v>VAR_fin</v>
          </cell>
          <cell r="C233" t="str">
            <v>ITOT-SWHASOL</v>
          </cell>
          <cell r="H233">
            <v>5.1060878266559386E-4</v>
          </cell>
          <cell r="I233">
            <v>6.9952624320989828E-3</v>
          </cell>
          <cell r="J233">
            <v>3.9499655169317029E-3</v>
          </cell>
        </row>
        <row r="234">
          <cell r="A234" t="str">
            <v>ITOT-SWHSTG-SOL</v>
          </cell>
          <cell r="B234" t="str">
            <v>VAR_ncap</v>
          </cell>
          <cell r="C234" t="str">
            <v>-</v>
          </cell>
          <cell r="H234">
            <v>1.8001265662867199E-5</v>
          </cell>
          <cell r="I234">
            <v>8.6880552670962705E-3</v>
          </cell>
          <cell r="J234">
            <v>6.1509142279044996E-8</v>
          </cell>
        </row>
        <row r="235">
          <cell r="A235" t="str">
            <v>ITOT-SWHSTG-SOL</v>
          </cell>
          <cell r="B235" t="str">
            <v>VAR_cap</v>
          </cell>
          <cell r="C235" t="str">
            <v>-</v>
          </cell>
          <cell r="H235">
            <v>6.0194118369367998E-5</v>
          </cell>
          <cell r="I235">
            <v>8.7247241814770501E-3</v>
          </cell>
          <cell r="J235">
            <v>6.3128889128519798E-3</v>
          </cell>
        </row>
        <row r="236">
          <cell r="A236" t="str">
            <v>RHES-SHLTHCHPNGA</v>
          </cell>
          <cell r="B236" t="str">
            <v>VAR_fout</v>
          </cell>
          <cell r="C236" t="str">
            <v>RHES-SHLTHC-NGA</v>
          </cell>
          <cell r="H236"/>
          <cell r="I236"/>
          <cell r="J236"/>
        </row>
        <row r="237">
          <cell r="A237" t="str">
            <v>RHES-SHLTHCHPNGA</v>
          </cell>
          <cell r="B237" t="str">
            <v>VAR_fin</v>
          </cell>
          <cell r="C237" t="str">
            <v>RHESLTHCHPC</v>
          </cell>
          <cell r="H237"/>
          <cell r="I237"/>
          <cell r="J237"/>
        </row>
        <row r="238">
          <cell r="A238" t="str">
            <v>RHES-SHLTHCHPNGA</v>
          </cell>
          <cell r="B238" t="str">
            <v>VAR_fin</v>
          </cell>
          <cell r="C238" t="str">
            <v>RHES_LTH_CHPNGA_ON</v>
          </cell>
          <cell r="H238"/>
          <cell r="I238"/>
          <cell r="J238"/>
        </row>
        <row r="239">
          <cell r="A239" t="str">
            <v>RHES-SHLTHCHPNGA</v>
          </cell>
          <cell r="B239" t="str">
            <v>VAR_ncap</v>
          </cell>
          <cell r="C239" t="str">
            <v>-</v>
          </cell>
          <cell r="H239">
            <v>3.8375162766471799E-4</v>
          </cell>
          <cell r="I239">
            <v>9.7385108739820307E-5</v>
          </cell>
          <cell r="J239">
            <v>1.8696350612170901E-8</v>
          </cell>
        </row>
        <row r="240">
          <cell r="A240" t="str">
            <v>RHES-SHLTHCHPNGA</v>
          </cell>
          <cell r="B240" t="str">
            <v>VAR_cap</v>
          </cell>
          <cell r="C240" t="str">
            <v>-</v>
          </cell>
          <cell r="H240">
            <v>6.9192419413372994E-4</v>
          </cell>
          <cell r="I240">
            <v>2.1992137544733401E-4</v>
          </cell>
          <cell r="J240"/>
        </row>
        <row r="241">
          <cell r="A241" t="str">
            <v>RHSA-WHSTG-ELC</v>
          </cell>
          <cell r="B241" t="str">
            <v>VAR_fout</v>
          </cell>
          <cell r="C241" t="str">
            <v>RHSA-WHAELCB</v>
          </cell>
          <cell r="H241">
            <v>0.31877048152676069</v>
          </cell>
          <cell r="I241">
            <v>0.28387333056431308</v>
          </cell>
          <cell r="J241">
            <v>0.25041617160202601</v>
          </cell>
        </row>
        <row r="242">
          <cell r="A242" t="str">
            <v>RHSA-WHSTG-ELC</v>
          </cell>
          <cell r="B242" t="str">
            <v>VAR_fout</v>
          </cell>
          <cell r="C242" t="str">
            <v>AUX_RHSA-WHSTG-ELC_OUT</v>
          </cell>
          <cell r="H242">
            <v>0.31908925200828742</v>
          </cell>
          <cell r="I242">
            <v>0.28415720389487736</v>
          </cell>
          <cell r="J242">
            <v>0.25066658777362816</v>
          </cell>
        </row>
        <row r="243">
          <cell r="A243" t="str">
            <v>RHSA-WHSTG-ELC</v>
          </cell>
          <cell r="B243" t="str">
            <v>VAR_fin</v>
          </cell>
          <cell r="C243" t="str">
            <v>RHSA-WHAELCB</v>
          </cell>
          <cell r="H243">
            <v>0.31877010377396425</v>
          </cell>
          <cell r="I243">
            <v>0.28387363992868092</v>
          </cell>
          <cell r="J243">
            <v>0.25041596298472291</v>
          </cell>
        </row>
        <row r="244">
          <cell r="A244" t="str">
            <v>RHSA-WHSTG-ELC</v>
          </cell>
          <cell r="B244" t="str">
            <v>VAR_ncap</v>
          </cell>
          <cell r="C244" t="str">
            <v>-</v>
          </cell>
          <cell r="H244">
            <v>1.4269266590613901E-2</v>
          </cell>
          <cell r="I244">
            <v>1.66159366571118E-2</v>
          </cell>
          <cell r="J244">
            <v>1.03168350645463E-2</v>
          </cell>
        </row>
        <row r="245">
          <cell r="A245" t="str">
            <v>RHSA-WHSTG-ELC</v>
          </cell>
          <cell r="B245" t="str">
            <v>VAR_cap</v>
          </cell>
          <cell r="C245" t="str">
            <v>-</v>
          </cell>
          <cell r="H245">
            <v>2.9946150009030129E-2</v>
          </cell>
          <cell r="I245">
            <v>3.0874502907581387E-2</v>
          </cell>
          <cell r="J245">
            <v>2.8374505201616607E-2</v>
          </cell>
        </row>
        <row r="246">
          <cell r="A246" t="str">
            <v>ITOT-SWHLFOBR</v>
          </cell>
          <cell r="B246" t="str">
            <v>VAR_fout</v>
          </cell>
          <cell r="C246" t="str">
            <v>ITOT-SWH</v>
          </cell>
          <cell r="H246">
            <v>4.3664692580746856</v>
          </cell>
          <cell r="I246">
            <v>2.6330116262399117</v>
          </cell>
          <cell r="J246">
            <v>0.20184805276736506</v>
          </cell>
        </row>
        <row r="247">
          <cell r="A247" t="str">
            <v>ITOT-SWHLFOBR</v>
          </cell>
          <cell r="B247" t="str">
            <v>VAR_fout</v>
          </cell>
          <cell r="C247" t="str">
            <v>CO2_I</v>
          </cell>
          <cell r="H247">
            <v>408.960113702321</v>
          </cell>
          <cell r="I247">
            <v>245.62432132371799</v>
          </cell>
          <cell r="J247">
            <v>18.6809874749373</v>
          </cell>
        </row>
        <row r="248">
          <cell r="A248" t="str">
            <v>ITOT-SWHLFOBR</v>
          </cell>
          <cell r="B248" t="str">
            <v>VAR_fin</v>
          </cell>
          <cell r="C248" t="str">
            <v>ILFO</v>
          </cell>
          <cell r="H248">
            <v>5.548983903694988</v>
          </cell>
          <cell r="I248">
            <v>3.3327587696569569</v>
          </cell>
          <cell r="J248">
            <v>0.25347337143741311</v>
          </cell>
        </row>
        <row r="249">
          <cell r="A249" t="str">
            <v>ITOT-SWHLFOBR</v>
          </cell>
          <cell r="B249" t="str">
            <v>VAR_ncap</v>
          </cell>
          <cell r="C249" t="str">
            <v>-</v>
          </cell>
          <cell r="H249">
            <v>0.17293107052246501</v>
          </cell>
          <cell r="I249">
            <v>2.1845164131052999E-2</v>
          </cell>
          <cell r="J249">
            <v>3.9636363422488697E-6</v>
          </cell>
        </row>
        <row r="250">
          <cell r="A250" t="str">
            <v>ITOT-SWHLFOBR</v>
          </cell>
          <cell r="B250" t="str">
            <v>VAR_cap</v>
          </cell>
          <cell r="C250" t="str">
            <v>-</v>
          </cell>
          <cell r="H250">
            <v>0.27053671159519965</v>
          </cell>
          <cell r="I250">
            <v>0.19477665383694584</v>
          </cell>
          <cell r="J250">
            <v>1.5947167556680603E-2</v>
          </cell>
        </row>
        <row r="251">
          <cell r="A251" t="str">
            <v>D-SCOM_LTH_CHPNGA</v>
          </cell>
          <cell r="B251" t="str">
            <v>VAR_fout</v>
          </cell>
          <cell r="C251" t="str">
            <v>LTH</v>
          </cell>
          <cell r="H251"/>
          <cell r="I251"/>
          <cell r="J251"/>
        </row>
        <row r="252">
          <cell r="A252" t="str">
            <v>D-SCOM_LTH_CHPNGA</v>
          </cell>
          <cell r="B252" t="str">
            <v>VAR_fout</v>
          </cell>
          <cell r="C252" t="str">
            <v>SCOM_LTH_CHPNGA_ON</v>
          </cell>
          <cell r="H252"/>
          <cell r="I252"/>
          <cell r="J252"/>
        </row>
        <row r="253">
          <cell r="A253" t="str">
            <v>D-SCOM_LTH_CHPNGA</v>
          </cell>
          <cell r="B253" t="str">
            <v>VAR_fin</v>
          </cell>
          <cell r="C253" t="str">
            <v>SCOM_LTH_CHPNGA</v>
          </cell>
          <cell r="H253"/>
          <cell r="I253"/>
          <cell r="J253"/>
        </row>
        <row r="254">
          <cell r="A254" t="str">
            <v>RHSA-WHCONBR3</v>
          </cell>
          <cell r="B254" t="str">
            <v>VAR_ncap</v>
          </cell>
          <cell r="C254" t="str">
            <v>-</v>
          </cell>
          <cell r="H254">
            <v>5.1879646717722103</v>
          </cell>
          <cell r="I254"/>
          <cell r="J254"/>
        </row>
        <row r="255">
          <cell r="A255" t="str">
            <v>RHSA-WHCONBR3</v>
          </cell>
          <cell r="B255" t="str">
            <v>VAR_cap</v>
          </cell>
          <cell r="C255" t="str">
            <v>-</v>
          </cell>
          <cell r="H255">
            <v>12.999134296048965</v>
          </cell>
          <cell r="I255">
            <v>7.5256697854669596</v>
          </cell>
          <cell r="J255">
            <v>3.3837987282090012</v>
          </cell>
        </row>
        <row r="256">
          <cell r="A256" t="str">
            <v>D-IWOD</v>
          </cell>
          <cell r="B256" t="str">
            <v>VAR_fout</v>
          </cell>
          <cell r="C256" t="str">
            <v>IWOD</v>
          </cell>
          <cell r="H256">
            <v>20.998667054629124</v>
          </cell>
          <cell r="I256">
            <v>22.10444342253945</v>
          </cell>
          <cell r="J256">
            <v>25.805949634327533</v>
          </cell>
        </row>
        <row r="257">
          <cell r="A257" t="str">
            <v>D-IWOD</v>
          </cell>
          <cell r="B257" t="str">
            <v>VAR_fin</v>
          </cell>
          <cell r="C257" t="str">
            <v>WOD</v>
          </cell>
          <cell r="H257">
            <v>20.998667054629124</v>
          </cell>
          <cell r="I257">
            <v>22.10444342253945</v>
          </cell>
          <cell r="J257">
            <v>25.805949634327533</v>
          </cell>
        </row>
        <row r="258">
          <cell r="A258" t="str">
            <v>RHSA-WHCONBR4</v>
          </cell>
          <cell r="B258" t="str">
            <v>VAR_ncap</v>
          </cell>
          <cell r="C258" t="str">
            <v>-</v>
          </cell>
          <cell r="H258">
            <v>5.1879646717721899</v>
          </cell>
          <cell r="I258"/>
          <cell r="J258"/>
        </row>
        <row r="259">
          <cell r="A259" t="str">
            <v>RHSA-WHCONBR4</v>
          </cell>
          <cell r="B259" t="str">
            <v>VAR_cap</v>
          </cell>
          <cell r="C259" t="str">
            <v>-</v>
          </cell>
          <cell r="H259">
            <v>12.999134296050954</v>
          </cell>
          <cell r="I259">
            <v>7.5256697854679828</v>
          </cell>
          <cell r="J259">
            <v>3.3837987282100244</v>
          </cell>
        </row>
        <row r="260">
          <cell r="A260" t="str">
            <v>SCOM-ELCSPEC</v>
          </cell>
          <cell r="B260" t="str">
            <v>VAR_fout</v>
          </cell>
          <cell r="C260" t="str">
            <v>SCOM-ELS</v>
          </cell>
          <cell r="H260">
            <v>34.440178472650487</v>
          </cell>
          <cell r="I260">
            <v>31.276658334691735</v>
          </cell>
          <cell r="J260">
            <v>25.370173277656871</v>
          </cell>
        </row>
        <row r="261">
          <cell r="A261" t="str">
            <v>SCOM-ELCSPEC</v>
          </cell>
          <cell r="B261" t="str">
            <v>VAR_fin</v>
          </cell>
          <cell r="C261" t="str">
            <v>SCOM_ELC</v>
          </cell>
          <cell r="H261">
            <v>34.440178472650487</v>
          </cell>
          <cell r="I261">
            <v>31.276658334691735</v>
          </cell>
          <cell r="J261">
            <v>25.370173277656871</v>
          </cell>
        </row>
        <row r="262">
          <cell r="A262" t="str">
            <v>SCOM-ELCSPEC</v>
          </cell>
          <cell r="B262" t="str">
            <v>VAR_ncap</v>
          </cell>
          <cell r="C262" t="str">
            <v>-</v>
          </cell>
          <cell r="H262">
            <v>1.2511349380896001E-6</v>
          </cell>
          <cell r="I262">
            <v>1.3095247444871099E-6</v>
          </cell>
          <cell r="J262">
            <v>2.3879514582452401</v>
          </cell>
        </row>
        <row r="263">
          <cell r="A263" t="str">
            <v>SCOM-ELCSPEC</v>
          </cell>
          <cell r="B263" t="str">
            <v>VAR_cap</v>
          </cell>
          <cell r="C263" t="str">
            <v>-</v>
          </cell>
          <cell r="H263">
            <v>3.6403051415110057</v>
          </cell>
          <cell r="I263">
            <v>3.3059231836229706</v>
          </cell>
          <cell r="J263">
            <v>2.6816098642111039</v>
          </cell>
        </row>
        <row r="264">
          <cell r="A264" t="str">
            <v>D-ITOT_KEV_WST_ELC_CHP</v>
          </cell>
          <cell r="B264" t="str">
            <v>VAR_fout</v>
          </cell>
          <cell r="C264" t="str">
            <v>ITOT_ELC</v>
          </cell>
          <cell r="H264">
            <v>5.7888523034979687E-4</v>
          </cell>
          <cell r="I264">
            <v>9.852357878320786E-2</v>
          </cell>
          <cell r="J264">
            <v>0.29118423397539839</v>
          </cell>
        </row>
        <row r="265">
          <cell r="A265" t="str">
            <v>D-ITOT_KEV_WST_ELC_CHP</v>
          </cell>
          <cell r="B265" t="str">
            <v>VAR_fout</v>
          </cell>
          <cell r="C265" t="str">
            <v>ELC5</v>
          </cell>
          <cell r="H265">
            <v>4.5720955670469111E-4</v>
          </cell>
          <cell r="I265">
            <v>1.4350499582359866E-2</v>
          </cell>
          <cell r="J265">
            <v>3.0268289585907271E-2</v>
          </cell>
        </row>
        <row r="266">
          <cell r="A266" t="str">
            <v>D-ITOT_KEV_WST_ELC_CHP</v>
          </cell>
          <cell r="B266" t="str">
            <v>VAR_fin</v>
          </cell>
          <cell r="C266" t="str">
            <v>ITOT_KEV_WST_ELC_CHP</v>
          </cell>
          <cell r="H266">
            <v>1.020144251489299E-3</v>
          </cell>
          <cell r="I266">
            <v>0.11287407836556766</v>
          </cell>
          <cell r="J266">
            <v>0.32145252356130583</v>
          </cell>
        </row>
        <row r="267">
          <cell r="A267" t="str">
            <v>RHSA-WHCONBR5</v>
          </cell>
          <cell r="B267" t="str">
            <v>VAR_ncap</v>
          </cell>
          <cell r="C267" t="str">
            <v>-</v>
          </cell>
          <cell r="H267">
            <v>5.1879646717722103</v>
          </cell>
          <cell r="I267"/>
          <cell r="J267"/>
        </row>
        <row r="268">
          <cell r="A268" t="str">
            <v>RHSA-WHCONBR5</v>
          </cell>
          <cell r="B268" t="str">
            <v>VAR_cap</v>
          </cell>
          <cell r="C268" t="str">
            <v>-</v>
          </cell>
          <cell r="H268">
            <v>12.999134296048965</v>
          </cell>
          <cell r="I268">
            <v>7.5256697854669596</v>
          </cell>
          <cell r="J268">
            <v>3.3837987282090012</v>
          </cell>
        </row>
        <row r="269">
          <cell r="A269" t="str">
            <v>D-RHNM_SOLELC</v>
          </cell>
          <cell r="B269" t="str">
            <v>VAR_fout</v>
          </cell>
          <cell r="C269" t="str">
            <v>ELC5</v>
          </cell>
          <cell r="H269">
            <v>7.6592664607016145E-4</v>
          </cell>
          <cell r="I269">
            <v>2.2522830628922273E-3</v>
          </cell>
          <cell r="J269">
            <v>8.2922027451887339E-3</v>
          </cell>
        </row>
        <row r="270">
          <cell r="A270" t="str">
            <v>D-RHNM_SOLELC</v>
          </cell>
          <cell r="B270" t="str">
            <v>VAR_fout</v>
          </cell>
          <cell r="C270" t="str">
            <v>RHNM_ELC</v>
          </cell>
          <cell r="H270">
            <v>2.6839787178063728</v>
          </cell>
          <cell r="I270">
            <v>2.8029684719273842</v>
          </cell>
          <cell r="J270">
            <v>3.0710184606570925</v>
          </cell>
        </row>
        <row r="271">
          <cell r="A271" t="str">
            <v>D-RHNM_SOLELC</v>
          </cell>
          <cell r="B271" t="str">
            <v>VAR_fin</v>
          </cell>
          <cell r="C271" t="str">
            <v>RHNM_SOL_ELC</v>
          </cell>
          <cell r="H271">
            <v>2.6847446444524401</v>
          </cell>
          <cell r="I271">
            <v>2.8052207549902768</v>
          </cell>
          <cell r="J271">
            <v>3.0793106634022824</v>
          </cell>
        </row>
        <row r="272">
          <cell r="A272" t="str">
            <v>RHNM-SHSTG-ELCHP</v>
          </cell>
          <cell r="B272" t="str">
            <v>VAR_fout</v>
          </cell>
          <cell r="C272" t="str">
            <v>AUX_RHNM-SHSTG-ELCHP_OUT</v>
          </cell>
          <cell r="H272">
            <v>0.28385844119507736</v>
          </cell>
          <cell r="I272">
            <v>0.33052188479902866</v>
          </cell>
          <cell r="J272">
            <v>0.50764773903562133</v>
          </cell>
        </row>
        <row r="273">
          <cell r="A273" t="str">
            <v>RHNM-SHSTG-ELCHP</v>
          </cell>
          <cell r="B273" t="str">
            <v>VAR_fout</v>
          </cell>
          <cell r="C273" t="str">
            <v>RHNM-SHAELCH</v>
          </cell>
          <cell r="H273">
            <v>0.28357486632874868</v>
          </cell>
          <cell r="I273">
            <v>0.33019169310592283</v>
          </cell>
          <cell r="J273">
            <v>0.50714059843718395</v>
          </cell>
        </row>
        <row r="274">
          <cell r="A274" t="str">
            <v>RHNM-SHSTG-ELCHP</v>
          </cell>
          <cell r="B274" t="str">
            <v>VAR_fin</v>
          </cell>
          <cell r="C274" t="str">
            <v>RHNM-SHAELCH</v>
          </cell>
          <cell r="H274">
            <v>0.28357774886941922</v>
          </cell>
          <cell r="I274">
            <v>0.33019917124793552</v>
          </cell>
          <cell r="J274">
            <v>0.50714641885327538</v>
          </cell>
        </row>
        <row r="275">
          <cell r="A275" t="str">
            <v>RHNM-SHSTG-ELCHP</v>
          </cell>
          <cell r="B275" t="str">
            <v>VAR_ncap</v>
          </cell>
          <cell r="C275" t="str">
            <v>-</v>
          </cell>
          <cell r="H275">
            <v>9.3269451710286805E-3</v>
          </cell>
          <cell r="I275">
            <v>2.49164559191964E-2</v>
          </cell>
          <cell r="J275">
            <v>3.3010291786908397E-2</v>
          </cell>
        </row>
        <row r="276">
          <cell r="A276" t="str">
            <v>RHNM-SHSTG-ELCHP</v>
          </cell>
          <cell r="B276" t="str">
            <v>VAR_cap</v>
          </cell>
          <cell r="C276" t="str">
            <v>-</v>
          </cell>
          <cell r="H276">
            <v>3.5611656012578791E-2</v>
          </cell>
          <cell r="I276">
            <v>4.3482630152079434E-2</v>
          </cell>
          <cell r="J276">
            <v>5.4996929692236296E-2</v>
          </cell>
        </row>
        <row r="277">
          <cell r="A277" t="str">
            <v>D-SCOM_LTH</v>
          </cell>
          <cell r="B277" t="str">
            <v>VAR_fout</v>
          </cell>
          <cell r="C277" t="str">
            <v>SCOM_LTH_DH</v>
          </cell>
          <cell r="H277">
            <v>8.3305128583547994</v>
          </cell>
          <cell r="I277">
            <v>9.2532925490753133</v>
          </cell>
          <cell r="J277">
            <v>8.9440161566935714</v>
          </cell>
        </row>
        <row r="278">
          <cell r="A278" t="str">
            <v>D-SCOM_LTH</v>
          </cell>
          <cell r="B278" t="str">
            <v>VAR_fin</v>
          </cell>
          <cell r="C278" t="str">
            <v>LTH</v>
          </cell>
          <cell r="H278">
            <v>9.0384950724440554</v>
          </cell>
          <cell r="I278">
            <v>10.033117879512734</v>
          </cell>
          <cell r="J278">
            <v>9.6850803328417658</v>
          </cell>
        </row>
        <row r="279">
          <cell r="A279" t="str">
            <v>D-SCOM_LTH</v>
          </cell>
          <cell r="B279" t="str">
            <v>VAR_ncap</v>
          </cell>
          <cell r="C279" t="str">
            <v>-</v>
          </cell>
          <cell r="H279">
            <v>7.9814526444066504E-8</v>
          </cell>
          <cell r="I279">
            <v>1.14436393981769E-7</v>
          </cell>
          <cell r="J279">
            <v>1.2178378601902001E-7</v>
          </cell>
        </row>
        <row r="280">
          <cell r="A280" t="str">
            <v>D-SCOM_LTH</v>
          </cell>
          <cell r="B280" t="str">
            <v>VAR_cap</v>
          </cell>
          <cell r="C280" t="str">
            <v>-</v>
          </cell>
          <cell r="H280">
            <v>0.84970041237264504</v>
          </cell>
          <cell r="I280">
            <v>0.84970052680903896</v>
          </cell>
          <cell r="J280">
            <v>0.84970064859282501</v>
          </cell>
        </row>
        <row r="281">
          <cell r="A281" t="str">
            <v>ITOT-SWHBIOBR</v>
          </cell>
          <cell r="B281" t="str">
            <v>VAR_fout</v>
          </cell>
          <cell r="C281" t="str">
            <v>ITOT-SWH</v>
          </cell>
          <cell r="H281">
            <v>2.297105124358934</v>
          </cell>
          <cell r="I281">
            <v>2.2971064861102581</v>
          </cell>
          <cell r="J281">
            <v>3.1199678121542407</v>
          </cell>
        </row>
        <row r="282">
          <cell r="A282" t="str">
            <v>ITOT-SWHBIOBR</v>
          </cell>
          <cell r="B282" t="str">
            <v>VAR_fin</v>
          </cell>
          <cell r="C282" t="str">
            <v>IBIO</v>
          </cell>
          <cell r="H282">
            <v>3.2308088950196003</v>
          </cell>
          <cell r="I282">
            <v>3.2308108102816564</v>
          </cell>
          <cell r="J282">
            <v>4.3332886279920011</v>
          </cell>
        </row>
        <row r="283">
          <cell r="A283" t="str">
            <v>ITOT-SWHBIOBR</v>
          </cell>
          <cell r="B283" t="str">
            <v>VAR_ncap</v>
          </cell>
          <cell r="C283" t="str">
            <v>-</v>
          </cell>
          <cell r="H283">
            <v>7.9517214473475595E-2</v>
          </cell>
          <cell r="I283">
            <v>9.01655494859296E-2</v>
          </cell>
          <cell r="J283">
            <v>0.12243790888634</v>
          </cell>
        </row>
        <row r="284">
          <cell r="A284" t="str">
            <v>ITOT-SWHBIOBR</v>
          </cell>
          <cell r="B284" t="str">
            <v>VAR_cap</v>
          </cell>
          <cell r="C284" t="str">
            <v>-</v>
          </cell>
          <cell r="H284">
            <v>0.13023267108007669</v>
          </cell>
          <cell r="I284">
            <v>0.17650238201346929</v>
          </cell>
          <cell r="J284">
            <v>0.22149275603714111</v>
          </cell>
        </row>
        <row r="285">
          <cell r="A285" t="str">
            <v>RHNS-SHPLTBR</v>
          </cell>
          <cell r="B285" t="str">
            <v>VAR_fout</v>
          </cell>
          <cell r="C285" t="str">
            <v>RHNS-SHPLT</v>
          </cell>
          <cell r="H285">
            <v>6.674906768268026E-3</v>
          </cell>
          <cell r="I285">
            <v>7.2247811863136793E-3</v>
          </cell>
          <cell r="J285">
            <v>1.031912944540621E-2</v>
          </cell>
        </row>
        <row r="286">
          <cell r="A286" t="str">
            <v>RHNS-SHPLTBR</v>
          </cell>
          <cell r="B286" t="str">
            <v>VAR_fin</v>
          </cell>
          <cell r="C286" t="str">
            <v>RPLT</v>
          </cell>
          <cell r="H286">
            <v>8.7348982387827727E-3</v>
          </cell>
          <cell r="I286">
            <v>9.4263907126111712E-3</v>
          </cell>
          <cell r="J286">
            <v>1.33466966737491E-2</v>
          </cell>
        </row>
        <row r="287">
          <cell r="A287" t="str">
            <v>RHNS-SHPLTBR</v>
          </cell>
          <cell r="B287" t="str">
            <v>VAR_ncap</v>
          </cell>
          <cell r="C287" t="str">
            <v>-</v>
          </cell>
          <cell r="H287">
            <v>2.31960093014852E-5</v>
          </cell>
          <cell r="I287">
            <v>2.22433877855357E-4</v>
          </cell>
          <cell r="J287">
            <v>5.90812077463663E-4</v>
          </cell>
        </row>
        <row r="288">
          <cell r="A288" t="str">
            <v>RHNS-SHPLTBR</v>
          </cell>
          <cell r="B288" t="str">
            <v>VAR_cap</v>
          </cell>
          <cell r="C288" t="str">
            <v>-</v>
          </cell>
          <cell r="H288">
            <v>5.1978682971655745E-4</v>
          </cell>
          <cell r="I288">
            <v>5.4586435638956301E-4</v>
          </cell>
          <cell r="J288">
            <v>7.6196599296237549E-4</v>
          </cell>
        </row>
        <row r="289">
          <cell r="A289" t="str">
            <v>D-RHNM_KEV_WOD_ELC_CHP</v>
          </cell>
          <cell r="B289" t="str">
            <v>VAR_fout</v>
          </cell>
          <cell r="C289" t="str">
            <v>ELC5</v>
          </cell>
          <cell r="H289">
            <v>1.0957490478065318E-3</v>
          </cell>
          <cell r="I289">
            <v>8.0754420076352233E-4</v>
          </cell>
          <cell r="J289">
            <v>5.2801867007590101E-4</v>
          </cell>
        </row>
        <row r="290">
          <cell r="A290" t="str">
            <v>D-RHNM_KEV_WOD_ELC_CHP</v>
          </cell>
          <cell r="B290" t="str">
            <v>VAR_fout</v>
          </cell>
          <cell r="C290" t="str">
            <v>RHNM_ELC</v>
          </cell>
          <cell r="H290">
            <v>0.21860118464033304</v>
          </cell>
          <cell r="I290">
            <v>0.28116640697319778</v>
          </cell>
          <cell r="J290">
            <v>0.13734511121320045</v>
          </cell>
        </row>
        <row r="291">
          <cell r="A291" t="str">
            <v>D-RHNM_KEV_WOD_ELC_CHP</v>
          </cell>
          <cell r="B291" t="str">
            <v>VAR_fin</v>
          </cell>
          <cell r="C291" t="str">
            <v>RHNM_KEV_WOD_ELC_CHP</v>
          </cell>
          <cell r="H291">
            <v>0.2196853368016361</v>
          </cell>
          <cell r="I291">
            <v>0.28196245496159805</v>
          </cell>
          <cell r="J291">
            <v>0.13786383780986805</v>
          </cell>
        </row>
        <row r="292">
          <cell r="A292" t="str">
            <v>SCOM-SHLTHCHPNGA</v>
          </cell>
          <cell r="B292" t="str">
            <v>VAR_fout</v>
          </cell>
          <cell r="C292" t="str">
            <v>SCOM-SHLTHC-NGA</v>
          </cell>
          <cell r="H292"/>
          <cell r="I292"/>
          <cell r="J292"/>
        </row>
        <row r="293">
          <cell r="A293" t="str">
            <v>SCOM-SHLTHCHPNGA</v>
          </cell>
          <cell r="B293" t="str">
            <v>VAR_fin</v>
          </cell>
          <cell r="C293" t="str">
            <v>SCOMLTHCHPC</v>
          </cell>
          <cell r="H293"/>
          <cell r="I293"/>
          <cell r="J293"/>
        </row>
        <row r="294">
          <cell r="A294" t="str">
            <v>SCOM-SHLTHCHPNGA</v>
          </cell>
          <cell r="B294" t="str">
            <v>VAR_fin</v>
          </cell>
          <cell r="C294" t="str">
            <v>SCOM_LTH_CHPNGA_ON</v>
          </cell>
          <cell r="H294"/>
          <cell r="I294"/>
          <cell r="J294"/>
        </row>
        <row r="295">
          <cell r="A295" t="str">
            <v>SCOM-SHLTHCHPNGA</v>
          </cell>
          <cell r="B295" t="str">
            <v>VAR_ncap</v>
          </cell>
          <cell r="C295" t="str">
            <v>-</v>
          </cell>
          <cell r="H295">
            <v>1.71953193852163E-4</v>
          </cell>
          <cell r="I295">
            <v>9.2713382180238999E-5</v>
          </cell>
          <cell r="J295">
            <v>2.9385610610306201E-7</v>
          </cell>
        </row>
        <row r="296">
          <cell r="A296" t="str">
            <v>SCOM-SHLTHCHPNGA</v>
          </cell>
          <cell r="B296" t="str">
            <v>VAR_cap</v>
          </cell>
          <cell r="C296" t="str">
            <v>-</v>
          </cell>
          <cell r="H296">
            <v>2.5521675692589951E-4</v>
          </cell>
          <cell r="I296">
            <v>1.4000491049963901E-4</v>
          </cell>
          <cell r="J296">
            <v>3.8271835840197606E-7</v>
          </cell>
        </row>
        <row r="297">
          <cell r="A297" t="str">
            <v>ITOT-PROCESSCO2</v>
          </cell>
          <cell r="B297" t="str">
            <v>VAR_fout</v>
          </cell>
          <cell r="C297" t="str">
            <v>CO2</v>
          </cell>
          <cell r="H297">
            <v>2085.5355245577598</v>
          </cell>
          <cell r="I297">
            <v>2077.42312387845</v>
          </cell>
          <cell r="J297">
            <v>2063.7497085211498</v>
          </cell>
        </row>
        <row r="298">
          <cell r="A298" t="str">
            <v>ITOT-PROCESSCO2</v>
          </cell>
          <cell r="B298" t="str">
            <v>VAR_fout</v>
          </cell>
          <cell r="C298" t="str">
            <v>CO2P</v>
          </cell>
          <cell r="H298">
            <v>2085.535524557758</v>
          </cell>
          <cell r="I298">
            <v>2077.4231238784519</v>
          </cell>
          <cell r="J298">
            <v>2063.749708521153</v>
          </cell>
        </row>
        <row r="299">
          <cell r="A299" t="str">
            <v>RHNM-SHWODBR</v>
          </cell>
          <cell r="B299" t="str">
            <v>VAR_fout</v>
          </cell>
          <cell r="C299" t="str">
            <v>RHNM-SHWOD</v>
          </cell>
          <cell r="H299">
            <v>9.0557747488979518E-2</v>
          </cell>
          <cell r="I299">
            <v>9.5373705218705432E-2</v>
          </cell>
          <cell r="J299">
            <v>8.2675405817082978E-2</v>
          </cell>
        </row>
        <row r="300">
          <cell r="A300" t="str">
            <v>RHNM-SHWODBR</v>
          </cell>
          <cell r="B300" t="str">
            <v>VAR_fin</v>
          </cell>
          <cell r="C300" t="str">
            <v>RHNMWODBRC</v>
          </cell>
          <cell r="H300">
            <v>9.0557747488979518E-2</v>
          </cell>
          <cell r="I300">
            <v>9.5373705218705432E-2</v>
          </cell>
          <cell r="J300">
            <v>8.2675405817082978E-2</v>
          </cell>
        </row>
        <row r="301">
          <cell r="A301" t="str">
            <v>RHNM-SHWODBR</v>
          </cell>
          <cell r="B301" t="str">
            <v>VAR_fin</v>
          </cell>
          <cell r="C301" t="str">
            <v>RWOD</v>
          </cell>
          <cell r="H301">
            <v>0.12047608716259169</v>
          </cell>
          <cell r="I301">
            <v>0.12621668334130706</v>
          </cell>
          <cell r="J301">
            <v>0.10941187083169145</v>
          </cell>
        </row>
        <row r="302">
          <cell r="A302" t="str">
            <v>RHNM-SHWODBR</v>
          </cell>
          <cell r="B302" t="str">
            <v>VAR_ncap</v>
          </cell>
          <cell r="C302" t="str">
            <v>-</v>
          </cell>
          <cell r="H302">
            <v>1.5204632421199901E-2</v>
          </cell>
          <cell r="I302"/>
          <cell r="J302"/>
        </row>
        <row r="303">
          <cell r="A303" t="str">
            <v>RHNM-SHWODBR</v>
          </cell>
          <cell r="B303" t="str">
            <v>VAR_cap</v>
          </cell>
          <cell r="C303" t="str">
            <v>-</v>
          </cell>
          <cell r="H303">
            <v>1.5859320919997387E-2</v>
          </cell>
          <cell r="I303">
            <v>1.5265387258320259E-2</v>
          </cell>
          <cell r="J303">
            <v>6.4314372493711166E-3</v>
          </cell>
        </row>
        <row r="304">
          <cell r="A304" t="str">
            <v>RHNS-SHDEM</v>
          </cell>
          <cell r="B304" t="str">
            <v>VAR_fout</v>
          </cell>
          <cell r="C304" t="str">
            <v>RHNS-SHD</v>
          </cell>
          <cell r="H304">
            <v>3.3756392547901024</v>
          </cell>
          <cell r="I304">
            <v>3.979952757698809</v>
          </cell>
          <cell r="J304">
            <v>4.7581342917708733</v>
          </cell>
        </row>
        <row r="305">
          <cell r="A305" t="str">
            <v>RHNS-SHDEM</v>
          </cell>
          <cell r="B305" t="str">
            <v>VAR_fin</v>
          </cell>
          <cell r="C305" t="str">
            <v>RHNS-SHLTHC-WOD</v>
          </cell>
          <cell r="H305">
            <v>1.429235184145521E-5</v>
          </cell>
          <cell r="I305"/>
          <cell r="J305"/>
        </row>
        <row r="306">
          <cell r="A306" t="str">
            <v>RHNS-SHDEM</v>
          </cell>
          <cell r="B306" t="str">
            <v>VAR_fin</v>
          </cell>
          <cell r="C306" t="str">
            <v>RHNS-SHLFO</v>
          </cell>
          <cell r="H306">
            <v>4.9440338200056111E-2</v>
          </cell>
          <cell r="I306">
            <v>4.317677272313037E-2</v>
          </cell>
          <cell r="J306">
            <v>9.82806730099358E-5</v>
          </cell>
        </row>
        <row r="307">
          <cell r="A307" t="str">
            <v>RHNS-SHDEM</v>
          </cell>
          <cell r="B307" t="str">
            <v>VAR_fin</v>
          </cell>
          <cell r="C307" t="str">
            <v>RHNS-SHNGAH</v>
          </cell>
          <cell r="H307">
            <v>0.76672912121710157</v>
          </cell>
          <cell r="I307">
            <v>0.95050695018673925</v>
          </cell>
          <cell r="J307">
            <v>1.1660640139540912</v>
          </cell>
        </row>
        <row r="308">
          <cell r="A308" t="str">
            <v>RHNS-SHDEM</v>
          </cell>
          <cell r="B308" t="str">
            <v>VAR_fin</v>
          </cell>
          <cell r="C308" t="str">
            <v>RHNS-SHCON</v>
          </cell>
          <cell r="H308">
            <v>1.0025886884125021E-3</v>
          </cell>
          <cell r="I308">
            <v>3.96440879539186E-3</v>
          </cell>
          <cell r="J308">
            <v>5.7632283694270909E-3</v>
          </cell>
        </row>
        <row r="309">
          <cell r="A309" t="str">
            <v>RHNS-SHDEM</v>
          </cell>
          <cell r="B309" t="str">
            <v>VAR_fin</v>
          </cell>
          <cell r="C309" t="str">
            <v>RHNS-SHWOD</v>
          </cell>
          <cell r="H309">
            <v>7.8453371746617859E-2</v>
          </cell>
          <cell r="I309">
            <v>8.0322647275406861E-2</v>
          </cell>
          <cell r="J309">
            <v>8.2198631906238481E-2</v>
          </cell>
        </row>
        <row r="310">
          <cell r="A310" t="str">
            <v>RHNS-SHDEM</v>
          </cell>
          <cell r="B310" t="str">
            <v>VAR_fin</v>
          </cell>
          <cell r="C310" t="str">
            <v>RHNS-SHNST</v>
          </cell>
          <cell r="H310">
            <v>1.4636899000060847E-4</v>
          </cell>
          <cell r="I310">
            <v>2.7921209575463381E-4</v>
          </cell>
          <cell r="J310"/>
        </row>
        <row r="311">
          <cell r="A311" t="str">
            <v>RHNS-SHDEM</v>
          </cell>
          <cell r="B311" t="str">
            <v>VAR_fin</v>
          </cell>
          <cell r="C311" t="str">
            <v>RHNS-SHPLT</v>
          </cell>
          <cell r="H311">
            <v>6.6703269768253965E-3</v>
          </cell>
          <cell r="I311">
            <v>7.1689044369127441E-3</v>
          </cell>
          <cell r="J311">
            <v>1.0309280378278015E-2</v>
          </cell>
        </row>
        <row r="312">
          <cell r="A312" t="str">
            <v>RHNS-SHDEM</v>
          </cell>
          <cell r="B312" t="str">
            <v>VAR_fin</v>
          </cell>
          <cell r="C312" t="str">
            <v>RHNS-SHLTHD</v>
          </cell>
          <cell r="H312">
            <v>0.15893694676255601</v>
          </cell>
          <cell r="I312">
            <v>0.17091169303367781</v>
          </cell>
          <cell r="J312">
            <v>0.19827776468732516</v>
          </cell>
        </row>
        <row r="313">
          <cell r="A313" t="str">
            <v>RHNS-SHDEM</v>
          </cell>
          <cell r="B313" t="str">
            <v>VAR_fin</v>
          </cell>
          <cell r="C313" t="str">
            <v>RHNS-SHELCB</v>
          </cell>
          <cell r="H313">
            <v>1.0928762749684193E-2</v>
          </cell>
          <cell r="I313">
            <v>1.1230275539098184E-2</v>
          </cell>
          <cell r="J313">
            <v>9.533767525104906E-3</v>
          </cell>
        </row>
        <row r="314">
          <cell r="A314" t="str">
            <v>RHNS-SHDEM</v>
          </cell>
          <cell r="B314" t="str">
            <v>VAR_fin</v>
          </cell>
          <cell r="C314" t="str">
            <v>RHNS-SHELCH</v>
          </cell>
          <cell r="H314">
            <v>2.2163410563779031</v>
          </cell>
          <cell r="I314">
            <v>2.6308478029287983</v>
          </cell>
          <cell r="J314">
            <v>3.2503245845711932</v>
          </cell>
        </row>
        <row r="315">
          <cell r="A315" t="str">
            <v>RHNS-SHDEM</v>
          </cell>
          <cell r="B315" t="str">
            <v>VAR_fin</v>
          </cell>
          <cell r="C315" t="str">
            <v>RHNS-SHSOL</v>
          </cell>
          <cell r="H315">
            <v>4.3198367408829754E-4</v>
          </cell>
          <cell r="I315">
            <v>6.8574102888139046E-4</v>
          </cell>
          <cell r="J315">
            <v>6.3620396615422347E-4</v>
          </cell>
        </row>
        <row r="316">
          <cell r="A316" t="str">
            <v>RHNS-SHDEM</v>
          </cell>
          <cell r="B316" t="str">
            <v>VAR_fin</v>
          </cell>
          <cell r="C316" t="str">
            <v>RHNS-SHLTHC-NGA</v>
          </cell>
          <cell r="H316">
            <v>1.5424805895282755E-5</v>
          </cell>
          <cell r="I316"/>
          <cell r="J316">
            <v>2.1588305540595761E-5</v>
          </cell>
        </row>
        <row r="317">
          <cell r="A317" t="str">
            <v>RHNS-SHDEM</v>
          </cell>
          <cell r="B317" t="str">
            <v>VAR_fin</v>
          </cell>
          <cell r="C317" t="str">
            <v>RHNS-SHNGA</v>
          </cell>
          <cell r="H317">
            <v>8.6764371786584277E-2</v>
          </cell>
          <cell r="I317">
            <v>8.1042279953455296E-2</v>
          </cell>
          <cell r="J317">
            <v>3.5056997459755657E-2</v>
          </cell>
          <cell r="L317"/>
          <cell r="M317"/>
          <cell r="N317"/>
        </row>
        <row r="318">
          <cell r="A318" t="str">
            <v>RES-ELCSPEC</v>
          </cell>
          <cell r="B318" t="str">
            <v>VAR_fout</v>
          </cell>
          <cell r="C318" t="str">
            <v>RHSA-ELS</v>
          </cell>
          <cell r="H318">
            <v>36.725780548258726</v>
          </cell>
          <cell r="I318">
            <v>32.103990096011231</v>
          </cell>
          <cell r="J318">
            <v>22.279237019705619</v>
          </cell>
        </row>
        <row r="319">
          <cell r="A319" t="str">
            <v>RES-ELCSPEC</v>
          </cell>
          <cell r="B319" t="str">
            <v>VAR_fin</v>
          </cell>
          <cell r="C319" t="str">
            <v>RHSA_ELC</v>
          </cell>
          <cell r="H319">
            <v>36.725780548258726</v>
          </cell>
          <cell r="I319">
            <v>32.103990096011231</v>
          </cell>
          <cell r="J319">
            <v>22.279237019705619</v>
          </cell>
        </row>
        <row r="320">
          <cell r="A320" t="str">
            <v>RES-ELCSPEC</v>
          </cell>
          <cell r="B320" t="str">
            <v>VAR_ncap</v>
          </cell>
          <cell r="C320" t="str">
            <v>-</v>
          </cell>
          <cell r="H320">
            <v>1.51909308482116E-6</v>
          </cell>
          <cell r="I320">
            <v>9.731521132542021E-7</v>
          </cell>
          <cell r="J320">
            <v>1.8863457408239299</v>
          </cell>
        </row>
        <row r="321">
          <cell r="A321" t="str">
            <v>RES-ELCSPEC</v>
          </cell>
          <cell r="B321" t="str">
            <v>VAR_cap</v>
          </cell>
          <cell r="C321" t="str">
            <v>-</v>
          </cell>
          <cell r="H321">
            <v>3.8818965618437082</v>
          </cell>
          <cell r="I321">
            <v>3.3933795253306109</v>
          </cell>
          <cell r="J321">
            <v>2.3549003171737031</v>
          </cell>
        </row>
        <row r="322">
          <cell r="A322" t="str">
            <v>SCOM-SHCONBR1</v>
          </cell>
          <cell r="B322" t="str">
            <v>VAR_fout</v>
          </cell>
          <cell r="C322" t="str">
            <v>SCOM-SHCON</v>
          </cell>
          <cell r="H322">
            <v>1.9675227663866341</v>
          </cell>
          <cell r="I322">
            <v>2.6177951961115333</v>
          </cell>
          <cell r="J322">
            <v>2.6177978808079994</v>
          </cell>
        </row>
        <row r="323">
          <cell r="A323" t="str">
            <v>SCOM-SHCONBR1</v>
          </cell>
          <cell r="B323" t="str">
            <v>VAR_fin</v>
          </cell>
          <cell r="C323" t="str">
            <v>CON</v>
          </cell>
          <cell r="H323">
            <v>1.9675227663866341</v>
          </cell>
          <cell r="I323">
            <v>2.6177951961115333</v>
          </cell>
          <cell r="J323">
            <v>2.6177978808079994</v>
          </cell>
        </row>
        <row r="324">
          <cell r="A324" t="str">
            <v>SCOM-SHCONBR1</v>
          </cell>
          <cell r="B324" t="str">
            <v>VAR_ncap</v>
          </cell>
          <cell r="C324" t="str">
            <v>-</v>
          </cell>
          <cell r="H324">
            <v>2.00322222270081E-7</v>
          </cell>
          <cell r="I324">
            <v>1.9571298860156801E-2</v>
          </cell>
          <cell r="J324">
            <v>8.4741432235534001E-2</v>
          </cell>
        </row>
        <row r="325">
          <cell r="A325" t="str">
            <v>SCOM-SHCONBR1</v>
          </cell>
          <cell r="B325" t="str">
            <v>VAR_cap</v>
          </cell>
          <cell r="C325" t="str">
            <v>-</v>
          </cell>
          <cell r="H325">
            <v>0.20228699128222505</v>
          </cell>
          <cell r="I325">
            <v>0.22185866746687619</v>
          </cell>
          <cell r="J325">
            <v>0.22125542338216947</v>
          </cell>
        </row>
        <row r="326">
          <cell r="A326" t="str">
            <v>RHSA-WHSTG-SOL</v>
          </cell>
          <cell r="B326" t="str">
            <v>VAR_fout</v>
          </cell>
          <cell r="C326" t="str">
            <v>RHSA-WHASOL</v>
          </cell>
          <cell r="H326">
            <v>0.38086011043360601</v>
          </cell>
          <cell r="I326">
            <v>0.42158499990715487</v>
          </cell>
          <cell r="J326">
            <v>0.39809538121368737</v>
          </cell>
        </row>
        <row r="327">
          <cell r="A327" t="str">
            <v>RHSA-WHSTG-SOL</v>
          </cell>
          <cell r="B327" t="str">
            <v>VAR_fout</v>
          </cell>
          <cell r="C327" t="str">
            <v>AUX_RHSA-WHSTG-SOL_OUT</v>
          </cell>
          <cell r="H327">
            <v>0.38124097054403994</v>
          </cell>
          <cell r="I327">
            <v>0.42200658490706233</v>
          </cell>
          <cell r="J327">
            <v>0.39849347659490136</v>
          </cell>
        </row>
        <row r="328">
          <cell r="A328" t="str">
            <v>RHSA-WHSTG-SOL</v>
          </cell>
          <cell r="B328" t="str">
            <v>VAR_fin</v>
          </cell>
          <cell r="C328" t="str">
            <v>RHSA-WHASOL</v>
          </cell>
          <cell r="H328">
            <v>0.38086116623730137</v>
          </cell>
          <cell r="I328">
            <v>0.42158387392316438</v>
          </cell>
          <cell r="J328">
            <v>0.39809426335147169</v>
          </cell>
        </row>
        <row r="329">
          <cell r="A329" t="str">
            <v>RHSA-WHSTG-SOL</v>
          </cell>
          <cell r="B329" t="str">
            <v>VAR_ncap</v>
          </cell>
          <cell r="C329" t="str">
            <v>-</v>
          </cell>
          <cell r="H329">
            <v>3.7110386818771601E-2</v>
          </cell>
          <cell r="I329">
            <v>2.64709606005585E-2</v>
          </cell>
          <cell r="J329">
            <v>2.5473259513881501E-2</v>
          </cell>
        </row>
        <row r="330">
          <cell r="A330" t="str">
            <v>RHSA-WHSTG-SOL</v>
          </cell>
          <cell r="B330" t="str">
            <v>VAR_cap</v>
          </cell>
          <cell r="C330" t="str">
            <v>-</v>
          </cell>
          <cell r="H330">
            <v>5.7430584091554472E-2</v>
          </cell>
          <cell r="I330">
            <v>6.3581914199236894E-2</v>
          </cell>
          <cell r="J330">
            <v>6.03816181645251E-2</v>
          </cell>
        </row>
        <row r="331">
          <cell r="A331" t="str">
            <v>SCOM-SHCONBR2</v>
          </cell>
          <cell r="B331" t="str">
            <v>VAR_fout</v>
          </cell>
          <cell r="C331" t="str">
            <v>SCOM-SHCON</v>
          </cell>
          <cell r="H331">
            <v>3.2290208733766144</v>
          </cell>
          <cell r="I331">
            <v>4.0772709015729625</v>
          </cell>
          <cell r="J331">
            <v>4.0772739010591197</v>
          </cell>
        </row>
        <row r="332">
          <cell r="A332" t="str">
            <v>SCOM-SHCONBR2</v>
          </cell>
          <cell r="B332" t="str">
            <v>VAR_fin</v>
          </cell>
          <cell r="C332" t="str">
            <v>CON</v>
          </cell>
          <cell r="H332">
            <v>3.2290208733766144</v>
          </cell>
          <cell r="I332">
            <v>4.0772709015729625</v>
          </cell>
          <cell r="J332">
            <v>4.0772739010591197</v>
          </cell>
        </row>
        <row r="333">
          <cell r="A333" t="str">
            <v>SCOM-SHCONBR2</v>
          </cell>
          <cell r="B333" t="str">
            <v>VAR_ncap</v>
          </cell>
          <cell r="C333" t="str">
            <v>-</v>
          </cell>
          <cell r="H333">
            <v>1.9105616464150001E-7</v>
          </cell>
          <cell r="I333">
            <v>1.6361229787769101E-2</v>
          </cell>
          <cell r="J333">
            <v>0.132175966090158</v>
          </cell>
        </row>
        <row r="334">
          <cell r="A334" t="str">
            <v>SCOM-SHCONBR2</v>
          </cell>
          <cell r="B334" t="str">
            <v>VAR_cap</v>
          </cell>
          <cell r="C334" t="str">
            <v>-</v>
          </cell>
          <cell r="H334">
            <v>0.3150608274765424</v>
          </cell>
          <cell r="I334">
            <v>0.33142244519653313</v>
          </cell>
          <cell r="J334">
            <v>0.33067456557081137</v>
          </cell>
        </row>
        <row r="335">
          <cell r="A335" t="str">
            <v>SCOM-SHCONBR3</v>
          </cell>
          <cell r="B335" t="str">
            <v>VAR_fout</v>
          </cell>
          <cell r="C335" t="str">
            <v>SCOM-SHCON</v>
          </cell>
          <cell r="H335">
            <v>1.786893811548931</v>
          </cell>
          <cell r="I335">
            <v>2.4864641936369534</v>
          </cell>
          <cell r="J335">
            <v>3.2762379348596831</v>
          </cell>
        </row>
        <row r="336">
          <cell r="A336" t="str">
            <v>SCOM-SHCONBR3</v>
          </cell>
          <cell r="B336" t="str">
            <v>VAR_fin</v>
          </cell>
          <cell r="C336" t="str">
            <v>CON</v>
          </cell>
          <cell r="H336">
            <v>1.786893811548931</v>
          </cell>
          <cell r="I336">
            <v>2.4864641936369534</v>
          </cell>
          <cell r="J336">
            <v>3.2762379348596831</v>
          </cell>
        </row>
        <row r="337">
          <cell r="A337" t="str">
            <v>SCOM-SHCONBR3</v>
          </cell>
          <cell r="B337" t="str">
            <v>VAR_ncap</v>
          </cell>
          <cell r="C337" t="str">
            <v>-</v>
          </cell>
          <cell r="H337">
            <v>1.16591582063059E-7</v>
          </cell>
          <cell r="I337">
            <v>5.3188486002350302E-3</v>
          </cell>
          <cell r="J337">
            <v>0.13984308887261099</v>
          </cell>
        </row>
        <row r="338">
          <cell r="A338" t="str">
            <v>SCOM-SHCONBR3</v>
          </cell>
          <cell r="B338" t="str">
            <v>VAR_cap</v>
          </cell>
          <cell r="C338" t="str">
            <v>-</v>
          </cell>
          <cell r="H338">
            <v>0.18682866501569328</v>
          </cell>
          <cell r="I338">
            <v>0.19214792264210409</v>
          </cell>
          <cell r="J338">
            <v>0.25316812950397971</v>
          </cell>
        </row>
        <row r="339">
          <cell r="A339" t="str">
            <v>SCOM-SHCONBR4</v>
          </cell>
          <cell r="B339" t="str">
            <v>VAR_fout</v>
          </cell>
          <cell r="C339" t="str">
            <v>SCOM-SHCON</v>
          </cell>
          <cell r="H339">
            <v>9.2804897313622774E-4</v>
          </cell>
          <cell r="I339">
            <v>1.7070793559356425E-3</v>
          </cell>
          <cell r="J339">
            <v>3.2688649563559657</v>
          </cell>
        </row>
        <row r="340">
          <cell r="A340" t="str">
            <v>SCOM-SHCONBR4</v>
          </cell>
          <cell r="B340" t="str">
            <v>VAR_fin</v>
          </cell>
          <cell r="C340" t="str">
            <v>CON</v>
          </cell>
          <cell r="H340">
            <v>9.2804897313622774E-4</v>
          </cell>
          <cell r="I340">
            <v>1.7070793559356425E-3</v>
          </cell>
          <cell r="J340">
            <v>3.2688649563559657</v>
          </cell>
        </row>
        <row r="341">
          <cell r="A341" t="str">
            <v>SCOM-SHCONBR4</v>
          </cell>
          <cell r="B341" t="str">
            <v>VAR_ncap</v>
          </cell>
          <cell r="C341" t="str">
            <v>-</v>
          </cell>
          <cell r="H341">
            <v>9.9948234150388296E-8</v>
          </cell>
          <cell r="I341">
            <v>1.2423811775407001E-6</v>
          </cell>
          <cell r="J341">
            <v>0.25251012518093902</v>
          </cell>
        </row>
        <row r="342">
          <cell r="A342" t="str">
            <v>SCOM-SHCONBR4</v>
          </cell>
          <cell r="B342" t="str">
            <v>VAR_cap</v>
          </cell>
          <cell r="C342" t="str">
            <v>-</v>
          </cell>
          <cell r="H342">
            <v>1.4082618667699952E-4</v>
          </cell>
          <cell r="I342">
            <v>1.423244914238634E-4</v>
          </cell>
          <cell r="J342">
            <v>0.25259303240037234</v>
          </cell>
        </row>
        <row r="343">
          <cell r="A343" t="str">
            <v>RHEM-SHNGABR</v>
          </cell>
          <cell r="B343" t="str">
            <v>VAR_fout</v>
          </cell>
          <cell r="C343" t="str">
            <v>CO2_R</v>
          </cell>
          <cell r="H343">
            <v>566.40479010687102</v>
          </cell>
          <cell r="I343">
            <v>230.78971723848801</v>
          </cell>
          <cell r="J343">
            <v>85.861722217784902</v>
          </cell>
        </row>
        <row r="344">
          <cell r="A344" t="str">
            <v>RHEM-SHNGABR</v>
          </cell>
          <cell r="B344" t="str">
            <v>VAR_fout</v>
          </cell>
          <cell r="C344" t="str">
            <v>RHEM-SHNGA</v>
          </cell>
          <cell r="H344">
            <v>9.4721257546130957</v>
          </cell>
          <cell r="I344">
            <v>3.8595528546679163</v>
          </cell>
          <cell r="J344">
            <v>1.4358865683340374</v>
          </cell>
        </row>
        <row r="345">
          <cell r="A345" t="str">
            <v>RHEM-SHNGABR</v>
          </cell>
          <cell r="B345" t="str">
            <v>VAR_fin</v>
          </cell>
          <cell r="C345" t="str">
            <v>RNGA</v>
          </cell>
          <cell r="H345">
            <v>10.042638122462254</v>
          </cell>
          <cell r="I345">
            <v>4.0920162630937629</v>
          </cell>
          <cell r="J345">
            <v>1.5223709613082437</v>
          </cell>
        </row>
        <row r="346">
          <cell r="A346" t="str">
            <v>RHEM-SHNGABR</v>
          </cell>
          <cell r="B346" t="str">
            <v>VAR_ncap</v>
          </cell>
          <cell r="C346" t="str">
            <v>-</v>
          </cell>
          <cell r="H346">
            <v>0.17795739047561501</v>
          </cell>
          <cell r="I346">
            <v>7.6775777979257498E-2</v>
          </cell>
          <cell r="J346">
            <v>1.91399133290316E-7</v>
          </cell>
        </row>
        <row r="347">
          <cell r="A347" t="str">
            <v>RHEM-SHNGABR</v>
          </cell>
          <cell r="B347" t="str">
            <v>VAR_cap</v>
          </cell>
          <cell r="C347" t="str">
            <v>-</v>
          </cell>
          <cell r="H347">
            <v>0.66905196474298145</v>
          </cell>
          <cell r="I347">
            <v>0.27985234938163928</v>
          </cell>
          <cell r="J347">
            <v>0.13098953698318808</v>
          </cell>
        </row>
        <row r="348">
          <cell r="A348" t="str">
            <v>RHNS-SHCONBR1</v>
          </cell>
          <cell r="B348" t="str">
            <v>VAR_ncap</v>
          </cell>
          <cell r="C348" t="str">
            <v>-</v>
          </cell>
          <cell r="H348">
            <v>5.1879646717721899</v>
          </cell>
          <cell r="I348"/>
          <cell r="J348"/>
        </row>
        <row r="349">
          <cell r="A349" t="str">
            <v>RHNS-SHCONBR1</v>
          </cell>
          <cell r="B349" t="str">
            <v>VAR_cap</v>
          </cell>
          <cell r="C349" t="str">
            <v>-</v>
          </cell>
          <cell r="H349">
            <v>12.999134296050954</v>
          </cell>
          <cell r="I349">
            <v>7.5256697854679828</v>
          </cell>
          <cell r="J349">
            <v>3.3837987282100244</v>
          </cell>
        </row>
        <row r="350">
          <cell r="A350" t="str">
            <v>SCOM-SHCONBR5</v>
          </cell>
          <cell r="B350" t="str">
            <v>VAR_fout</v>
          </cell>
          <cell r="C350" t="str">
            <v>SCOM-SHCON</v>
          </cell>
          <cell r="H350">
            <v>6.5965123927782523E-4</v>
          </cell>
          <cell r="I350">
            <v>1.1810935449620547E-3</v>
          </cell>
          <cell r="J350">
            <v>0.61987393749817066</v>
          </cell>
        </row>
        <row r="351">
          <cell r="A351" t="str">
            <v>SCOM-SHCONBR5</v>
          </cell>
          <cell r="B351" t="str">
            <v>VAR_fin</v>
          </cell>
          <cell r="C351" t="str">
            <v>CON</v>
          </cell>
          <cell r="H351">
            <v>6.5965123927782523E-4</v>
          </cell>
          <cell r="I351">
            <v>1.1810935449620547E-3</v>
          </cell>
          <cell r="J351">
            <v>0.61987393749817066</v>
          </cell>
        </row>
        <row r="352">
          <cell r="A352" t="str">
            <v>SCOM-SHCONBR5</v>
          </cell>
          <cell r="B352" t="str">
            <v>VAR_ncap</v>
          </cell>
          <cell r="C352" t="str">
            <v>-</v>
          </cell>
          <cell r="H352">
            <v>8.5987615159041204E-8</v>
          </cell>
          <cell r="I352">
            <v>2.3853676538055997E-7</v>
          </cell>
          <cell r="J352">
            <v>4.7845690364499899E-2</v>
          </cell>
        </row>
        <row r="353">
          <cell r="A353" t="str">
            <v>SCOM-SHCONBR5</v>
          </cell>
          <cell r="B353" t="str">
            <v>VAR_cap</v>
          </cell>
          <cell r="C353" t="str">
            <v>-</v>
          </cell>
          <cell r="H353">
            <v>1.0016869503097705E-4</v>
          </cell>
          <cell r="I353">
            <v>1.0061896251633933E-4</v>
          </cell>
          <cell r="J353">
            <v>4.7904053786450733E-2</v>
          </cell>
        </row>
        <row r="354">
          <cell r="A354" t="str">
            <v>RHNS-SHCONBR2</v>
          </cell>
          <cell r="B354" t="str">
            <v>VAR_ncap</v>
          </cell>
          <cell r="C354" t="str">
            <v>-</v>
          </cell>
          <cell r="H354">
            <v>5.1879646717722103</v>
          </cell>
          <cell r="I354"/>
          <cell r="J354"/>
        </row>
        <row r="355">
          <cell r="A355" t="str">
            <v>RHNS-SHCONBR2</v>
          </cell>
          <cell r="B355" t="str">
            <v>VAR_cap</v>
          </cell>
          <cell r="C355" t="str">
            <v>-</v>
          </cell>
          <cell r="H355">
            <v>12.999134296048965</v>
          </cell>
          <cell r="I355">
            <v>7.5256697854669596</v>
          </cell>
          <cell r="J355">
            <v>3.3837987282090012</v>
          </cell>
        </row>
        <row r="356">
          <cell r="A356" t="str">
            <v>RHES-SHSTG-ELCHP</v>
          </cell>
          <cell r="B356" t="str">
            <v>VAR_fout</v>
          </cell>
          <cell r="C356" t="str">
            <v>RHES-SHAELCH</v>
          </cell>
          <cell r="H356">
            <v>3.8827250964167184</v>
          </cell>
          <cell r="I356">
            <v>3.7390790164995886</v>
          </cell>
          <cell r="J356">
            <v>3.9743825364362584</v>
          </cell>
        </row>
        <row r="357">
          <cell r="A357" t="str">
            <v>RHES-SHSTG-ELCHP</v>
          </cell>
          <cell r="B357" t="str">
            <v>VAR_fout</v>
          </cell>
          <cell r="C357" t="str">
            <v>AUX_RHES-SHSTG-ELCHP_OUT</v>
          </cell>
          <cell r="H357">
            <v>3.8866078215131372</v>
          </cell>
          <cell r="I357">
            <v>3.7428180955160872</v>
          </cell>
          <cell r="J357">
            <v>3.9783569189726942</v>
          </cell>
        </row>
        <row r="358">
          <cell r="A358" t="str">
            <v>RHES-SHSTG-ELCHP</v>
          </cell>
          <cell r="B358" t="str">
            <v>VAR_fin</v>
          </cell>
          <cell r="C358" t="str">
            <v>RHES-SHAELCH</v>
          </cell>
          <cell r="H358">
            <v>3.882731468937453</v>
          </cell>
          <cell r="I358">
            <v>3.7390851693457083</v>
          </cell>
          <cell r="J358">
            <v>3.9743893446456449</v>
          </cell>
        </row>
        <row r="359">
          <cell r="A359" t="str">
            <v>RHES-SHSTG-ELCHP</v>
          </cell>
          <cell r="B359" t="str">
            <v>VAR_ncap</v>
          </cell>
          <cell r="C359" t="str">
            <v>-</v>
          </cell>
          <cell r="H359">
            <v>0.12387273668257399</v>
          </cell>
          <cell r="I359">
            <v>0.20270570703230401</v>
          </cell>
          <cell r="J359">
            <v>0.174142022237644</v>
          </cell>
        </row>
        <row r="360">
          <cell r="A360" t="str">
            <v>RHES-SHSTG-ELCHP</v>
          </cell>
          <cell r="B360" t="str">
            <v>VAR_cap</v>
          </cell>
          <cell r="C360" t="str">
            <v>-</v>
          </cell>
          <cell r="H360">
            <v>0.36281683946414578</v>
          </cell>
          <cell r="I360">
            <v>0.38863768805482302</v>
          </cell>
          <cell r="J360">
            <v>0.37362233455673038</v>
          </cell>
        </row>
        <row r="361">
          <cell r="A361" t="str">
            <v>SCOM-SHCONBR6</v>
          </cell>
          <cell r="B361" t="str">
            <v>VAR_fout</v>
          </cell>
          <cell r="C361" t="str">
            <v>SCOM-SHCON</v>
          </cell>
          <cell r="H361">
            <v>3.8590722340967645E-4</v>
          </cell>
          <cell r="I361">
            <v>6.6369791931648664E-4</v>
          </cell>
          <cell r="J361">
            <v>4.5071715568829966E-4</v>
          </cell>
        </row>
        <row r="362">
          <cell r="A362" t="str">
            <v>SCOM-SHCONBR6</v>
          </cell>
          <cell r="B362" t="str">
            <v>VAR_fin</v>
          </cell>
          <cell r="C362" t="str">
            <v>CON</v>
          </cell>
          <cell r="H362">
            <v>3.8590722340967645E-4</v>
          </cell>
          <cell r="I362">
            <v>6.6369791931648664E-4</v>
          </cell>
          <cell r="J362">
            <v>4.5071715568829966E-4</v>
          </cell>
        </row>
        <row r="363">
          <cell r="A363" t="str">
            <v>SCOM-SHCONBR6</v>
          </cell>
          <cell r="B363" t="str">
            <v>VAR_ncap</v>
          </cell>
          <cell r="C363" t="str">
            <v>-</v>
          </cell>
          <cell r="H363">
            <v>7.3616206980492698E-8</v>
          </cell>
          <cell r="I363">
            <v>1.4212463562975299E-7</v>
          </cell>
          <cell r="J363">
            <v>4.11556736541646E-6</v>
          </cell>
        </row>
        <row r="364">
          <cell r="A364" t="str">
            <v>SCOM-SHCONBR6</v>
          </cell>
          <cell r="B364" t="str">
            <v>VAR_cap</v>
          </cell>
          <cell r="C364" t="str">
            <v>-</v>
          </cell>
          <cell r="H364">
            <v>5.8545102546995387E-5</v>
          </cell>
          <cell r="I364">
            <v>5.8821532463895537E-5</v>
          </cell>
          <cell r="J364">
            <v>3.8273083712264935E-5</v>
          </cell>
        </row>
        <row r="365">
          <cell r="A365" t="str">
            <v>RHNM-SHDEM</v>
          </cell>
          <cell r="B365" t="str">
            <v>VAR_fout</v>
          </cell>
          <cell r="C365" t="str">
            <v>RHNM-SHD</v>
          </cell>
          <cell r="H365">
            <v>3.5735945294822868</v>
          </cell>
          <cell r="I365">
            <v>4.2100864621501017</v>
          </cell>
          <cell r="J365">
            <v>4.9967985117250997</v>
          </cell>
        </row>
        <row r="366">
          <cell r="A366" t="str">
            <v>RHNM-SHDEM</v>
          </cell>
          <cell r="B366" t="str">
            <v>VAR_fin</v>
          </cell>
          <cell r="C366" t="str">
            <v>RHNM-SHLFO</v>
          </cell>
          <cell r="H366">
            <v>9.4567610861439499E-2</v>
          </cell>
          <cell r="I366">
            <v>6.4638457557349746E-2</v>
          </cell>
          <cell r="J366">
            <v>5.679361995346077E-5</v>
          </cell>
        </row>
        <row r="367">
          <cell r="A367" t="str">
            <v>RHNM-SHDEM</v>
          </cell>
          <cell r="B367" t="str">
            <v>VAR_fin</v>
          </cell>
          <cell r="C367" t="str">
            <v>RHNM-SHLTHD</v>
          </cell>
          <cell r="H367">
            <v>0.27076058856040319</v>
          </cell>
          <cell r="I367">
            <v>0.31395058058882835</v>
          </cell>
          <cell r="J367">
            <v>0.38617386655359348</v>
          </cell>
        </row>
        <row r="368">
          <cell r="A368" t="str">
            <v>RHNM-SHDEM</v>
          </cell>
          <cell r="B368" t="str">
            <v>VAR_fin</v>
          </cell>
          <cell r="C368" t="str">
            <v>RHNM-SHCON</v>
          </cell>
          <cell r="H368">
            <v>1.1553383984916332E-3</v>
          </cell>
          <cell r="I368">
            <v>5.9651555827353146E-3</v>
          </cell>
          <cell r="J368">
            <v>5.9286434453226459E-3</v>
          </cell>
        </row>
        <row r="369">
          <cell r="A369" t="str">
            <v>RHNM-SHDEM</v>
          </cell>
          <cell r="B369" t="str">
            <v>VAR_fin</v>
          </cell>
          <cell r="C369" t="str">
            <v>RHNM-SHELCB</v>
          </cell>
          <cell r="H369">
            <v>1.8061908360015818E-3</v>
          </cell>
          <cell r="I369">
            <v>2.3455852253692682E-3</v>
          </cell>
          <cell r="J369">
            <v>2.1884538264134476E-3</v>
          </cell>
        </row>
        <row r="370">
          <cell r="A370" t="str">
            <v>RHNM-SHDEM</v>
          </cell>
          <cell r="B370" t="str">
            <v>VAR_fin</v>
          </cell>
          <cell r="C370" t="str">
            <v>RHNM-SHWOD</v>
          </cell>
          <cell r="H370">
            <v>9.0370357560078982E-2</v>
          </cell>
          <cell r="I370">
            <v>9.4876611273444794E-2</v>
          </cell>
          <cell r="J370">
            <v>8.2348470617746417E-2</v>
          </cell>
        </row>
        <row r="371">
          <cell r="A371" t="str">
            <v>RHNM-SHDEM</v>
          </cell>
          <cell r="B371" t="str">
            <v>VAR_fin</v>
          </cell>
          <cell r="C371" t="str">
            <v>RHNM-SHELCH</v>
          </cell>
          <cell r="H371">
            <v>1.9491116419053534</v>
          </cell>
          <cell r="I371">
            <v>2.3701474515248244</v>
          </cell>
          <cell r="J371">
            <v>3.009974305985716</v>
          </cell>
        </row>
        <row r="372">
          <cell r="A372" t="str">
            <v>RHNM-SHDEM</v>
          </cell>
          <cell r="B372" t="str">
            <v>VAR_fin</v>
          </cell>
          <cell r="C372" t="str">
            <v>RHNM-SHNST</v>
          </cell>
          <cell r="H372">
            <v>6.0547211099399539E-5</v>
          </cell>
          <cell r="I372">
            <v>2.0028727218219703E-5</v>
          </cell>
          <cell r="J372">
            <v>4.9586760672002962E-5</v>
          </cell>
        </row>
        <row r="373">
          <cell r="A373" t="str">
            <v>RHNM-SHDEM</v>
          </cell>
          <cell r="B373" t="str">
            <v>VAR_fin</v>
          </cell>
          <cell r="C373" t="str">
            <v>RHNM-SHPLT</v>
          </cell>
          <cell r="H373">
            <v>1.8858058589931913E-2</v>
          </cell>
          <cell r="I373">
            <v>2.1392491818243969E-2</v>
          </cell>
          <cell r="J373">
            <v>2.6100805459411038E-2</v>
          </cell>
        </row>
        <row r="374">
          <cell r="A374" t="str">
            <v>RHNM-SHDEM</v>
          </cell>
          <cell r="B374" t="str">
            <v>VAR_fin</v>
          </cell>
          <cell r="C374" t="str">
            <v>RHNM-SHLTHC-NGA</v>
          </cell>
          <cell r="H374">
            <v>5.2001230275363894E-5</v>
          </cell>
          <cell r="I374">
            <v>3.379923235383701E-4</v>
          </cell>
          <cell r="J374">
            <v>2.078878256347061E-5</v>
          </cell>
        </row>
        <row r="375">
          <cell r="A375" t="str">
            <v>RHNM-SHDEM</v>
          </cell>
          <cell r="B375" t="str">
            <v>VAR_fin</v>
          </cell>
          <cell r="C375" t="str">
            <v>RHNM-SHSOL</v>
          </cell>
          <cell r="H375">
            <v>3.2742596883720746E-4</v>
          </cell>
          <cell r="I375">
            <v>7.7890616407470261E-4</v>
          </cell>
          <cell r="J375">
            <v>6.0632534277837026E-4</v>
          </cell>
        </row>
        <row r="376">
          <cell r="A376" t="str">
            <v>RHNM-SHDEM</v>
          </cell>
          <cell r="B376" t="str">
            <v>VAR_fin</v>
          </cell>
          <cell r="C376" t="str">
            <v>RHNM-SHLTHC-WOD</v>
          </cell>
          <cell r="H376">
            <v>8.0537815426969266E-5</v>
          </cell>
          <cell r="I376">
            <v>4.4229534493685727E-5</v>
          </cell>
          <cell r="J376">
            <v>1.7953928015762243E-4</v>
          </cell>
        </row>
        <row r="377">
          <cell r="A377" t="str">
            <v>RHNM-SHDEM</v>
          </cell>
          <cell r="B377" t="str">
            <v>VAR_fin</v>
          </cell>
          <cell r="C377" t="str">
            <v>RHNM-SHNGAH</v>
          </cell>
          <cell r="H377">
            <v>1.000463666300567</v>
          </cell>
          <cell r="I377">
            <v>1.2474133627250721</v>
          </cell>
          <cell r="J377">
            <v>1.4833069091551598</v>
          </cell>
        </row>
        <row r="378">
          <cell r="A378" t="str">
            <v>RHNM-SHDEM</v>
          </cell>
          <cell r="B378" t="str">
            <v>VAR_fin</v>
          </cell>
          <cell r="C378" t="str">
            <v>RHNM-SHNGA</v>
          </cell>
          <cell r="H378">
            <v>0.14621967937343647</v>
          </cell>
          <cell r="I378">
            <v>8.8363910681223484E-2</v>
          </cell>
          <cell r="J378"/>
        </row>
        <row r="379">
          <cell r="A379" t="str">
            <v>SCOM-STG-ELCSPEC</v>
          </cell>
          <cell r="B379" t="str">
            <v>VAR_fout</v>
          </cell>
          <cell r="C379" t="str">
            <v>SCOM-ELS</v>
          </cell>
          <cell r="H379">
            <v>1.4902023613969877E-2</v>
          </cell>
          <cell r="I379">
            <v>0.14070960870451618</v>
          </cell>
          <cell r="J379">
            <v>0.47325550117649651</v>
          </cell>
        </row>
        <row r="380">
          <cell r="A380" t="str">
            <v>SCOM-STG-ELCSPEC</v>
          </cell>
          <cell r="B380" t="str">
            <v>VAR_fin</v>
          </cell>
          <cell r="C380" t="str">
            <v>SCOM-ELS</v>
          </cell>
          <cell r="H380">
            <v>1.4903842510949323E-2</v>
          </cell>
          <cell r="I380">
            <v>0.14071149256210211</v>
          </cell>
          <cell r="J380">
            <v>0.47325644310528914</v>
          </cell>
        </row>
        <row r="381">
          <cell r="A381" t="str">
            <v>SCOM-STG-ELCSPEC</v>
          </cell>
          <cell r="B381" t="str">
            <v>VAR_ncap</v>
          </cell>
          <cell r="C381" t="str">
            <v>-</v>
          </cell>
          <cell r="H381">
            <v>3.0997171682872401E-5</v>
          </cell>
          <cell r="I381">
            <v>4.5374190150609499E-3</v>
          </cell>
          <cell r="J381">
            <v>1.25538100283732E-2</v>
          </cell>
        </row>
        <row r="382">
          <cell r="A382" t="str">
            <v>SCOM-STG-ELCSPEC</v>
          </cell>
          <cell r="B382" t="str">
            <v>VAR_cap</v>
          </cell>
          <cell r="C382" t="str">
            <v>-</v>
          </cell>
          <cell r="H382">
            <v>5.5924848798944685E-4</v>
          </cell>
          <cell r="I382">
            <v>4.8570854220564815E-3</v>
          </cell>
          <cell r="J382">
            <v>1.7116182404366371E-2</v>
          </cell>
        </row>
        <row r="383">
          <cell r="A383" t="str">
            <v>RHNS-SHCONBR3</v>
          </cell>
          <cell r="B383" t="str">
            <v>VAR_ncap</v>
          </cell>
          <cell r="C383" t="str">
            <v>-</v>
          </cell>
          <cell r="H383">
            <v>5.1879646717721899</v>
          </cell>
          <cell r="I383"/>
          <cell r="J383"/>
        </row>
        <row r="384">
          <cell r="A384" t="str">
            <v>RHNS-SHCONBR3</v>
          </cell>
          <cell r="B384" t="str">
            <v>VAR_cap</v>
          </cell>
          <cell r="C384" t="str">
            <v>-</v>
          </cell>
          <cell r="H384">
            <v>12.999134296050954</v>
          </cell>
          <cell r="I384">
            <v>7.5256697854679828</v>
          </cell>
          <cell r="J384">
            <v>3.3837987282100244</v>
          </cell>
        </row>
        <row r="385">
          <cell r="A385" t="str">
            <v>SCOM-SHCONBR7</v>
          </cell>
          <cell r="B385" t="str">
            <v>VAR_fout</v>
          </cell>
          <cell r="C385" t="str">
            <v>SCOM-SHCON</v>
          </cell>
          <cell r="H385">
            <v>2.2334309321724106E-4</v>
          </cell>
          <cell r="I385">
            <v>3.6267986130064645E-4</v>
          </cell>
          <cell r="J385">
            <v>2.2339432677578498E-4</v>
          </cell>
        </row>
        <row r="386">
          <cell r="A386" t="str">
            <v>SCOM-SHCONBR7</v>
          </cell>
          <cell r="B386" t="str">
            <v>VAR_fin</v>
          </cell>
          <cell r="C386" t="str">
            <v>CON</v>
          </cell>
          <cell r="H386">
            <v>2.2334309321724106E-4</v>
          </cell>
          <cell r="I386">
            <v>3.6267986130064645E-4</v>
          </cell>
          <cell r="J386">
            <v>2.2339432677578498E-4</v>
          </cell>
        </row>
        <row r="387">
          <cell r="A387" t="str">
            <v>SCOM-SHCONBR7</v>
          </cell>
          <cell r="B387" t="str">
            <v>VAR_ncap</v>
          </cell>
          <cell r="C387" t="str">
            <v>-</v>
          </cell>
          <cell r="H387">
            <v>5.2249678735560101E-8</v>
          </cell>
          <cell r="I387"/>
          <cell r="J387">
            <v>2.0228311595352299E-7</v>
          </cell>
        </row>
        <row r="388">
          <cell r="A388" t="str">
            <v>SCOM-SHCONBR7</v>
          </cell>
          <cell r="B388" t="str">
            <v>VAR_cap</v>
          </cell>
          <cell r="C388" t="str">
            <v>-</v>
          </cell>
          <cell r="H388">
            <v>3.3480265875194431E-5</v>
          </cell>
          <cell r="I388">
            <v>3.3545845346604177E-5</v>
          </cell>
          <cell r="J388">
            <v>1.966846420910919E-5</v>
          </cell>
        </row>
        <row r="389">
          <cell r="A389" t="str">
            <v>RHNS-SHCONBR4</v>
          </cell>
          <cell r="B389" t="str">
            <v>VAR_ncap</v>
          </cell>
          <cell r="C389" t="str">
            <v>-</v>
          </cell>
          <cell r="H389">
            <v>5.1879646717722103</v>
          </cell>
          <cell r="I389"/>
          <cell r="J389"/>
        </row>
        <row r="390">
          <cell r="A390" t="str">
            <v>RHNS-SHCONBR4</v>
          </cell>
          <cell r="B390" t="str">
            <v>VAR_cap</v>
          </cell>
          <cell r="C390" t="str">
            <v>-</v>
          </cell>
          <cell r="H390">
            <v>12.999134296048965</v>
          </cell>
          <cell r="I390">
            <v>7.5256697854669596</v>
          </cell>
          <cell r="J390">
            <v>3.3837987282090012</v>
          </cell>
        </row>
        <row r="391">
          <cell r="A391" t="str">
            <v>SCOM-SHCONBR8</v>
          </cell>
          <cell r="B391" t="str">
            <v>VAR_fout</v>
          </cell>
          <cell r="C391" t="str">
            <v>SCOM-SHCON</v>
          </cell>
          <cell r="H391">
            <v>7.7720824815781506E-5</v>
          </cell>
          <cell r="I391">
            <v>1.0716333556202481E-4</v>
          </cell>
          <cell r="J391">
            <v>6.855344456785263E-5</v>
          </cell>
        </row>
        <row r="392">
          <cell r="A392" t="str">
            <v>SCOM-SHCONBR8</v>
          </cell>
          <cell r="B392" t="str">
            <v>VAR_fin</v>
          </cell>
          <cell r="C392" t="str">
            <v>CON</v>
          </cell>
          <cell r="H392">
            <v>7.7720824815781506E-5</v>
          </cell>
          <cell r="I392">
            <v>1.0716333556202481E-4</v>
          </cell>
          <cell r="J392">
            <v>6.855344456785263E-5</v>
          </cell>
        </row>
        <row r="393">
          <cell r="A393" t="str">
            <v>SCOM-SHCONBR8</v>
          </cell>
          <cell r="B393" t="str">
            <v>VAR_ncap</v>
          </cell>
          <cell r="C393" t="str">
            <v>-</v>
          </cell>
          <cell r="H393">
            <v>2.3222701640144299E-8</v>
          </cell>
          <cell r="I393"/>
          <cell r="J393">
            <v>3.7545680406449403E-8</v>
          </cell>
        </row>
        <row r="394">
          <cell r="A394" t="str">
            <v>SCOM-SHCONBR8</v>
          </cell>
          <cell r="B394" t="str">
            <v>VAR_cap</v>
          </cell>
          <cell r="C394" t="str">
            <v>-</v>
          </cell>
          <cell r="H394">
            <v>1.0595148235038715E-5</v>
          </cell>
          <cell r="I394">
            <v>1.0597902846482934E-5</v>
          </cell>
          <cell r="J394">
            <v>6.2111984833412607E-6</v>
          </cell>
        </row>
        <row r="395">
          <cell r="A395" t="str">
            <v>ITOT-ELCSPEC</v>
          </cell>
          <cell r="B395" t="str">
            <v>VAR_fout</v>
          </cell>
          <cell r="C395" t="str">
            <v>ITOT-ELS</v>
          </cell>
          <cell r="H395">
            <v>54.059741777419518</v>
          </cell>
          <cell r="I395">
            <v>53.526687966290375</v>
          </cell>
          <cell r="J395">
            <v>54.882570988869887</v>
          </cell>
        </row>
        <row r="396">
          <cell r="A396" t="str">
            <v>ITOT-ELCSPEC</v>
          </cell>
          <cell r="B396" t="str">
            <v>VAR_fin</v>
          </cell>
          <cell r="C396" t="str">
            <v>ITOT_ELC</v>
          </cell>
          <cell r="H396">
            <v>54.059741777419518</v>
          </cell>
          <cell r="I396">
            <v>53.526687966290375</v>
          </cell>
          <cell r="J396">
            <v>54.882570988869887</v>
          </cell>
        </row>
        <row r="397">
          <cell r="A397" t="str">
            <v>ITOT-ELCSPEC</v>
          </cell>
          <cell r="B397" t="str">
            <v>VAR_ncap</v>
          </cell>
          <cell r="C397" t="str">
            <v>-</v>
          </cell>
          <cell r="H397">
            <v>6.37285672898944E-2</v>
          </cell>
          <cell r="I397">
            <v>1.74578212795257E-6</v>
          </cell>
          <cell r="J397">
            <v>2.57470550581845</v>
          </cell>
        </row>
        <row r="398">
          <cell r="A398" t="str">
            <v>ITOT-ELCSPEC</v>
          </cell>
          <cell r="B398" t="str">
            <v>VAR_cap</v>
          </cell>
          <cell r="C398" t="str">
            <v>-</v>
          </cell>
          <cell r="H398">
            <v>2.9399228009398213</v>
          </cell>
          <cell r="I398">
            <v>2.9109351469997145</v>
          </cell>
          <cell r="J398">
            <v>2.9846703224545741</v>
          </cell>
        </row>
        <row r="399">
          <cell r="A399" t="str">
            <v>RHNM-SHLTHDH</v>
          </cell>
          <cell r="B399" t="str">
            <v>VAR_fout</v>
          </cell>
          <cell r="C399" t="str">
            <v>RHNM-SHLTHD</v>
          </cell>
          <cell r="H399">
            <v>0.27100466891799901</v>
          </cell>
          <cell r="I399">
            <v>0.31436196395817356</v>
          </cell>
          <cell r="J399">
            <v>0.38677450887642156</v>
          </cell>
        </row>
        <row r="400">
          <cell r="A400" t="str">
            <v>RHNM-SHLTHDH</v>
          </cell>
          <cell r="B400" t="str">
            <v>VAR_fin</v>
          </cell>
          <cell r="C400" t="str">
            <v>RHNMLTHDHC</v>
          </cell>
          <cell r="H400">
            <v>0.27100466891799901</v>
          </cell>
          <cell r="I400">
            <v>0.31436196395817356</v>
          </cell>
          <cell r="J400">
            <v>0.38677450887642156</v>
          </cell>
        </row>
        <row r="401">
          <cell r="A401" t="str">
            <v>RHNM-SHLTHDH</v>
          </cell>
          <cell r="B401" t="str">
            <v>VAR_fin</v>
          </cell>
          <cell r="C401" t="str">
            <v>RHNM_LTH_DH</v>
          </cell>
          <cell r="H401">
            <v>0.2982007433696548</v>
          </cell>
          <cell r="I401">
            <v>0.34554844450633598</v>
          </cell>
          <cell r="J401">
            <v>0.42514472245354634</v>
          </cell>
        </row>
        <row r="402">
          <cell r="A402" t="str">
            <v>RHNM-SHLTHDH</v>
          </cell>
          <cell r="B402" t="str">
            <v>VAR_ncap</v>
          </cell>
          <cell r="C402" t="str">
            <v>-</v>
          </cell>
          <cell r="H402">
            <v>2.2077110603217199E-2</v>
          </cell>
          <cell r="I402">
            <v>9.2015653638018498E-3</v>
          </cell>
          <cell r="J402">
            <v>1.6068538701778601E-2</v>
          </cell>
        </row>
        <row r="403">
          <cell r="A403" t="str">
            <v>RHNM-SHLTHDH</v>
          </cell>
          <cell r="B403" t="str">
            <v>VAR_cap</v>
          </cell>
          <cell r="C403" t="str">
            <v>-</v>
          </cell>
          <cell r="H403">
            <v>3.8083239899569597E-2</v>
          </cell>
          <cell r="I403">
            <v>2.7603265169017205E-2</v>
          </cell>
          <cell r="J403">
            <v>3.2345519057166511E-2</v>
          </cell>
        </row>
        <row r="404">
          <cell r="A404" t="str">
            <v>RHNS-SHCONBR5</v>
          </cell>
          <cell r="B404" t="str">
            <v>VAR_ncap</v>
          </cell>
          <cell r="C404" t="str">
            <v>-</v>
          </cell>
          <cell r="H404">
            <v>5.1879646717721899</v>
          </cell>
          <cell r="I404"/>
          <cell r="J404"/>
        </row>
        <row r="405">
          <cell r="A405" t="str">
            <v>RHNS-SHCONBR5</v>
          </cell>
          <cell r="B405" t="str">
            <v>VAR_cap</v>
          </cell>
          <cell r="C405" t="str">
            <v>-</v>
          </cell>
          <cell r="H405">
            <v>12.999134296050954</v>
          </cell>
          <cell r="I405">
            <v>7.5256697854679828</v>
          </cell>
          <cell r="J405">
            <v>3.3837987282100244</v>
          </cell>
        </row>
        <row r="406">
          <cell r="A406" t="str">
            <v>SCOM-SHCONBR9</v>
          </cell>
          <cell r="B406" t="str">
            <v>VAR_fout</v>
          </cell>
          <cell r="C406" t="str">
            <v>SCOM-SHCON</v>
          </cell>
          <cell r="H406">
            <v>2.7777743574925437E-5</v>
          </cell>
          <cell r="I406">
            <v>3.1336036168020631E-5</v>
          </cell>
          <cell r="J406">
            <v>2.1808364992317534E-5</v>
          </cell>
        </row>
        <row r="407">
          <cell r="A407" t="str">
            <v>SCOM-SHCONBR9</v>
          </cell>
          <cell r="B407" t="str">
            <v>VAR_fin</v>
          </cell>
          <cell r="C407" t="str">
            <v>CON</v>
          </cell>
          <cell r="H407">
            <v>2.7777743574925437E-5</v>
          </cell>
          <cell r="I407">
            <v>3.1336036168020631E-5</v>
          </cell>
          <cell r="J407">
            <v>2.1808364992317534E-5</v>
          </cell>
        </row>
        <row r="408">
          <cell r="A408" t="str">
            <v>SCOM-SHCONBR9</v>
          </cell>
          <cell r="B408" t="str">
            <v>VAR_ncap</v>
          </cell>
          <cell r="C408" t="str">
            <v>-</v>
          </cell>
          <cell r="H408">
            <v>1.09601001113218E-8</v>
          </cell>
          <cell r="I408"/>
          <cell r="J408">
            <v>1.34241417458614E-8</v>
          </cell>
        </row>
        <row r="409">
          <cell r="A409" t="str">
            <v>SCOM-SHCONBR9</v>
          </cell>
          <cell r="B409" t="str">
            <v>VAR_cap</v>
          </cell>
          <cell r="C409" t="str">
            <v>-</v>
          </cell>
          <cell r="H409">
            <v>2.5421059219827636E-6</v>
          </cell>
          <cell r="I409">
            <v>2.5463368165660588E-6</v>
          </cell>
          <cell r="J409">
            <v>1.5215996633790878E-6</v>
          </cell>
        </row>
        <row r="410">
          <cell r="A410" t="str">
            <v>ITOT-SWHCOABR</v>
          </cell>
          <cell r="B410" t="str">
            <v>VAR_fout</v>
          </cell>
          <cell r="C410" t="str">
            <v>ITOT-SWH</v>
          </cell>
          <cell r="H410">
            <v>1.5155179363335587E-3</v>
          </cell>
          <cell r="I410">
            <v>1.7501979735544851E-4</v>
          </cell>
          <cell r="J410"/>
        </row>
        <row r="411">
          <cell r="A411" t="str">
            <v>ITOT-SWHCOABR</v>
          </cell>
          <cell r="B411" t="str">
            <v>VAR_fout</v>
          </cell>
          <cell r="C411" t="str">
            <v>CO2_I</v>
          </cell>
          <cell r="H411">
            <v>0.208904851595719</v>
          </cell>
          <cell r="I411">
            <v>2.40360521701482E-2</v>
          </cell>
          <cell r="J411"/>
        </row>
        <row r="412">
          <cell r="A412" t="str">
            <v>ITOT-SWHCOABR</v>
          </cell>
          <cell r="B412" t="str">
            <v>VAR_fin</v>
          </cell>
          <cell r="C412" t="str">
            <v>ICOA</v>
          </cell>
          <cell r="H412">
            <v>2.2535582696409798E-3</v>
          </cell>
          <cell r="I412">
            <v>2.5928858867473818E-4</v>
          </cell>
          <cell r="J412"/>
        </row>
        <row r="413">
          <cell r="A413" t="str">
            <v>ITOT-SWHCOABR</v>
          </cell>
          <cell r="B413" t="str">
            <v>VAR_ncap</v>
          </cell>
          <cell r="C413" t="str">
            <v>-</v>
          </cell>
          <cell r="H413">
            <v>1.32982834876627E-4</v>
          </cell>
          <cell r="I413">
            <v>2.7753857051876498E-6</v>
          </cell>
          <cell r="J413">
            <v>5.4313524076060305E-7</v>
          </cell>
        </row>
        <row r="414">
          <cell r="A414" t="str">
            <v>ITOT-SWHCOABR</v>
          </cell>
          <cell r="B414" t="str">
            <v>VAR_cap</v>
          </cell>
          <cell r="C414" t="str">
            <v>-</v>
          </cell>
          <cell r="H414">
            <v>1.4036466102458622E-4</v>
          </cell>
          <cell r="I414">
            <v>1.6592310551024003E-5</v>
          </cell>
          <cell r="J414">
            <v>1.4090353772840282E-7</v>
          </cell>
        </row>
        <row r="415">
          <cell r="A415" t="str">
            <v>RHSA-WHDEM</v>
          </cell>
          <cell r="B415" t="str">
            <v>VAR_fout</v>
          </cell>
          <cell r="C415" t="str">
            <v>RHSA-WHD</v>
          </cell>
          <cell r="H415">
            <v>24.08147661452708</v>
          </cell>
          <cell r="I415">
            <v>26.685313554324502</v>
          </cell>
          <cell r="J415">
            <v>28.406752197009908</v>
          </cell>
        </row>
        <row r="416">
          <cell r="A416" t="str">
            <v>RHSA-WHDEM</v>
          </cell>
          <cell r="B416" t="str">
            <v>VAR_fin</v>
          </cell>
          <cell r="C416" t="str">
            <v>RHSA-WHNGA</v>
          </cell>
          <cell r="H416">
            <v>2.3785067161214228</v>
          </cell>
          <cell r="I416">
            <v>1.4264834305869052</v>
          </cell>
          <cell r="J416">
            <v>0.63678924776788648</v>
          </cell>
        </row>
        <row r="417">
          <cell r="A417" t="str">
            <v>RHSA-WHDEM</v>
          </cell>
          <cell r="B417" t="str">
            <v>VAR_fin</v>
          </cell>
          <cell r="C417" t="str">
            <v>RHSA-WHLFO</v>
          </cell>
          <cell r="H417">
            <v>1.4573544414233803</v>
          </cell>
          <cell r="I417">
            <v>0.73344801677924243</v>
          </cell>
          <cell r="J417">
            <v>5.8046523364881815E-2</v>
          </cell>
        </row>
        <row r="418">
          <cell r="A418" t="str">
            <v>RHSA-WHDEM</v>
          </cell>
          <cell r="B418" t="str">
            <v>VAR_fin</v>
          </cell>
          <cell r="C418" t="str">
            <v>RHSA-WHWOD</v>
          </cell>
          <cell r="H418">
            <v>1.0747952680816033</v>
          </cell>
          <cell r="I418">
            <v>1.0023247448399488</v>
          </cell>
          <cell r="J418">
            <v>0.73442261894284167</v>
          </cell>
        </row>
        <row r="419">
          <cell r="A419" t="str">
            <v>RHSA-WHDEM</v>
          </cell>
          <cell r="B419" t="str">
            <v>VAR_fin</v>
          </cell>
          <cell r="C419" t="str">
            <v>RHSA-WHNGAH</v>
          </cell>
          <cell r="H419">
            <v>4.5697836361958899</v>
          </cell>
          <cell r="I419">
            <v>5.9661049516694886</v>
          </cell>
          <cell r="J419">
            <v>6.6459979757757006</v>
          </cell>
        </row>
        <row r="420">
          <cell r="A420" t="str">
            <v>RHSA-WHDEM</v>
          </cell>
          <cell r="B420" t="str">
            <v>VAR_fin</v>
          </cell>
          <cell r="C420" t="str">
            <v>RHSA-WHNST</v>
          </cell>
          <cell r="H420">
            <v>6.6850481587414833E-6</v>
          </cell>
          <cell r="I420">
            <v>6.968633272760999E-6</v>
          </cell>
          <cell r="J420">
            <v>8.4314321763623676E-6</v>
          </cell>
        </row>
        <row r="421">
          <cell r="A421" t="str">
            <v>RHSA-WHDEM</v>
          </cell>
          <cell r="B421" t="str">
            <v>VAR_fin</v>
          </cell>
          <cell r="C421" t="str">
            <v>RHSA-WHPLT</v>
          </cell>
          <cell r="H421">
            <v>0.11494130702645657</v>
          </cell>
          <cell r="I421">
            <v>0.13336694348791966</v>
          </cell>
          <cell r="J421">
            <v>0.13377673628088169</v>
          </cell>
        </row>
        <row r="422">
          <cell r="A422" t="str">
            <v>RHSA-WHDEM</v>
          </cell>
          <cell r="B422" t="str">
            <v>VAR_fin</v>
          </cell>
          <cell r="C422" t="str">
            <v>RHSA-WHLTHRD</v>
          </cell>
          <cell r="H422">
            <v>1.691267433799533</v>
          </cell>
          <cell r="I422">
            <v>1.9678277560500441</v>
          </cell>
          <cell r="J422">
            <v>2.1739279613141695</v>
          </cell>
        </row>
        <row r="423">
          <cell r="A423" t="str">
            <v>RHSA-WHDEM</v>
          </cell>
          <cell r="B423" t="str">
            <v>VAR_fin</v>
          </cell>
          <cell r="C423" t="str">
            <v>RHSA-WHELCB</v>
          </cell>
          <cell r="H423">
            <v>1.859962156451054</v>
          </cell>
          <cell r="I423">
            <v>1.7214698698041229</v>
          </cell>
          <cell r="J423">
            <v>1.5550633818106401</v>
          </cell>
        </row>
        <row r="424">
          <cell r="A424" t="str">
            <v>RHSA-WHDEM</v>
          </cell>
          <cell r="B424" t="str">
            <v>VAR_fin</v>
          </cell>
          <cell r="C424" t="str">
            <v>RHSA-WHSOL</v>
          </cell>
          <cell r="H424">
            <v>1.1233295156434409</v>
          </cell>
          <cell r="I424">
            <v>1.2090735081924644</v>
          </cell>
          <cell r="J424">
            <v>1.2000147600391897</v>
          </cell>
        </row>
        <row r="425">
          <cell r="A425" t="str">
            <v>RHSA-WHDEM</v>
          </cell>
          <cell r="B425" t="str">
            <v>VAR_fin</v>
          </cell>
          <cell r="C425" t="str">
            <v>RHSA-WHELCH</v>
          </cell>
          <cell r="H425">
            <v>9.8116701629255765</v>
          </cell>
          <cell r="I425">
            <v>12.525322706598464</v>
          </cell>
          <cell r="J425">
            <v>15.268819309857717</v>
          </cell>
        </row>
        <row r="426">
          <cell r="A426" t="str">
            <v>RHSA-WHNGAHP</v>
          </cell>
          <cell r="B426" t="str">
            <v>VAR_fout</v>
          </cell>
          <cell r="C426" t="str">
            <v>RHSA-WHANGAH</v>
          </cell>
          <cell r="H426">
            <v>4.5697770023833977</v>
          </cell>
          <cell r="I426">
            <v>5.96609750239692</v>
          </cell>
          <cell r="J426">
            <v>6.6459950519201785</v>
          </cell>
        </row>
        <row r="427">
          <cell r="A427" t="str">
            <v>RHSA-WHNGAHP</v>
          </cell>
          <cell r="B427" t="str">
            <v>VAR_fout</v>
          </cell>
          <cell r="C427" t="str">
            <v>CO2_R</v>
          </cell>
          <cell r="H427">
            <v>105.87550391076</v>
          </cell>
          <cell r="I427">
            <v>130.886004791288</v>
          </cell>
          <cell r="J427">
            <v>120.990618224884</v>
          </cell>
        </row>
        <row r="428">
          <cell r="A428" t="str">
            <v>RHSA-WHNGAHP</v>
          </cell>
          <cell r="B428" t="str">
            <v>VAR_fin</v>
          </cell>
          <cell r="C428" t="str">
            <v>RNGA</v>
          </cell>
          <cell r="H428">
            <v>1.8772252466446813</v>
          </cell>
          <cell r="I428">
            <v>2.3206738438171648</v>
          </cell>
          <cell r="J428">
            <v>2.1452237273915657</v>
          </cell>
        </row>
        <row r="429">
          <cell r="A429" t="str">
            <v>RHSA-WHNGAHP</v>
          </cell>
          <cell r="B429" t="str">
            <v>VAR_ncap</v>
          </cell>
          <cell r="C429" t="str">
            <v>-</v>
          </cell>
          <cell r="H429">
            <v>9.5866962980198006E-2</v>
          </cell>
          <cell r="I429">
            <v>0.20067001916969601</v>
          </cell>
          <cell r="J429">
            <v>0.27177853009214797</v>
          </cell>
        </row>
        <row r="430">
          <cell r="A430" t="str">
            <v>RHSA-WHNGAHP</v>
          </cell>
          <cell r="B430" t="str">
            <v>VAR_cap</v>
          </cell>
          <cell r="C430" t="str">
            <v>-</v>
          </cell>
          <cell r="H430">
            <v>0.31235009615661052</v>
          </cell>
          <cell r="I430">
            <v>0.40779461578185833</v>
          </cell>
          <cell r="J430">
            <v>0.45796259418115998</v>
          </cell>
        </row>
        <row r="431">
          <cell r="A431" t="str">
            <v>SCOM-SHSTG-ELCHP</v>
          </cell>
          <cell r="B431" t="str">
            <v>VAR_fout</v>
          </cell>
          <cell r="C431" t="str">
            <v>SCOM-SHAELCH</v>
          </cell>
          <cell r="H431">
            <v>1.9893383345988878E-5</v>
          </cell>
          <cell r="I431">
            <v>1.8498344870914512E-5</v>
          </cell>
          <cell r="J431">
            <v>5.9033521725528684E-6</v>
          </cell>
        </row>
        <row r="432">
          <cell r="A432" t="str">
            <v>SCOM-SHSTG-ELCHP</v>
          </cell>
          <cell r="B432" t="str">
            <v>VAR_fin</v>
          </cell>
          <cell r="C432" t="str">
            <v>SCOM-SHAELCH</v>
          </cell>
          <cell r="H432">
            <v>2.0249455418800848E-5</v>
          </cell>
          <cell r="I432">
            <v>2.0090319825671459E-5</v>
          </cell>
          <cell r="J432">
            <v>6.0983081464308664E-6</v>
          </cell>
        </row>
        <row r="433">
          <cell r="A433" t="str">
            <v>SCOM-SHSTG-ELCHP</v>
          </cell>
          <cell r="B433" t="str">
            <v>VAR_ncap</v>
          </cell>
          <cell r="C433" t="str">
            <v>-</v>
          </cell>
          <cell r="H433">
            <v>0.11377450478706901</v>
          </cell>
          <cell r="I433">
            <v>0.142602518813186</v>
          </cell>
          <cell r="J433">
            <v>0.18614989777840599</v>
          </cell>
        </row>
        <row r="434">
          <cell r="A434" t="str">
            <v>SCOM-SHSTG-ELCHP</v>
          </cell>
          <cell r="B434" t="str">
            <v>VAR_cap</v>
          </cell>
          <cell r="C434" t="str">
            <v>-</v>
          </cell>
          <cell r="H434">
            <v>0.21063800697963886</v>
          </cell>
          <cell r="I434">
            <v>0.28866972354753234</v>
          </cell>
          <cell r="J434">
            <v>0.33772402663846085</v>
          </cell>
        </row>
        <row r="435">
          <cell r="A435" t="str">
            <v>RHEM-SHLFOBR</v>
          </cell>
          <cell r="B435" t="str">
            <v>VAR_fout</v>
          </cell>
          <cell r="C435" t="str">
            <v>CO2_R</v>
          </cell>
          <cell r="H435">
            <v>594.89816279671902</v>
          </cell>
          <cell r="I435">
            <v>221.62487307459401</v>
          </cell>
          <cell r="J435">
            <v>24.000382244848598</v>
          </cell>
        </row>
        <row r="436">
          <cell r="A436" t="str">
            <v>RHEM-SHLFOBR</v>
          </cell>
          <cell r="B436" t="str">
            <v>VAR_fout</v>
          </cell>
          <cell r="C436" t="str">
            <v>RHEM-SHLFO</v>
          </cell>
          <cell r="H436">
            <v>7.0310257524389721</v>
          </cell>
          <cell r="I436">
            <v>2.6193561981144522</v>
          </cell>
          <cell r="J436">
            <v>0.28365746641172945</v>
          </cell>
        </row>
        <row r="437">
          <cell r="A437" t="str">
            <v>RHEM-SHLFOBR</v>
          </cell>
          <cell r="B437" t="str">
            <v>VAR_fin</v>
          </cell>
          <cell r="C437" t="str">
            <v>RLFO</v>
          </cell>
          <cell r="H437">
            <v>8.0718882333340449</v>
          </cell>
          <cell r="I437">
            <v>3.0071217513513346</v>
          </cell>
          <cell r="J437">
            <v>0.32564969124625026</v>
          </cell>
        </row>
        <row r="438">
          <cell r="A438" t="str">
            <v>RHEM-SHLFOBR</v>
          </cell>
          <cell r="B438" t="str">
            <v>VAR_ncap</v>
          </cell>
          <cell r="C438" t="str">
            <v>-</v>
          </cell>
          <cell r="H438">
            <v>6.7289640320760499E-2</v>
          </cell>
          <cell r="I438">
            <v>0.1180312033199</v>
          </cell>
          <cell r="J438">
            <v>1.0732427422912901E-7</v>
          </cell>
        </row>
        <row r="439">
          <cell r="A439" t="str">
            <v>RHEM-SHLFOBR</v>
          </cell>
          <cell r="B439" t="str">
            <v>VAR_cap</v>
          </cell>
          <cell r="C439" t="str">
            <v>-</v>
          </cell>
          <cell r="H439">
            <v>0.4966389227892945</v>
          </cell>
          <cell r="I439">
            <v>0.18532071707608716</v>
          </cell>
          <cell r="J439">
            <v>3.0094834392129094E-2</v>
          </cell>
        </row>
        <row r="440">
          <cell r="A440" t="str">
            <v>RHES-SHNGAHP</v>
          </cell>
          <cell r="B440" t="str">
            <v>VAR_fout</v>
          </cell>
          <cell r="C440" t="str">
            <v>RHES-SHANGAH</v>
          </cell>
          <cell r="H440">
            <v>6.5769288249465099</v>
          </cell>
          <cell r="I440">
            <v>7.665748037413322</v>
          </cell>
          <cell r="J440">
            <v>7.0919837407383568</v>
          </cell>
        </row>
        <row r="441">
          <cell r="A441" t="str">
            <v>RHES-SHNGAHP</v>
          </cell>
          <cell r="B441" t="str">
            <v>VAR_fout</v>
          </cell>
          <cell r="C441" t="str">
            <v>CO2_R</v>
          </cell>
          <cell r="H441">
            <v>192.29663868704299</v>
          </cell>
          <cell r="I441">
            <v>219.94477728054099</v>
          </cell>
          <cell r="J441">
            <v>191.39089063755699</v>
          </cell>
        </row>
        <row r="442">
          <cell r="A442" t="str">
            <v>RHES-SHNGAHP</v>
          </cell>
          <cell r="B442" t="str">
            <v>VAR_fin</v>
          </cell>
          <cell r="C442" t="str">
            <v>RHESELCHPC</v>
          </cell>
          <cell r="H442">
            <v>6.5769288249465099</v>
          </cell>
          <cell r="I442">
            <v>7.665748037413322</v>
          </cell>
          <cell r="J442">
            <v>7.0919837407383568</v>
          </cell>
        </row>
        <row r="443">
          <cell r="A443" t="str">
            <v>RHES-SHNGAHP</v>
          </cell>
          <cell r="B443" t="str">
            <v>VAR_fin</v>
          </cell>
          <cell r="C443" t="str">
            <v>RNGA</v>
          </cell>
          <cell r="H443">
            <v>3.409514870337651</v>
          </cell>
          <cell r="I443">
            <v>3.8997300936266117</v>
          </cell>
          <cell r="J443">
            <v>3.3934555077580986</v>
          </cell>
        </row>
        <row r="444">
          <cell r="A444" t="str">
            <v>RHES-SHNGAHP</v>
          </cell>
          <cell r="B444" t="str">
            <v>VAR_ncap</v>
          </cell>
          <cell r="C444" t="str">
            <v>-</v>
          </cell>
          <cell r="H444">
            <v>8.7204300552218394E-2</v>
          </cell>
          <cell r="I444">
            <v>0.32219200216511201</v>
          </cell>
          <cell r="J444">
            <v>0.30322714821705299</v>
          </cell>
        </row>
        <row r="445">
          <cell r="A445" t="str">
            <v>RHES-SHNGAHP</v>
          </cell>
          <cell r="B445" t="str">
            <v>VAR_cap</v>
          </cell>
          <cell r="C445" t="str">
            <v>-</v>
          </cell>
          <cell r="H445">
            <v>0.53134822487919131</v>
          </cell>
          <cell r="I445">
            <v>0.62037510717104938</v>
          </cell>
          <cell r="J445">
            <v>0.57393956219844111</v>
          </cell>
        </row>
        <row r="446">
          <cell r="A446" t="str">
            <v>D-RHES_LTH_CHPWOD</v>
          </cell>
          <cell r="B446" t="str">
            <v>VAR_fout</v>
          </cell>
          <cell r="C446" t="str">
            <v>RHES_LTH_CHPWOD_ON</v>
          </cell>
          <cell r="I446">
            <v>5.9898577688797519E-4</v>
          </cell>
          <cell r="J446"/>
        </row>
        <row r="447">
          <cell r="A447" t="str">
            <v>D-RHES_LTH_CHPWOD</v>
          </cell>
          <cell r="B447" t="str">
            <v>VAR_fout</v>
          </cell>
          <cell r="C447" t="str">
            <v>RHSA_LTH</v>
          </cell>
          <cell r="H447">
            <v>1.8037324248868448E-3</v>
          </cell>
          <cell r="I447">
            <v>1.0508823344420235E-3</v>
          </cell>
          <cell r="J447">
            <v>7.6450634958358916E-4</v>
          </cell>
        </row>
        <row r="448">
          <cell r="A448" t="str">
            <v>D-RHES_LTH_CHPWOD</v>
          </cell>
          <cell r="B448" t="str">
            <v>VAR_fout</v>
          </cell>
          <cell r="C448" t="str">
            <v>LTH</v>
          </cell>
          <cell r="H448">
            <v>3.106853168975135E-7</v>
          </cell>
          <cell r="I448">
            <v>1.040884884589449E-6</v>
          </cell>
          <cell r="J448">
            <v>4.9137334997074535E-7</v>
          </cell>
        </row>
        <row r="449">
          <cell r="A449" t="str">
            <v>D-RHES_LTH_CHPWOD</v>
          </cell>
          <cell r="B449" t="str">
            <v>VAR_fin</v>
          </cell>
          <cell r="C449" t="str">
            <v>RHES_LTH_CHPWOD</v>
          </cell>
          <cell r="H449">
            <v>1.8056214588337096E-3</v>
          </cell>
          <cell r="I449">
            <v>1.6522099956358973E-3</v>
          </cell>
          <cell r="J449">
            <v>7.6614362352731046E-4</v>
          </cell>
        </row>
        <row r="450">
          <cell r="A450" t="str">
            <v>ITOT-SWHSOLBR</v>
          </cell>
          <cell r="B450" t="str">
            <v>VAR_fout</v>
          </cell>
          <cell r="C450" t="str">
            <v>ITOT-SWHASOL</v>
          </cell>
          <cell r="H450">
            <v>0.20078389623332407</v>
          </cell>
          <cell r="I450">
            <v>0.21585120668769051</v>
          </cell>
          <cell r="J450">
            <v>0.15953850977105005</v>
          </cell>
        </row>
        <row r="451">
          <cell r="A451" t="str">
            <v>ITOT-SWHSOLBR</v>
          </cell>
          <cell r="B451" t="str">
            <v>VAR_fin</v>
          </cell>
          <cell r="C451" t="str">
            <v>SOL</v>
          </cell>
          <cell r="H451">
            <v>0.20078389623332407</v>
          </cell>
          <cell r="I451">
            <v>0.21585120668769051</v>
          </cell>
          <cell r="J451">
            <v>0.15953850977105005</v>
          </cell>
        </row>
        <row r="452">
          <cell r="A452" t="str">
            <v>ITOT-SWHSOLBR</v>
          </cell>
          <cell r="B452" t="str">
            <v>VAR_ncap</v>
          </cell>
          <cell r="C452" t="str">
            <v>-</v>
          </cell>
          <cell r="H452">
            <v>2.05586942832875E-2</v>
          </cell>
          <cell r="I452">
            <v>1.6503990476463001E-2</v>
          </cell>
          <cell r="J452">
            <v>1.63957153690007E-2</v>
          </cell>
        </row>
        <row r="453">
          <cell r="A453" t="str">
            <v>ITOT-SWHSOLBR</v>
          </cell>
          <cell r="B453" t="str">
            <v>VAR_cap</v>
          </cell>
          <cell r="C453" t="str">
            <v>-</v>
          </cell>
          <cell r="H453">
            <v>3.7064001059489683E-2</v>
          </cell>
          <cell r="I453">
            <v>3.7062748374679599E-2</v>
          </cell>
          <cell r="J453">
            <v>3.70694322559302E-2</v>
          </cell>
        </row>
        <row r="454">
          <cell r="A454" t="str">
            <v>SCOM-SHNGAHP</v>
          </cell>
          <cell r="B454" t="str">
            <v>VAR_fout</v>
          </cell>
          <cell r="C454" t="str">
            <v>SCOM-SHANGAH</v>
          </cell>
          <cell r="H454">
            <v>8.6335088645678297</v>
          </cell>
          <cell r="I454">
            <v>11.067656580475422</v>
          </cell>
          <cell r="J454">
            <v>11.379135290823353</v>
          </cell>
        </row>
        <row r="455">
          <cell r="A455" t="str">
            <v>SCOM-SHNGAHP</v>
          </cell>
          <cell r="B455" t="str">
            <v>VAR_fout</v>
          </cell>
          <cell r="C455" t="str">
            <v>CO2_S</v>
          </cell>
          <cell r="H455">
            <v>236.76705832116801</v>
          </cell>
          <cell r="I455">
            <v>295.81645115587799</v>
          </cell>
          <cell r="J455">
            <v>279.62003975944901</v>
          </cell>
        </row>
        <row r="456">
          <cell r="A456" t="str">
            <v>SCOM-SHNGAHP</v>
          </cell>
          <cell r="B456" t="str">
            <v>VAR_fin</v>
          </cell>
          <cell r="C456" t="str">
            <v>SCOMELCHPC</v>
          </cell>
          <cell r="H456">
            <v>8.6335088645678297</v>
          </cell>
          <cell r="I456">
            <v>11.067656580475422</v>
          </cell>
          <cell r="J456">
            <v>11.379135290823353</v>
          </cell>
        </row>
        <row r="457">
          <cell r="A457" t="str">
            <v>SCOM-SHNGAHP</v>
          </cell>
          <cell r="B457" t="str">
            <v>VAR_fin</v>
          </cell>
          <cell r="C457" t="str">
            <v>SNGA</v>
          </cell>
          <cell r="H457">
            <v>4.1979974879639643</v>
          </cell>
          <cell r="I457">
            <v>5.244972538224788</v>
          </cell>
          <cell r="J457">
            <v>4.9578021233944769</v>
          </cell>
        </row>
        <row r="458">
          <cell r="A458" t="str">
            <v>SCOM-SHNGAHP</v>
          </cell>
          <cell r="B458" t="str">
            <v>VAR_ncap</v>
          </cell>
          <cell r="C458" t="str">
            <v>-</v>
          </cell>
          <cell r="H458">
            <v>0.15554521479212</v>
          </cell>
          <cell r="I458">
            <v>0.44682332642521</v>
          </cell>
          <cell r="J458">
            <v>0.49350145900043302</v>
          </cell>
        </row>
        <row r="459">
          <cell r="A459" t="str">
            <v>SCOM-SHNGAHP</v>
          </cell>
          <cell r="B459" t="str">
            <v>VAR_cap</v>
          </cell>
          <cell r="C459" t="str">
            <v>-</v>
          </cell>
          <cell r="H459">
            <v>0.66739770757772188</v>
          </cell>
          <cell r="I459">
            <v>0.85921810574566304</v>
          </cell>
          <cell r="J459">
            <v>0.88357076130385537</v>
          </cell>
        </row>
        <row r="460">
          <cell r="A460" t="str">
            <v>RHNS-SHNGABR</v>
          </cell>
          <cell r="B460" t="str">
            <v>VAR_fout</v>
          </cell>
          <cell r="C460" t="str">
            <v>CO2_R</v>
          </cell>
          <cell r="H460">
            <v>5.1074474162222803</v>
          </cell>
          <cell r="I460">
            <v>4.7808287499787703</v>
          </cell>
          <cell r="J460">
            <v>2.0636478141188199</v>
          </cell>
        </row>
        <row r="461">
          <cell r="A461" t="str">
            <v>RHNS-SHNGABR</v>
          </cell>
          <cell r="B461" t="str">
            <v>VAR_fout</v>
          </cell>
          <cell r="C461" t="str">
            <v>RHNS-SHNGA</v>
          </cell>
          <cell r="H461">
            <v>8.6898442096207992E-2</v>
          </cell>
          <cell r="I461">
            <v>8.1341330893074867E-2</v>
          </cell>
          <cell r="J461">
            <v>3.5111037954612873E-2</v>
          </cell>
        </row>
        <row r="462">
          <cell r="A462" t="str">
            <v>RHNS-SHNGABR</v>
          </cell>
          <cell r="B462" t="str">
            <v>VAR_fin</v>
          </cell>
          <cell r="C462" t="str">
            <v>RNGA</v>
          </cell>
          <cell r="H462">
            <v>9.0557578301813338E-2</v>
          </cell>
          <cell r="I462">
            <v>8.4766467198205131E-2</v>
          </cell>
          <cell r="J462">
            <v>3.6589500250333605E-2</v>
          </cell>
        </row>
        <row r="463">
          <cell r="A463" t="str">
            <v>RHNS-SHNGABR</v>
          </cell>
          <cell r="B463" t="str">
            <v>VAR_ncap</v>
          </cell>
          <cell r="C463" t="str">
            <v>-</v>
          </cell>
          <cell r="H463">
            <v>2.5813682268164902E-3</v>
          </cell>
          <cell r="I463">
            <v>3.4050335188142099E-3</v>
          </cell>
          <cell r="J463">
            <v>5.0164477389023701E-7</v>
          </cell>
        </row>
        <row r="464">
          <cell r="A464" t="str">
            <v>RHNS-SHNGABR</v>
          </cell>
          <cell r="B464" t="str">
            <v>VAR_cap</v>
          </cell>
          <cell r="C464" t="str">
            <v>-</v>
          </cell>
          <cell r="H464">
            <v>6.4116992135491305E-3</v>
          </cell>
          <cell r="I464">
            <v>5.9863892632034824E-3</v>
          </cell>
          <cell r="J464">
            <v>3.5622261101410798E-3</v>
          </cell>
        </row>
        <row r="465">
          <cell r="A465" t="str">
            <v>D-RHNM_LTH_CHPNGA</v>
          </cell>
          <cell r="B465" t="str">
            <v>VAR_fout</v>
          </cell>
          <cell r="C465" t="str">
            <v>RHSA_LTH</v>
          </cell>
          <cell r="H465">
            <v>3.5700968275365307E-3</v>
          </cell>
          <cell r="I465">
            <v>4.7318838112014037E-4</v>
          </cell>
          <cell r="J465">
            <v>1.5591836857887614E-5</v>
          </cell>
        </row>
        <row r="466">
          <cell r="A466" t="str">
            <v>D-RHNM_LTH_CHPNGA</v>
          </cell>
          <cell r="B466" t="str">
            <v>VAR_fout</v>
          </cell>
          <cell r="C466" t="str">
            <v>LTH</v>
          </cell>
          <cell r="H466">
            <v>4.124215323370787E-6</v>
          </cell>
          <cell r="I466">
            <v>8.2816140526007346E-7</v>
          </cell>
          <cell r="J466">
            <v>7.9708607180753768E-6</v>
          </cell>
        </row>
        <row r="467">
          <cell r="A467" t="str">
            <v>D-RHNM_LTH_CHPNGA</v>
          </cell>
          <cell r="B467" t="str">
            <v>VAR_fout</v>
          </cell>
          <cell r="C467" t="str">
            <v>RHNM_LTH_CHPNGA_ON</v>
          </cell>
          <cell r="H467">
            <v>9.9402406282517218E-4</v>
          </cell>
          <cell r="I467">
            <v>1.0882994482181749E-3</v>
          </cell>
          <cell r="J467">
            <v>3.4828004769414661E-6</v>
          </cell>
        </row>
        <row r="468">
          <cell r="A468" t="str">
            <v>D-RHNM_LTH_CHPNGA</v>
          </cell>
          <cell r="B468" t="str">
            <v>VAR_fin</v>
          </cell>
          <cell r="C468" t="str">
            <v>RHNM_LTH_CHPNGA</v>
          </cell>
          <cell r="H468">
            <v>4.5685901177374855E-3</v>
          </cell>
          <cell r="I468">
            <v>1.5637194368812845E-3</v>
          </cell>
          <cell r="J468">
            <v>2.7045498052904477E-5</v>
          </cell>
        </row>
        <row r="469">
          <cell r="A469" t="str">
            <v>RHNM-SHELCHP</v>
          </cell>
          <cell r="B469" t="str">
            <v>VAR_fout</v>
          </cell>
          <cell r="C469" t="str">
            <v>RHNM-SHAELCH</v>
          </cell>
          <cell r="H469">
            <v>1.9494357456369633</v>
          </cell>
          <cell r="I469">
            <v>2.3711175684584678</v>
          </cell>
          <cell r="J469">
            <v>3.0107408216958604</v>
          </cell>
        </row>
        <row r="470">
          <cell r="A470" t="str">
            <v>RHNM-SHELCHP</v>
          </cell>
          <cell r="B470" t="str">
            <v>VAR_fin</v>
          </cell>
          <cell r="C470" t="str">
            <v>RHNM_ELC</v>
          </cell>
          <cell r="H470">
            <v>0.52769563851764767</v>
          </cell>
          <cell r="I470">
            <v>0.61866463028209795</v>
          </cell>
          <cell r="J470">
            <v>0.72935673344951735</v>
          </cell>
        </row>
        <row r="471">
          <cell r="A471" t="str">
            <v>RHNM-SHELCHP</v>
          </cell>
          <cell r="B471" t="str">
            <v>VAR_fin</v>
          </cell>
          <cell r="C471" t="str">
            <v>RHNMELCHPC</v>
          </cell>
          <cell r="H471">
            <v>1.9494357456369633</v>
          </cell>
          <cell r="I471">
            <v>2.3711175684584678</v>
          </cell>
          <cell r="J471">
            <v>3.0107408216958604</v>
          </cell>
        </row>
        <row r="472">
          <cell r="A472" t="str">
            <v>RHNM-SHELCHP</v>
          </cell>
          <cell r="B472" t="str">
            <v>VAR_ncap</v>
          </cell>
          <cell r="C472" t="str">
            <v>-</v>
          </cell>
          <cell r="H472">
            <v>3.9497175697568797E-2</v>
          </cell>
          <cell r="I472">
            <v>0.105802777576096</v>
          </cell>
          <cell r="J472">
            <v>0.14024566570959099</v>
          </cell>
        </row>
        <row r="473">
          <cell r="A473" t="str">
            <v>RHNM-SHELCHP</v>
          </cell>
          <cell r="B473" t="str">
            <v>VAR_cap</v>
          </cell>
          <cell r="C473" t="str">
            <v>-</v>
          </cell>
          <cell r="H473">
            <v>0.15136220993035218</v>
          </cell>
          <cell r="I473">
            <v>0.18480375945489186</v>
          </cell>
          <cell r="J473">
            <v>0.23373724884932823</v>
          </cell>
        </row>
        <row r="474">
          <cell r="A474" t="str">
            <v>D-IH2R</v>
          </cell>
          <cell r="B474" t="str">
            <v>VAR_fout</v>
          </cell>
          <cell r="C474" t="str">
            <v>IH2</v>
          </cell>
          <cell r="H474">
            <v>7.6376587031043384</v>
          </cell>
          <cell r="I474">
            <v>9.1843290504123978</v>
          </cell>
          <cell r="J474">
            <v>8.0544332761560575</v>
          </cell>
        </row>
        <row r="475">
          <cell r="A475" t="str">
            <v>D-IH2R</v>
          </cell>
          <cell r="B475" t="str">
            <v>VAR_fin</v>
          </cell>
          <cell r="C475" t="str">
            <v>H2</v>
          </cell>
          <cell r="H475">
            <v>7.6376587031043384</v>
          </cell>
          <cell r="I475">
            <v>9.1843290504123978</v>
          </cell>
          <cell r="J475">
            <v>8.0544332761560575</v>
          </cell>
        </row>
        <row r="476">
          <cell r="A476" t="str">
            <v>D-IH2R</v>
          </cell>
          <cell r="B476" t="str">
            <v>VAR_ncap</v>
          </cell>
          <cell r="C476" t="str">
            <v>-</v>
          </cell>
          <cell r="H476">
            <v>0.26990908014388398</v>
          </cell>
          <cell r="I476">
            <v>0.36232114374166502</v>
          </cell>
          <cell r="J476">
            <v>0.16207041639684999</v>
          </cell>
        </row>
        <row r="477">
          <cell r="A477" t="str">
            <v>D-IH2R</v>
          </cell>
          <cell r="B477" t="str">
            <v>VAR_cap</v>
          </cell>
          <cell r="C477" t="str">
            <v>-</v>
          </cell>
          <cell r="H477">
            <v>0.26990935805409799</v>
          </cell>
          <cell r="I477">
            <v>0.41012795912237598</v>
          </cell>
          <cell r="J477">
            <v>0.28617310627308201</v>
          </cell>
        </row>
        <row r="478">
          <cell r="A478" t="str">
            <v>RHEM-SHSTG-ELC</v>
          </cell>
          <cell r="B478" t="str">
            <v>VAR_fout</v>
          </cell>
          <cell r="C478" t="str">
            <v>RHEM-SHAELCB</v>
          </cell>
          <cell r="H478">
            <v>3.5561282369595394E-4</v>
          </cell>
          <cell r="I478">
            <v>4.5809583828566462E-4</v>
          </cell>
          <cell r="J478">
            <v>4.8913503108042797E-4</v>
          </cell>
        </row>
        <row r="479">
          <cell r="A479" t="str">
            <v>RHEM-SHSTG-ELC</v>
          </cell>
          <cell r="B479" t="str">
            <v>VAR_fout</v>
          </cell>
          <cell r="C479" t="str">
            <v>AUX_RHEM-SHSTG-ELC_OUT</v>
          </cell>
          <cell r="H479">
            <v>3.5596843651964955E-4</v>
          </cell>
          <cell r="I479">
            <v>4.5855393412395044E-4</v>
          </cell>
          <cell r="J479">
            <v>4.8962416611150826E-4</v>
          </cell>
        </row>
        <row r="480">
          <cell r="A480" t="str">
            <v>RHEM-SHSTG-ELC</v>
          </cell>
          <cell r="B480" t="str">
            <v>VAR_fin</v>
          </cell>
          <cell r="C480" t="str">
            <v>RHEM-SHAELCB</v>
          </cell>
          <cell r="H480">
            <v>3.5591394317357431E-4</v>
          </cell>
          <cell r="I480">
            <v>4.5894094361929503E-4</v>
          </cell>
          <cell r="J480">
            <v>4.897380577867374E-4</v>
          </cell>
        </row>
        <row r="481">
          <cell r="A481" t="str">
            <v>RHEM-SHSTG-ELC</v>
          </cell>
          <cell r="B481" t="str">
            <v>VAR_ncap</v>
          </cell>
          <cell r="C481" t="str">
            <v>-</v>
          </cell>
          <cell r="H481">
            <v>3.1399636717369999E-5</v>
          </cell>
          <cell r="I481">
            <v>7.7677789535807496E-5</v>
          </cell>
          <cell r="J481">
            <v>3.2541951492532698E-5</v>
          </cell>
        </row>
        <row r="482">
          <cell r="A482" t="str">
            <v>RHEM-SHSTG-ELC</v>
          </cell>
          <cell r="B482" t="str">
            <v>VAR_cap</v>
          </cell>
          <cell r="C482" t="str">
            <v>-</v>
          </cell>
          <cell r="H482">
            <v>1.0250127746920176E-4</v>
          </cell>
          <cell r="I482">
            <v>9.4087694358907512E-5</v>
          </cell>
          <cell r="J482">
            <v>8.1664074024649498E-5</v>
          </cell>
        </row>
        <row r="483">
          <cell r="A483" t="str">
            <v>RHNM-SHLTHCHPWOD</v>
          </cell>
          <cell r="B483" t="str">
            <v>VAR_ncap</v>
          </cell>
          <cell r="C483" t="str">
            <v>-</v>
          </cell>
          <cell r="H483">
            <v>2.1535757331197E-2</v>
          </cell>
          <cell r="I483">
            <v>1.1718583138391201E-2</v>
          </cell>
          <cell r="J483">
            <v>6.9082287325545897E-3</v>
          </cell>
        </row>
        <row r="484">
          <cell r="A484" t="str">
            <v>RHNM-SHLTHCHPWOD</v>
          </cell>
          <cell r="B484" t="str">
            <v>VAR_cap</v>
          </cell>
          <cell r="C484" t="str">
            <v>-</v>
          </cell>
          <cell r="H484">
            <v>2.1672610012983415E-2</v>
          </cell>
          <cell r="I484">
            <v>2.6427722348764001E-2</v>
          </cell>
          <cell r="J484">
            <v>1.4132261406804599E-2</v>
          </cell>
        </row>
        <row r="485">
          <cell r="A485" t="str">
            <v>ITOT-SWHDEM</v>
          </cell>
          <cell r="B485" t="str">
            <v>VAR_fout</v>
          </cell>
          <cell r="C485" t="str">
            <v>ITOT-SWHD</v>
          </cell>
          <cell r="H485">
            <v>77.210214930239914</v>
          </cell>
          <cell r="I485">
            <v>77.811957678628616</v>
          </cell>
          <cell r="J485">
            <v>78.635809780739564</v>
          </cell>
        </row>
        <row r="486">
          <cell r="A486" t="str">
            <v>ITOT-SWHDEM</v>
          </cell>
          <cell r="B486" t="str">
            <v>VAR_fin</v>
          </cell>
          <cell r="C486" t="str">
            <v>ITOT-SWHNGAH</v>
          </cell>
          <cell r="H486">
            <v>2.6556607943839074E-3</v>
          </cell>
          <cell r="I486">
            <v>1.9457713776975282E-3</v>
          </cell>
          <cell r="J486">
            <v>8.2664067317184781E-4</v>
          </cell>
        </row>
        <row r="487">
          <cell r="A487" t="str">
            <v>ITOT-SWHDEM</v>
          </cell>
          <cell r="B487" t="str">
            <v>VAR_fin</v>
          </cell>
          <cell r="C487" t="str">
            <v>ITOT-SWH</v>
          </cell>
          <cell r="H487">
            <v>51.358476314337537</v>
          </cell>
          <cell r="I487">
            <v>45.985936785953484</v>
          </cell>
          <cell r="J487">
            <v>44.503389689922678</v>
          </cell>
        </row>
        <row r="488">
          <cell r="A488" t="str">
            <v>ITOT-SWHDEM</v>
          </cell>
          <cell r="B488" t="str">
            <v>VAR_fin</v>
          </cell>
          <cell r="C488" t="str">
            <v>ITOT-SWHELCH</v>
          </cell>
          <cell r="H488">
            <v>6.146723447298152</v>
          </cell>
          <cell r="I488">
            <v>8.6114376894878397</v>
          </cell>
          <cell r="J488">
            <v>10.955964017675313</v>
          </cell>
        </row>
        <row r="489">
          <cell r="A489" t="str">
            <v>ITOT-SWHDEM</v>
          </cell>
          <cell r="B489" t="str">
            <v>VAR_fin</v>
          </cell>
          <cell r="C489" t="str">
            <v>ITOT-SWHC</v>
          </cell>
          <cell r="H489">
            <v>1.7535576420815506</v>
          </cell>
          <cell r="I489">
            <v>5.3364498830360079</v>
          </cell>
          <cell r="J489">
            <v>5.4109335928279867</v>
          </cell>
        </row>
        <row r="490">
          <cell r="A490" t="str">
            <v>ITOT-SWHDEM</v>
          </cell>
          <cell r="B490" t="str">
            <v>VAR_fin</v>
          </cell>
          <cell r="C490" t="str">
            <v>ITOT-SWHELC</v>
          </cell>
          <cell r="H490">
            <v>17.748203068012387</v>
          </cell>
          <cell r="I490">
            <v>17.661470595111581</v>
          </cell>
          <cell r="J490">
            <v>17.605670691090214</v>
          </cell>
        </row>
        <row r="491">
          <cell r="A491" t="str">
            <v>ITOT-SWHDEM</v>
          </cell>
          <cell r="B491" t="str">
            <v>VAR_fin</v>
          </cell>
          <cell r="C491" t="str">
            <v>ITOT-SWHSOL</v>
          </cell>
          <cell r="H491">
            <v>0.2007562961945393</v>
          </cell>
          <cell r="I491">
            <v>0.21484837311285854</v>
          </cell>
          <cell r="J491">
            <v>0.15918872177454496</v>
          </cell>
        </row>
        <row r="492">
          <cell r="A492" t="str">
            <v>D-RHNS_NKEV_GAS_ELC_CHP</v>
          </cell>
          <cell r="B492" t="str">
            <v>VAR_fout</v>
          </cell>
          <cell r="C492" t="str">
            <v>RHNS_ELC</v>
          </cell>
          <cell r="H492">
            <v>4.6516387172106566E-4</v>
          </cell>
          <cell r="I492">
            <v>2.2312550804064383E-4</v>
          </cell>
        </row>
        <row r="493">
          <cell r="A493" t="str">
            <v>D-RHNS_NKEV_GAS_ELC_CHP</v>
          </cell>
          <cell r="B493" t="str">
            <v>VAR_fout</v>
          </cell>
          <cell r="C493" t="str">
            <v>ELC5</v>
          </cell>
          <cell r="H493">
            <v>2.843150733474396E-4</v>
          </cell>
          <cell r="I493">
            <v>1.6697974078251819E-4</v>
          </cell>
        </row>
        <row r="494">
          <cell r="A494" t="str">
            <v>D-RHNS_NKEV_GAS_ELC_CHP</v>
          </cell>
          <cell r="B494" t="str">
            <v>VAR_fin</v>
          </cell>
          <cell r="C494" t="str">
            <v>RHNS_NKEV_GAS_ELC_CHP</v>
          </cell>
          <cell r="H494">
            <v>7.3494400938463192E-4</v>
          </cell>
          <cell r="I494">
            <v>3.792230965480799E-4</v>
          </cell>
        </row>
        <row r="495">
          <cell r="A495" t="str">
            <v>RHNM-SHSTG-NGAHP</v>
          </cell>
          <cell r="B495" t="str">
            <v>VAR_fout</v>
          </cell>
          <cell r="C495" t="str">
            <v>RHNM-SHANGAH</v>
          </cell>
          <cell r="H495">
            <v>5.4193217647707605E-2</v>
          </cell>
          <cell r="I495">
            <v>8.4280082550961727E-2</v>
          </cell>
          <cell r="J495">
            <v>0.11420038859391676</v>
          </cell>
        </row>
        <row r="496">
          <cell r="A496" t="str">
            <v>RHNM-SHSTG-NGAHP</v>
          </cell>
          <cell r="B496" t="str">
            <v>VAR_fout</v>
          </cell>
          <cell r="C496" t="str">
            <v>AUX_RHNM-SHSTG-NGAHP_OUT</v>
          </cell>
          <cell r="H496">
            <v>5.4247410865355325E-2</v>
          </cell>
          <cell r="I496">
            <v>8.4364362633512685E-2</v>
          </cell>
          <cell r="J496">
            <v>0.11431458898251061</v>
          </cell>
        </row>
        <row r="497">
          <cell r="A497" t="str">
            <v>RHNM-SHSTG-NGAHP</v>
          </cell>
          <cell r="B497" t="str">
            <v>VAR_fin</v>
          </cell>
          <cell r="C497" t="str">
            <v>RHNM-SHANGAH</v>
          </cell>
          <cell r="H497">
            <v>5.4209446972542215E-2</v>
          </cell>
          <cell r="I497">
            <v>8.4294132988788878E-2</v>
          </cell>
          <cell r="J497">
            <v>0.11422165304242796</v>
          </cell>
        </row>
        <row r="498">
          <cell r="A498" t="str">
            <v>RHNM-SHSTG-NGAHP</v>
          </cell>
          <cell r="B498" t="str">
            <v>VAR_ncap</v>
          </cell>
          <cell r="C498" t="str">
            <v>-</v>
          </cell>
          <cell r="H498">
            <v>5.4412071848092798E-3</v>
          </cell>
          <cell r="I498">
            <v>1.14406183729805E-2</v>
          </cell>
          <cell r="J498">
            <v>1.6624997491529101E-2</v>
          </cell>
        </row>
        <row r="499">
          <cell r="A499" t="str">
            <v>RHNM-SHSTG-NGAHP</v>
          </cell>
          <cell r="B499" t="str">
            <v>VAR_cap</v>
          </cell>
          <cell r="C499" t="str">
            <v>-</v>
          </cell>
          <cell r="H499">
            <v>1.8283851946021657E-2</v>
          </cell>
          <cell r="I499">
            <v>2.3141608896032055E-2</v>
          </cell>
          <cell r="J499">
            <v>2.7188839740875478E-2</v>
          </cell>
        </row>
        <row r="500">
          <cell r="A500" t="str">
            <v>D-IBIO</v>
          </cell>
          <cell r="B500" t="str">
            <v>VAR_fout</v>
          </cell>
          <cell r="C500" t="str">
            <v>IBIO</v>
          </cell>
          <cell r="H500">
            <v>3.2308088950196003</v>
          </cell>
          <cell r="I500">
            <v>3.2308108102816564</v>
          </cell>
          <cell r="J500">
            <v>4.3332886279920011</v>
          </cell>
        </row>
        <row r="501">
          <cell r="A501" t="str">
            <v>D-IBIO</v>
          </cell>
          <cell r="B501" t="str">
            <v>VAR_fin</v>
          </cell>
          <cell r="C501" t="str">
            <v>BIO</v>
          </cell>
          <cell r="H501">
            <v>3.2308088950196003</v>
          </cell>
          <cell r="I501">
            <v>3.2308108102816564</v>
          </cell>
          <cell r="J501">
            <v>4.3332886279920011</v>
          </cell>
        </row>
        <row r="502">
          <cell r="A502" t="str">
            <v>D-RHES_KEV_WOD_ELC_CHP</v>
          </cell>
          <cell r="B502" t="str">
            <v>VAR_fout</v>
          </cell>
          <cell r="C502" t="str">
            <v>RHES_ELC</v>
          </cell>
          <cell r="H502">
            <v>4.7010030515993648E-4</v>
          </cell>
          <cell r="I502">
            <v>4.402078222580464E-4</v>
          </cell>
          <cell r="J502">
            <v>2.1492846440264091E-4</v>
          </cell>
        </row>
        <row r="503">
          <cell r="A503" t="str">
            <v>D-RHES_KEV_WOD_ELC_CHP</v>
          </cell>
          <cell r="B503" t="str">
            <v>VAR_fout</v>
          </cell>
          <cell r="C503" t="str">
            <v>ELC5</v>
          </cell>
          <cell r="H503">
            <v>3.184911843936926E-4</v>
          </cell>
          <cell r="I503">
            <v>2.6249418145057478E-4</v>
          </cell>
          <cell r="J503">
            <v>1.3868550110659897E-4</v>
          </cell>
        </row>
        <row r="504">
          <cell r="A504" t="str">
            <v>D-RHES_KEV_WOD_ELC_CHP</v>
          </cell>
          <cell r="B504" t="str">
            <v>VAR_fin</v>
          </cell>
          <cell r="C504" t="str">
            <v>RHES_KEV_WOD_ELC_CHP</v>
          </cell>
          <cell r="H504">
            <v>7.76984834383531E-4</v>
          </cell>
          <cell r="I504">
            <v>6.9119907738625418E-4</v>
          </cell>
          <cell r="J504">
            <v>3.4313094765008907E-4</v>
          </cell>
        </row>
        <row r="505">
          <cell r="A505" t="str">
            <v>RHNS-SHLFOBR</v>
          </cell>
          <cell r="B505" t="str">
            <v>VAR_fout</v>
          </cell>
          <cell r="C505" t="str">
            <v>CO2_R</v>
          </cell>
          <cell r="H505">
            <v>3.84766143970168</v>
          </cell>
          <cell r="I505">
            <v>3.3719589316054299</v>
          </cell>
        </row>
        <row r="506">
          <cell r="A506" t="str">
            <v>RHNS-SHLFOBR</v>
          </cell>
          <cell r="B506" t="str">
            <v>VAR_fout</v>
          </cell>
          <cell r="C506" t="str">
            <v>RHNS-SHLFO</v>
          </cell>
          <cell r="H506">
            <v>4.9564722518991702E-2</v>
          </cell>
          <cell r="I506">
            <v>4.343682816423089E-2</v>
          </cell>
        </row>
        <row r="507">
          <cell r="A507" t="str">
            <v>RHNS-SHLFOBR</v>
          </cell>
          <cell r="B507" t="str">
            <v>VAR_fin</v>
          </cell>
          <cell r="C507" t="str">
            <v>RLFO</v>
          </cell>
          <cell r="H507">
            <v>5.2207075165558683E-2</v>
          </cell>
          <cell r="I507">
            <v>4.5752495679856585E-2</v>
          </cell>
        </row>
        <row r="508">
          <cell r="A508" t="str">
            <v>RHNS-SHLFOBR</v>
          </cell>
          <cell r="B508" t="str">
            <v>VAR_ncap</v>
          </cell>
          <cell r="C508" t="str">
            <v>-</v>
          </cell>
        </row>
        <row r="509">
          <cell r="A509" t="str">
            <v>RHNS-SHLFOBR</v>
          </cell>
          <cell r="B509" t="str">
            <v>VAR_cap</v>
          </cell>
          <cell r="C509" t="str">
            <v>-</v>
          </cell>
          <cell r="H509">
            <v>1.7873201538614693E-2</v>
          </cell>
          <cell r="I509">
            <v>3.1654505543250808E-3</v>
          </cell>
        </row>
        <row r="510">
          <cell r="A510" t="str">
            <v>D-SNGA</v>
          </cell>
          <cell r="B510" t="str">
            <v>VAR_fout</v>
          </cell>
          <cell r="C510" t="str">
            <v>CO2</v>
          </cell>
          <cell r="H510">
            <v>807.92215062063497</v>
          </cell>
          <cell r="I510">
            <v>544.43389110656199</v>
          </cell>
          <cell r="J510">
            <v>291.73514939539098</v>
          </cell>
        </row>
        <row r="511">
          <cell r="A511" t="str">
            <v>D-SNGA</v>
          </cell>
          <cell r="B511" t="str">
            <v>VAR_fout</v>
          </cell>
          <cell r="C511" t="str">
            <v>SNGA</v>
          </cell>
          <cell r="H511">
            <v>15.47248028442287</v>
          </cell>
          <cell r="I511">
            <v>11.243631212324901</v>
          </cell>
          <cell r="J511">
            <v>7.2063580662548041</v>
          </cell>
        </row>
        <row r="512">
          <cell r="A512" t="str">
            <v>D-SNGA</v>
          </cell>
          <cell r="B512" t="str">
            <v>VAR_fout</v>
          </cell>
          <cell r="C512" t="str">
            <v>RSH2</v>
          </cell>
          <cell r="H512">
            <v>1.9673835599219153E-3</v>
          </cell>
          <cell r="I512">
            <v>4.5001975508082567E-3</v>
          </cell>
          <cell r="J512">
            <v>2.1673110263949274E-3</v>
          </cell>
        </row>
        <row r="513">
          <cell r="A513" t="str">
            <v>D-SNGA</v>
          </cell>
          <cell r="B513" t="str">
            <v>VAR_fin</v>
          </cell>
          <cell r="C513" t="str">
            <v>NGA</v>
          </cell>
          <cell r="H513">
            <v>14.324860826607008</v>
          </cell>
          <cell r="I513">
            <v>9.6530831756482574</v>
          </cell>
          <cell r="J513">
            <v>5.1726090318331686</v>
          </cell>
        </row>
        <row r="514">
          <cell r="A514" t="str">
            <v>D-SNGA</v>
          </cell>
          <cell r="B514" t="str">
            <v>VAR_fin</v>
          </cell>
          <cell r="C514" t="str">
            <v>BNGA</v>
          </cell>
          <cell r="H514">
            <v>1.1970637309612313</v>
          </cell>
          <cell r="I514">
            <v>1.6264906160985544</v>
          </cell>
          <cell r="J514">
            <v>2.0568762913707648</v>
          </cell>
        </row>
        <row r="515">
          <cell r="A515" t="str">
            <v>D-SNGA</v>
          </cell>
          <cell r="B515" t="str">
            <v>VAR_fin</v>
          </cell>
          <cell r="C515" t="str">
            <v>H2</v>
          </cell>
          <cell r="H515">
            <v>1.9660801190036106E-3</v>
          </cell>
          <cell r="I515">
            <v>4.4961045321229107E-3</v>
          </cell>
          <cell r="J515">
            <v>2.1638432171622573E-3</v>
          </cell>
        </row>
        <row r="516">
          <cell r="A516" t="str">
            <v>D-SNGA</v>
          </cell>
          <cell r="B516" t="str">
            <v>VAR_ncap</v>
          </cell>
          <cell r="C516" t="str">
            <v>-</v>
          </cell>
          <cell r="H516">
            <v>2.4778387924361001E-7</v>
          </cell>
          <cell r="I516">
            <v>2.6962176344550099E-7</v>
          </cell>
          <cell r="J516">
            <v>5.8385844717343801E-7</v>
          </cell>
        </row>
        <row r="517">
          <cell r="A517" t="str">
            <v>D-SNGA</v>
          </cell>
          <cell r="B517" t="str">
            <v>VAR_cap</v>
          </cell>
          <cell r="C517" t="str">
            <v>-</v>
          </cell>
          <cell r="H517">
            <v>2.2350534220493667</v>
          </cell>
          <cell r="I517">
            <v>2.2350536916711303</v>
          </cell>
          <cell r="J517">
            <v>1.1208925763932973</v>
          </cell>
        </row>
        <row r="518">
          <cell r="A518" t="str">
            <v>D-IPLT</v>
          </cell>
          <cell r="B518" t="str">
            <v>VAR_fout</v>
          </cell>
          <cell r="C518" t="str">
            <v>IPLT</v>
          </cell>
          <cell r="H518">
            <v>0.73251067660690816</v>
          </cell>
          <cell r="I518">
            <v>0.73046663761283104</v>
          </cell>
          <cell r="J518">
            <v>0.72641480099944711</v>
          </cell>
        </row>
        <row r="519">
          <cell r="A519" t="str">
            <v>D-IPLT</v>
          </cell>
          <cell r="B519" t="str">
            <v>VAR_fin</v>
          </cell>
          <cell r="C519" t="str">
            <v>PLT</v>
          </cell>
          <cell r="H519">
            <v>0.73251067660690816</v>
          </cell>
          <cell r="I519">
            <v>0.73046663761283104</v>
          </cell>
          <cell r="J519">
            <v>0.72641480099944711</v>
          </cell>
        </row>
        <row r="520">
          <cell r="A520" t="str">
            <v>ITOT-SWHWODBR</v>
          </cell>
          <cell r="B520" t="str">
            <v>VAR_fout</v>
          </cell>
          <cell r="C520" t="str">
            <v>ITOT-SWH</v>
          </cell>
          <cell r="H520">
            <v>7.7152939025494334</v>
          </cell>
          <cell r="I520">
            <v>7.9689619959703775</v>
          </cell>
          <cell r="J520">
            <v>9.2290402064229244</v>
          </cell>
        </row>
        <row r="521">
          <cell r="A521" t="str">
            <v>ITOT-SWHWODBR</v>
          </cell>
          <cell r="B521" t="str">
            <v>VAR_fin</v>
          </cell>
          <cell r="C521" t="str">
            <v>IWOD</v>
          </cell>
          <cell r="H521">
            <v>12.966880508486431</v>
          </cell>
          <cell r="I521">
            <v>13.355802227883293</v>
          </cell>
          <cell r="J521">
            <v>15.381733677371546</v>
          </cell>
        </row>
        <row r="522">
          <cell r="A522" t="str">
            <v>ITOT-SWHWODBR</v>
          </cell>
          <cell r="B522" t="str">
            <v>VAR_fin</v>
          </cell>
          <cell r="C522" t="str">
            <v>ITOTWODBRC</v>
          </cell>
          <cell r="H522">
            <v>7.7152939025494334</v>
          </cell>
          <cell r="I522">
            <v>7.9689619959703775</v>
          </cell>
          <cell r="J522">
            <v>9.2290402064229244</v>
          </cell>
        </row>
        <row r="523">
          <cell r="A523" t="str">
            <v>ITOT-SWHWODBR</v>
          </cell>
          <cell r="B523" t="str">
            <v>VAR_ncap</v>
          </cell>
          <cell r="C523" t="str">
            <v>-</v>
          </cell>
          <cell r="H523">
            <v>0.32357211250261902</v>
          </cell>
          <cell r="I523">
            <v>0.15935915071656501</v>
          </cell>
          <cell r="J523">
            <v>0.31612746778488399</v>
          </cell>
        </row>
        <row r="524">
          <cell r="A524" t="str">
            <v>ITOT-SWHWODBR</v>
          </cell>
          <cell r="B524" t="str">
            <v>VAR_cap</v>
          </cell>
          <cell r="C524" t="str">
            <v>-</v>
          </cell>
          <cell r="H524">
            <v>0.43901102716336826</v>
          </cell>
          <cell r="I524">
            <v>0.49032254608811904</v>
          </cell>
          <cell r="J524">
            <v>0.56863988702387447</v>
          </cell>
        </row>
        <row r="525">
          <cell r="A525" t="str">
            <v>D-ITOT_KEV_WOD_ELC_CHP</v>
          </cell>
          <cell r="B525" t="str">
            <v>VAR_fout</v>
          </cell>
          <cell r="C525" t="str">
            <v>ITOT_ELC</v>
          </cell>
          <cell r="H525">
            <v>2.7740690015078546</v>
          </cell>
          <cell r="I525">
            <v>2.9873027307255069</v>
          </cell>
          <cell r="J525">
            <v>3.7070908822868631</v>
          </cell>
        </row>
        <row r="526">
          <cell r="A526" t="str">
            <v>D-ITOT_KEV_WOD_ELC_CHP</v>
          </cell>
          <cell r="B526" t="str">
            <v>VAR_fout</v>
          </cell>
          <cell r="C526" t="str">
            <v>ELC5</v>
          </cell>
          <cell r="H526">
            <v>2.4105818727745403E-3</v>
          </cell>
          <cell r="I526">
            <v>5.8795554263357488E-2</v>
          </cell>
          <cell r="J526">
            <v>4.3111881533307188E-2</v>
          </cell>
        </row>
        <row r="527">
          <cell r="A527" t="str">
            <v>D-ITOT_KEV_WOD_ELC_CHP</v>
          </cell>
          <cell r="B527" t="str">
            <v>VAR_fin</v>
          </cell>
          <cell r="C527" t="str">
            <v>ITOT_KEV_WOD_ELC_CHP</v>
          </cell>
          <cell r="H527">
            <v>2.7764620846172767</v>
          </cell>
          <cell r="I527">
            <v>3.0460982849888638</v>
          </cell>
          <cell r="J527">
            <v>3.7502027638201665</v>
          </cell>
        </row>
        <row r="528">
          <cell r="A528" t="str">
            <v>RHEM-SHSTG-SOL</v>
          </cell>
          <cell r="B528" t="str">
            <v>VAR_fout</v>
          </cell>
          <cell r="C528" t="str">
            <v>RHEM-SHASOL</v>
          </cell>
          <cell r="H528">
            <v>6.8126063945588592E-3</v>
          </cell>
          <cell r="I528">
            <v>1.9174694888140459E-3</v>
          </cell>
          <cell r="J528">
            <v>1.8668271222200441E-3</v>
          </cell>
        </row>
        <row r="529">
          <cell r="A529" t="str">
            <v>RHEM-SHSTG-SOL</v>
          </cell>
          <cell r="B529" t="str">
            <v>VAR_fout</v>
          </cell>
          <cell r="C529" t="str">
            <v>AUX_RHEM-SHSTG-SOL_OUT</v>
          </cell>
          <cell r="H529">
            <v>6.8194190009534224E-3</v>
          </cell>
          <cell r="I529">
            <v>1.9193869583028576E-3</v>
          </cell>
          <cell r="J529">
            <v>1.8686939493422637E-3</v>
          </cell>
        </row>
        <row r="530">
          <cell r="A530" t="str">
            <v>RHEM-SHSTG-SOL</v>
          </cell>
          <cell r="B530" t="str">
            <v>VAR_fin</v>
          </cell>
          <cell r="C530" t="str">
            <v>RHEM-SHASOL</v>
          </cell>
          <cell r="H530">
            <v>6.810879525102979E-3</v>
          </cell>
          <cell r="I530">
            <v>1.9154542591228816E-3</v>
          </cell>
          <cell r="J530">
            <v>1.8640447264304627E-3</v>
          </cell>
        </row>
        <row r="531">
          <cell r="A531" t="str">
            <v>RHEM-SHSTG-SOL</v>
          </cell>
          <cell r="B531" t="str">
            <v>VAR_ncap</v>
          </cell>
          <cell r="C531" t="str">
            <v>-</v>
          </cell>
          <cell r="H531">
            <v>1.52947338192443E-4</v>
          </cell>
          <cell r="I531">
            <v>2.3261957713419801E-4</v>
          </cell>
          <cell r="J531">
            <v>8.1152164878420295E-5</v>
          </cell>
        </row>
        <row r="532">
          <cell r="A532" t="str">
            <v>RHEM-SHSTG-SOL</v>
          </cell>
          <cell r="B532" t="str">
            <v>VAR_cap</v>
          </cell>
          <cell r="C532" t="str">
            <v>-</v>
          </cell>
          <cell r="H532">
            <v>4.3792780424929201E-3</v>
          </cell>
          <cell r="I532">
            <v>3.85735377805885E-4</v>
          </cell>
          <cell r="J532">
            <v>3.1466789630711601E-4</v>
          </cell>
        </row>
        <row r="533">
          <cell r="A533" t="str">
            <v>ITOT-SWHCONBR10</v>
          </cell>
          <cell r="B533" t="str">
            <v>VAR_fout</v>
          </cell>
          <cell r="C533" t="str">
            <v>ITOT-ELS</v>
          </cell>
          <cell r="J533">
            <v>1.7360165528901644E-5</v>
          </cell>
        </row>
        <row r="534">
          <cell r="A534" t="str">
            <v>ITOT-SWHCONBR10</v>
          </cell>
          <cell r="B534" t="str">
            <v>VAR_fout</v>
          </cell>
          <cell r="C534" t="str">
            <v>ITOT-SWHC</v>
          </cell>
          <cell r="J534">
            <v>1.0696177458826676E-4</v>
          </cell>
        </row>
        <row r="535">
          <cell r="A535" t="str">
            <v>ITOT-SWHCONBR10</v>
          </cell>
          <cell r="B535" t="str">
            <v>VAR_fin</v>
          </cell>
          <cell r="C535" t="str">
            <v>CON</v>
          </cell>
          <cell r="J535">
            <v>1.2433104462676305E-4</v>
          </cell>
        </row>
        <row r="536">
          <cell r="A536" t="str">
            <v>ITOT-SWHCONBR10</v>
          </cell>
          <cell r="B536" t="str">
            <v>VAR_ncap</v>
          </cell>
          <cell r="C536" t="str">
            <v>-</v>
          </cell>
          <cell r="J536">
            <v>5.8948748174931601E-6</v>
          </cell>
        </row>
        <row r="537">
          <cell r="A537" t="str">
            <v>ITOT-SWHCONBR10</v>
          </cell>
          <cell r="B537" t="str">
            <v>VAR_cap</v>
          </cell>
          <cell r="C537" t="str">
            <v>-</v>
          </cell>
          <cell r="J537">
            <v>5.8948748174931601E-6</v>
          </cell>
        </row>
        <row r="538">
          <cell r="A538" t="str">
            <v>SCOM-SHSTG</v>
          </cell>
          <cell r="B538" t="str">
            <v>VAR_fout</v>
          </cell>
          <cell r="C538" t="str">
            <v>AUX_SCOM-SHSTG_OUT</v>
          </cell>
          <cell r="H538">
            <v>3.6086214481458547E-5</v>
          </cell>
          <cell r="I538">
            <v>5.3337903933337261E-5</v>
          </cell>
          <cell r="J538">
            <v>1.2865916799078333E-3</v>
          </cell>
        </row>
        <row r="539">
          <cell r="A539" t="str">
            <v>SCOM-SHSTG</v>
          </cell>
          <cell r="B539" t="str">
            <v>VAR_fout</v>
          </cell>
          <cell r="C539" t="str">
            <v>SCOM-SHD</v>
          </cell>
          <cell r="H539">
            <v>3.6126354875764916E-5</v>
          </cell>
          <cell r="I539">
            <v>5.3337903933337207E-5</v>
          </cell>
          <cell r="J539">
            <v>1.2865916799078333E-3</v>
          </cell>
        </row>
        <row r="540">
          <cell r="A540" t="str">
            <v>SCOM-SHSTG</v>
          </cell>
          <cell r="B540" t="str">
            <v>VAR_fin</v>
          </cell>
          <cell r="C540" t="str">
            <v>AUX_SCOM-SHSTG_IN</v>
          </cell>
          <cell r="H540">
            <v>4.0700103475681094E-5</v>
          </cell>
          <cell r="I540">
            <v>5.7833495568569145E-5</v>
          </cell>
          <cell r="J540">
            <v>1.300681451199109E-3</v>
          </cell>
        </row>
        <row r="541">
          <cell r="A541" t="str">
            <v>SCOM-SHSTG</v>
          </cell>
          <cell r="B541" t="str">
            <v>VAR_fin</v>
          </cell>
          <cell r="C541" t="str">
            <v>SCOM-SHD</v>
          </cell>
          <cell r="H541">
            <v>4.0700103475681094E-5</v>
          </cell>
          <cell r="I541">
            <v>5.7833495568569145E-5</v>
          </cell>
          <cell r="J541">
            <v>1.300681451199109E-3</v>
          </cell>
        </row>
        <row r="542">
          <cell r="A542" t="str">
            <v>SCOM-SHSTG</v>
          </cell>
          <cell r="B542" t="str">
            <v>VAR_ncap</v>
          </cell>
          <cell r="C542" t="str">
            <v>-</v>
          </cell>
          <cell r="H542">
            <v>8.1455795904040494E-5</v>
          </cell>
          <cell r="I542">
            <v>2.5757801819143399E-4</v>
          </cell>
          <cell r="J542">
            <v>2.5280593294312801E-4</v>
          </cell>
        </row>
        <row r="543">
          <cell r="A543" t="str">
            <v>SCOM-SHSTG</v>
          </cell>
          <cell r="B543" t="str">
            <v>VAR_cap</v>
          </cell>
          <cell r="C543" t="str">
            <v>-</v>
          </cell>
          <cell r="H543">
            <v>5.7992443491293975E-4</v>
          </cell>
          <cell r="I543">
            <v>5.1241018080445846E-4</v>
          </cell>
          <cell r="J543">
            <v>5.7205055844420575E-4</v>
          </cell>
        </row>
        <row r="544">
          <cell r="A544" t="str">
            <v>D-ITOT_KEV_HFC_ELC_CHP</v>
          </cell>
          <cell r="B544" t="str">
            <v>VAR_fout</v>
          </cell>
          <cell r="C544" t="str">
            <v>ITOT_ELC</v>
          </cell>
          <cell r="H544">
            <v>3.2626375284380491E-3</v>
          </cell>
          <cell r="I544">
            <v>8.9294514478824499E-2</v>
          </cell>
          <cell r="J544">
            <v>0.19206694993551918</v>
          </cell>
        </row>
        <row r="545">
          <cell r="A545" t="str">
            <v>D-ITOT_KEV_HFC_ELC_CHP</v>
          </cell>
          <cell r="B545" t="str">
            <v>VAR_fout</v>
          </cell>
          <cell r="C545" t="str">
            <v>ELC5</v>
          </cell>
          <cell r="H545">
            <v>1.1960381613515406E-3</v>
          </cell>
          <cell r="I545">
            <v>1.5531524824101207E-2</v>
          </cell>
          <cell r="J545">
            <v>2.1869210305575319E-2</v>
          </cell>
        </row>
        <row r="546">
          <cell r="A546" t="str">
            <v>D-ITOT_KEV_HFC_ELC_CHP</v>
          </cell>
          <cell r="B546" t="str">
            <v>VAR_fin</v>
          </cell>
          <cell r="C546" t="str">
            <v>ITOT_KEV_HFC_ELC_CHP</v>
          </cell>
          <cell r="H546">
            <v>4.4426385400825243E-3</v>
          </cell>
          <cell r="I546">
            <v>0.10481502306675558</v>
          </cell>
          <cell r="J546">
            <v>0.21392808522999046</v>
          </cell>
        </row>
        <row r="547">
          <cell r="A547" t="str">
            <v>D-RNGA</v>
          </cell>
          <cell r="B547" t="str">
            <v>VAR_fout</v>
          </cell>
          <cell r="C547" t="str">
            <v>CO2</v>
          </cell>
          <cell r="H547">
            <v>1614.6933325263401</v>
          </cell>
          <cell r="I547">
            <v>1066.0525624834399</v>
          </cell>
          <cell r="J547">
            <v>678.56599038914999</v>
          </cell>
        </row>
        <row r="548">
          <cell r="A548" t="str">
            <v>D-RNGA</v>
          </cell>
          <cell r="B548" t="str">
            <v>VAR_fout</v>
          </cell>
          <cell r="C548" t="str">
            <v>RNGA</v>
          </cell>
          <cell r="H548">
            <v>30.355967301929955</v>
          </cell>
          <cell r="I548">
            <v>21.817306641433529</v>
          </cell>
          <cell r="J548">
            <v>14.838806570075732</v>
          </cell>
        </row>
        <row r="549">
          <cell r="A549" t="str">
            <v>D-RNGA</v>
          </cell>
          <cell r="B549" t="str">
            <v>VAR_fout</v>
          </cell>
          <cell r="C549" t="str">
            <v>RSH2</v>
          </cell>
          <cell r="H549">
            <v>3.4142735155024227E-3</v>
          </cell>
          <cell r="I549">
            <v>1.2301108454400075E-2</v>
          </cell>
          <cell r="J549">
            <v>7.7868716919802699E-3</v>
          </cell>
        </row>
        <row r="550">
          <cell r="A550" t="str">
            <v>D-RNGA</v>
          </cell>
          <cell r="B550" t="str">
            <v>VAR_fin</v>
          </cell>
          <cell r="C550" t="str">
            <v>NGA</v>
          </cell>
          <cell r="H550">
            <v>28.629314406495347</v>
          </cell>
          <cell r="I550">
            <v>18.901641178784327</v>
          </cell>
          <cell r="J550">
            <v>12.03131188633246</v>
          </cell>
        </row>
        <row r="551">
          <cell r="A551" t="str">
            <v>D-RNGA</v>
          </cell>
          <cell r="B551" t="str">
            <v>VAR_fin</v>
          </cell>
          <cell r="C551" t="str">
            <v>BNGA</v>
          </cell>
          <cell r="H551">
            <v>1.8236566942450483</v>
          </cell>
          <cell r="I551">
            <v>2.9854149798255758</v>
          </cell>
          <cell r="J551">
            <v>2.8550290262963016</v>
          </cell>
        </row>
        <row r="552">
          <cell r="A552" t="str">
            <v>D-RNGA</v>
          </cell>
          <cell r="B552" t="str">
            <v>VAR_fin</v>
          </cell>
          <cell r="C552" t="str">
            <v>H2</v>
          </cell>
          <cell r="H552">
            <v>3.4129707756844975E-3</v>
          </cell>
          <cell r="I552">
            <v>1.2300059795647375E-2</v>
          </cell>
          <cell r="J552">
            <v>7.784037337914467E-3</v>
          </cell>
        </row>
        <row r="553">
          <cell r="A553" t="str">
            <v>D-RNGA</v>
          </cell>
          <cell r="B553" t="str">
            <v>VAR_ncap</v>
          </cell>
          <cell r="C553" t="str">
            <v>-</v>
          </cell>
          <cell r="H553">
            <v>9.4975143233556396E-8</v>
          </cell>
          <cell r="I553">
            <v>1.21433830265381E-7</v>
          </cell>
          <cell r="J553">
            <v>2.1495233918032399E-7</v>
          </cell>
        </row>
        <row r="554">
          <cell r="A554" t="str">
            <v>D-RNGA</v>
          </cell>
          <cell r="B554" t="str">
            <v>VAR_cap</v>
          </cell>
          <cell r="C554" t="str">
            <v>-</v>
          </cell>
          <cell r="H554">
            <v>3.0972404269995093</v>
          </cell>
          <cell r="I554">
            <v>3.0972405484333394</v>
          </cell>
          <cell r="J554">
            <v>1.5532830040259786</v>
          </cell>
        </row>
        <row r="555">
          <cell r="A555" t="str">
            <v>RHNS-SHLTHCHPNGA</v>
          </cell>
          <cell r="B555" t="str">
            <v>VAR_fout</v>
          </cell>
          <cell r="C555" t="str">
            <v>RHNS-SHLTHC-NGA</v>
          </cell>
        </row>
        <row r="556">
          <cell r="A556" t="str">
            <v>RHNS-SHLTHCHPNGA</v>
          </cell>
          <cell r="B556" t="str">
            <v>VAR_fin</v>
          </cell>
          <cell r="C556" t="str">
            <v>RHNSLTHCHPC</v>
          </cell>
        </row>
        <row r="557">
          <cell r="A557" t="str">
            <v>RHNS-SHLTHCHPNGA</v>
          </cell>
          <cell r="B557" t="str">
            <v>VAR_fin</v>
          </cell>
          <cell r="C557" t="str">
            <v>RHNS_LTH_CHPNGA_ON</v>
          </cell>
        </row>
        <row r="558">
          <cell r="A558" t="str">
            <v>RHNS-SHLTHCHPNGA</v>
          </cell>
          <cell r="B558" t="str">
            <v>VAR_ncap</v>
          </cell>
          <cell r="C558" t="str">
            <v>-</v>
          </cell>
          <cell r="H558">
            <v>6.96279107146477E-5</v>
          </cell>
          <cell r="I558">
            <v>2.8697172927245701E-5</v>
          </cell>
          <cell r="J558">
            <v>2.39748675047723E-8</v>
          </cell>
        </row>
        <row r="559">
          <cell r="A559" t="str">
            <v>RHNS-SHLTHCHPNGA</v>
          </cell>
          <cell r="B559" t="str">
            <v>VAR_cap</v>
          </cell>
          <cell r="C559" t="str">
            <v>-</v>
          </cell>
          <cell r="H559">
            <v>1.2355536683310298E-4</v>
          </cell>
          <cell r="I559">
            <v>5.6976222974222993E-5</v>
          </cell>
        </row>
        <row r="560">
          <cell r="A560" t="str">
            <v>D-SCOM_KEV_BIO_ELC_CHP</v>
          </cell>
          <cell r="B560" t="str">
            <v>VAR_fout</v>
          </cell>
          <cell r="C560" t="str">
            <v>ELC5</v>
          </cell>
          <cell r="H560">
            <v>9.4563640075014436E-4</v>
          </cell>
          <cell r="I560">
            <v>9.2675455047195427E-4</v>
          </cell>
          <cell r="J560">
            <v>5.3143507467924144E-4</v>
          </cell>
        </row>
        <row r="561">
          <cell r="A561" t="str">
            <v>D-SCOM_KEV_BIO_ELC_CHP</v>
          </cell>
          <cell r="B561" t="str">
            <v>VAR_fout</v>
          </cell>
          <cell r="C561" t="str">
            <v>SCOM_ELC</v>
          </cell>
          <cell r="H561">
            <v>1.105023578180252</v>
          </cell>
          <cell r="I561">
            <v>1.1050383237296377</v>
          </cell>
          <cell r="J561">
            <v>1.1054306288424338</v>
          </cell>
        </row>
        <row r="562">
          <cell r="A562" t="str">
            <v>D-SCOM_KEV_BIO_ELC_CHP</v>
          </cell>
          <cell r="B562" t="str">
            <v>VAR_fin</v>
          </cell>
          <cell r="C562" t="str">
            <v>SCOM_KEV_BIO_ELC_CHP</v>
          </cell>
          <cell r="H562">
            <v>1.1059531964295761</v>
          </cell>
          <cell r="I562">
            <v>1.1059517354964505</v>
          </cell>
          <cell r="J562">
            <v>1.1059520067322162</v>
          </cell>
        </row>
        <row r="563">
          <cell r="A563" t="str">
            <v>RHES-SHLTHCHPWOD</v>
          </cell>
          <cell r="B563" t="str">
            <v>VAR_ncap</v>
          </cell>
          <cell r="C563" t="str">
            <v>-</v>
          </cell>
          <cell r="H563">
            <v>1.1776429317523E-4</v>
          </cell>
          <cell r="I563">
            <v>6.81740578332992E-5</v>
          </cell>
          <cell r="J563">
            <v>3.1306354299445903E-5</v>
          </cell>
        </row>
        <row r="564">
          <cell r="A564" t="str">
            <v>RHES-SHLTHCHPWOD</v>
          </cell>
          <cell r="B564" t="str">
            <v>VAR_cap</v>
          </cell>
          <cell r="C564" t="str">
            <v>-</v>
          </cell>
          <cell r="H564">
            <v>1.4874848679010931E-4</v>
          </cell>
          <cell r="I564">
            <v>1.2531492553554801E-4</v>
          </cell>
          <cell r="J564">
            <v>5.5822589892633298E-5</v>
          </cell>
        </row>
        <row r="565">
          <cell r="A565" t="str">
            <v>RHES-SHSTG-NGAHP</v>
          </cell>
          <cell r="B565" t="str">
            <v>VAR_fout</v>
          </cell>
          <cell r="C565" t="str">
            <v>RHES-SHANGAH</v>
          </cell>
          <cell r="H565">
            <v>0.54185009111218063</v>
          </cell>
          <cell r="I565">
            <v>0.6953246282661375</v>
          </cell>
          <cell r="J565">
            <v>0.68349501908409682</v>
          </cell>
        </row>
        <row r="566">
          <cell r="A566" t="str">
            <v>RHES-SHSTG-NGAHP</v>
          </cell>
          <cell r="B566" t="str">
            <v>VAR_fout</v>
          </cell>
          <cell r="C566" t="str">
            <v>AUX_RHES-SHSTG-NGAHP_OUT</v>
          </cell>
          <cell r="H566">
            <v>0.54239194120329215</v>
          </cell>
          <cell r="I566">
            <v>0.69601995289440322</v>
          </cell>
          <cell r="J566">
            <v>0.68417851410318087</v>
          </cell>
        </row>
        <row r="567">
          <cell r="A567" t="str">
            <v>RHES-SHSTG-NGAHP</v>
          </cell>
          <cell r="B567" t="str">
            <v>VAR_fin</v>
          </cell>
          <cell r="C567" t="str">
            <v>RHES-SHANGAH</v>
          </cell>
          <cell r="H567">
            <v>0.54186857781981679</v>
          </cell>
          <cell r="I567">
            <v>0.69533523714572665</v>
          </cell>
          <cell r="J567">
            <v>0.68350959461600913</v>
          </cell>
        </row>
        <row r="568">
          <cell r="A568" t="str">
            <v>RHES-SHSTG-NGAHP</v>
          </cell>
          <cell r="B568" t="str">
            <v>VAR_ncap</v>
          </cell>
          <cell r="C568" t="str">
            <v>-</v>
          </cell>
          <cell r="H568">
            <v>1.5407016092306399E-2</v>
          </cell>
          <cell r="I568">
            <v>5.6873557509331298E-2</v>
          </cell>
          <cell r="J568">
            <v>5.3517282263090701E-2</v>
          </cell>
        </row>
        <row r="569">
          <cell r="A569" t="str">
            <v>RHES-SHSTG-NGAHP</v>
          </cell>
          <cell r="B569" t="str">
            <v>VAR_cap</v>
          </cell>
          <cell r="C569" t="str">
            <v>-</v>
          </cell>
          <cell r="H569">
            <v>9.3765719884698617E-2</v>
          </cell>
          <cell r="I569">
            <v>0.10947787961437294</v>
          </cell>
          <cell r="J569">
            <v>0.10128275777855296</v>
          </cell>
        </row>
        <row r="570">
          <cell r="A570" t="str">
            <v>D-RHNS_SOLELC</v>
          </cell>
          <cell r="B570" t="str">
            <v>VAR_fout</v>
          </cell>
          <cell r="C570" t="str">
            <v>RHNS_ELC</v>
          </cell>
          <cell r="H570">
            <v>7.1897956846041309</v>
          </cell>
          <cell r="I570">
            <v>7.533392431714514</v>
          </cell>
          <cell r="J570">
            <v>8.284837440171847</v>
          </cell>
        </row>
        <row r="571">
          <cell r="A571" t="str">
            <v>D-RHNS_SOLELC</v>
          </cell>
          <cell r="B571" t="str">
            <v>VAR_fout</v>
          </cell>
          <cell r="C571" t="str">
            <v>ELC5</v>
          </cell>
          <cell r="H571">
            <v>7.8363507318883691E-4</v>
          </cell>
          <cell r="I571">
            <v>2.3740438958276652E-3</v>
          </cell>
          <cell r="J571">
            <v>9.6000731252992699E-3</v>
          </cell>
        </row>
        <row r="572">
          <cell r="A572" t="str">
            <v>D-RHNS_SOLELC</v>
          </cell>
          <cell r="B572" t="str">
            <v>VAR_fin</v>
          </cell>
          <cell r="C572" t="str">
            <v>RHNS_SOL_ELC</v>
          </cell>
          <cell r="H572">
            <v>7.1905793196773189</v>
          </cell>
          <cell r="I572">
            <v>7.5357664756103446</v>
          </cell>
          <cell r="J572">
            <v>8.2944375132971437</v>
          </cell>
        </row>
        <row r="573">
          <cell r="A573" t="str">
            <v>D-IHFO</v>
          </cell>
          <cell r="B573" t="str">
            <v>VAR_fout</v>
          </cell>
          <cell r="C573" t="str">
            <v>CO2</v>
          </cell>
          <cell r="H573">
            <v>0.25273370308519699</v>
          </cell>
          <cell r="I573">
            <v>2.0091062863888599E-2</v>
          </cell>
        </row>
        <row r="574">
          <cell r="A574" t="str">
            <v>D-IHFO</v>
          </cell>
          <cell r="B574" t="str">
            <v>VAR_fout</v>
          </cell>
          <cell r="C574" t="str">
            <v>IHFO</v>
          </cell>
          <cell r="H574">
            <v>3.2274383858308543E-3</v>
          </cell>
          <cell r="I574">
            <v>2.5656517792245687E-4</v>
          </cell>
        </row>
        <row r="575">
          <cell r="A575" t="str">
            <v>D-IHFO</v>
          </cell>
          <cell r="B575" t="str">
            <v>VAR_fin</v>
          </cell>
          <cell r="C575" t="str">
            <v>HFO</v>
          </cell>
          <cell r="H575">
            <v>3.2822558842233339E-3</v>
          </cell>
          <cell r="I575">
            <v>2.6092289433621584E-4</v>
          </cell>
        </row>
        <row r="576">
          <cell r="A576" t="str">
            <v>RHEM-SHCONBR</v>
          </cell>
          <cell r="B576" t="str">
            <v>VAR_fout</v>
          </cell>
          <cell r="C576" t="str">
            <v>RHEM-SHCON</v>
          </cell>
          <cell r="H576">
            <v>1.7890609580029602E-4</v>
          </cell>
          <cell r="I576">
            <v>1.9167368314295242E-4</v>
          </cell>
          <cell r="J576">
            <v>7.8274071680008693E-4</v>
          </cell>
        </row>
        <row r="577">
          <cell r="A577" t="str">
            <v>RHEM-SHCONBR</v>
          </cell>
          <cell r="B577" t="str">
            <v>VAR_fin</v>
          </cell>
          <cell r="C577" t="str">
            <v>CON</v>
          </cell>
          <cell r="H577">
            <v>1.7890609580029602E-4</v>
          </cell>
          <cell r="I577">
            <v>1.9167368314295242E-4</v>
          </cell>
          <cell r="J577">
            <v>7.8274071680008693E-4</v>
          </cell>
        </row>
        <row r="578">
          <cell r="A578" t="str">
            <v>RHEM-SHCONBR</v>
          </cell>
          <cell r="B578" t="str">
            <v>VAR_ncap</v>
          </cell>
          <cell r="C578" t="str">
            <v>-</v>
          </cell>
          <cell r="H578">
            <v>4.6836978645048397E-6</v>
          </cell>
          <cell r="I578">
            <v>1.1864175589569299E-6</v>
          </cell>
          <cell r="J578">
            <v>4.1918187801141501E-5</v>
          </cell>
        </row>
        <row r="579">
          <cell r="A579" t="str">
            <v>RHEM-SHCONBR</v>
          </cell>
          <cell r="B579" t="str">
            <v>VAR_cap</v>
          </cell>
          <cell r="C579" t="str">
            <v>-</v>
          </cell>
          <cell r="H579">
            <v>1.1694870058254162E-5</v>
          </cell>
          <cell r="I579">
            <v>1.2871293524835667E-5</v>
          </cell>
          <cell r="J579">
            <v>5.4870746135424599E-5</v>
          </cell>
        </row>
        <row r="580">
          <cell r="A580" t="str">
            <v>RHEM-SHSOLBR</v>
          </cell>
          <cell r="B580" t="str">
            <v>VAR_fout</v>
          </cell>
          <cell r="C580" t="str">
            <v>RHEM-SHASOL</v>
          </cell>
          <cell r="H580">
            <v>1.1499793780851237E-2</v>
          </cell>
          <cell r="I580">
            <v>1.0885128104497096E-2</v>
          </cell>
          <cell r="J580">
            <v>8.9621509462560877E-3</v>
          </cell>
        </row>
        <row r="581">
          <cell r="A581" t="str">
            <v>RHEM-SHSOLBR</v>
          </cell>
          <cell r="B581" t="str">
            <v>VAR_fin</v>
          </cell>
          <cell r="C581" t="str">
            <v>SOL</v>
          </cell>
          <cell r="H581">
            <v>1.1499793780851237E-2</v>
          </cell>
          <cell r="I581">
            <v>1.0885128104497096E-2</v>
          </cell>
          <cell r="J581">
            <v>8.9621509462560877E-3</v>
          </cell>
        </row>
        <row r="582">
          <cell r="A582" t="str">
            <v>RHEM-SHSOLBR</v>
          </cell>
          <cell r="B582" t="str">
            <v>VAR_ncap</v>
          </cell>
          <cell r="C582" t="str">
            <v>-</v>
          </cell>
          <cell r="H582">
            <v>6.2074042610173199E-7</v>
          </cell>
          <cell r="I582">
            <v>1.63540468467026E-3</v>
          </cell>
          <cell r="J582">
            <v>1.51571627889821E-4</v>
          </cell>
        </row>
        <row r="583">
          <cell r="A583" t="str">
            <v>RHEM-SHSOLBR</v>
          </cell>
          <cell r="B583" t="str">
            <v>VAR_cap</v>
          </cell>
          <cell r="C583" t="str">
            <v>-</v>
          </cell>
          <cell r="H583">
            <v>1.8607413145114691E-2</v>
          </cell>
          <cell r="I583">
            <v>1.6359152392811565E-3</v>
          </cell>
          <cell r="J583">
            <v>1.3385586026984425E-3</v>
          </cell>
        </row>
        <row r="584">
          <cell r="A584" t="str">
            <v>SCOM-SHH2BR</v>
          </cell>
          <cell r="B584" t="str">
            <v>VAR_ncap</v>
          </cell>
          <cell r="C584" t="str">
            <v>-</v>
          </cell>
          <cell r="H584">
            <v>0.35827926017367601</v>
          </cell>
          <cell r="I584">
            <v>0.69166191922406794</v>
          </cell>
          <cell r="J584">
            <v>0.45823439018420897</v>
          </cell>
        </row>
        <row r="585">
          <cell r="A585" t="str">
            <v>SCOM-SHH2BR</v>
          </cell>
          <cell r="B585" t="str">
            <v>VAR_cap</v>
          </cell>
          <cell r="C585" t="str">
            <v>-</v>
          </cell>
          <cell r="H585">
            <v>0.35827907362429384</v>
          </cell>
          <cell r="I585">
            <v>1.0499404945914166</v>
          </cell>
          <cell r="J585">
            <v>1.1117461045383674</v>
          </cell>
        </row>
        <row r="586">
          <cell r="A586" t="str">
            <v>ITOT-SWHCONBR1</v>
          </cell>
          <cell r="B586" t="str">
            <v>VAR_fout</v>
          </cell>
          <cell r="C586" t="str">
            <v>ITOT-ELS</v>
          </cell>
          <cell r="H586">
            <v>0.36846099005628452</v>
          </cell>
          <cell r="I586">
            <v>0.96978707132199005</v>
          </cell>
          <cell r="J586">
            <v>0.96983580775175371</v>
          </cell>
        </row>
        <row r="587">
          <cell r="A587" t="str">
            <v>ITOT-SWHCONBR1</v>
          </cell>
          <cell r="B587" t="str">
            <v>VAR_fout</v>
          </cell>
          <cell r="C587" t="str">
            <v>ITOT-SWHC</v>
          </cell>
          <cell r="H587">
            <v>1.751608506335909</v>
          </cell>
          <cell r="I587">
            <v>4.6102228710906417</v>
          </cell>
          <cell r="J587">
            <v>4.6104545567975377</v>
          </cell>
        </row>
        <row r="588">
          <cell r="A588" t="str">
            <v>ITOT-SWHCONBR1</v>
          </cell>
          <cell r="B588" t="str">
            <v>VAR_fin</v>
          </cell>
          <cell r="C588" t="str">
            <v>CON</v>
          </cell>
          <cell r="H588">
            <v>2.1200694963921936</v>
          </cell>
          <cell r="I588">
            <v>5.5800099424126293</v>
          </cell>
          <cell r="J588">
            <v>5.5802903645492883</v>
          </cell>
        </row>
        <row r="589">
          <cell r="A589" t="str">
            <v>ITOT-SWHCONBR1</v>
          </cell>
          <cell r="B589" t="str">
            <v>VAR_ncap</v>
          </cell>
          <cell r="C589" t="str">
            <v>-</v>
          </cell>
          <cell r="H589">
            <v>5.5258360572207101E-2</v>
          </cell>
          <cell r="I589">
            <v>0.24689715461353501</v>
          </cell>
          <cell r="J589">
            <v>0.100975039687249</v>
          </cell>
        </row>
        <row r="590">
          <cell r="A590" t="str">
            <v>ITOT-SWHCONBR1</v>
          </cell>
          <cell r="B590" t="str">
            <v>VAR_cap</v>
          </cell>
          <cell r="C590" t="str">
            <v>-</v>
          </cell>
          <cell r="H590">
            <v>0.11530073273828199</v>
          </cell>
          <cell r="I590">
            <v>0.30351403939855698</v>
          </cell>
          <cell r="J590">
            <v>0.30353057270386902</v>
          </cell>
        </row>
        <row r="591">
          <cell r="A591" t="str">
            <v>SCOM-SHLTHCHPWOD</v>
          </cell>
          <cell r="B591" t="str">
            <v>VAR_ncap</v>
          </cell>
          <cell r="C591" t="str">
            <v>-</v>
          </cell>
          <cell r="H591">
            <v>1.39477338322471E-4</v>
          </cell>
          <cell r="I591">
            <v>8.7606709558250305E-5</v>
          </cell>
          <cell r="J591">
            <v>2.9142045312328999E-5</v>
          </cell>
        </row>
        <row r="592">
          <cell r="A592" t="str">
            <v>SCOM-SHLTHCHPWOD</v>
          </cell>
          <cell r="B592" t="str">
            <v>VAR_cap</v>
          </cell>
          <cell r="C592" t="str">
            <v>-</v>
          </cell>
          <cell r="H592">
            <v>1.7435190983639679E-4</v>
          </cell>
          <cell r="I592">
            <v>1.3863374009780001E-4</v>
          </cell>
          <cell r="J592">
            <v>5.3330442400446591E-5</v>
          </cell>
        </row>
        <row r="593">
          <cell r="A593" t="str">
            <v>SCOM-SHSTG-NGAHP</v>
          </cell>
          <cell r="B593" t="str">
            <v>VAR_fout</v>
          </cell>
          <cell r="C593" t="str">
            <v>SCOM-SHANGAH</v>
          </cell>
          <cell r="H593">
            <v>1.8687585504637211E-5</v>
          </cell>
          <cell r="I593">
            <v>2.090506445207141E-5</v>
          </cell>
          <cell r="J593">
            <v>7.6139129901438423E-6</v>
          </cell>
        </row>
        <row r="594">
          <cell r="A594" t="str">
            <v>SCOM-SHSTG-NGAHP</v>
          </cell>
          <cell r="B594" t="str">
            <v>VAR_fin</v>
          </cell>
          <cell r="C594" t="str">
            <v>SCOM-SHANGAH</v>
          </cell>
          <cell r="H594">
            <v>2.2192806452548997E-5</v>
          </cell>
          <cell r="I594">
            <v>1.8857489549303692E-5</v>
          </cell>
          <cell r="J594">
            <v>5.9560459760727738E-6</v>
          </cell>
        </row>
        <row r="595">
          <cell r="A595" t="str">
            <v>SCOM-SHSTG-NGAHP</v>
          </cell>
          <cell r="B595" t="str">
            <v>VAR_ncap</v>
          </cell>
          <cell r="C595" t="str">
            <v>-</v>
          </cell>
          <cell r="H595">
            <v>3.6633664921097403E-2</v>
          </cell>
          <cell r="I595">
            <v>0.105158923932528</v>
          </cell>
          <cell r="J595">
            <v>0.116129345069519</v>
          </cell>
        </row>
        <row r="596">
          <cell r="A596" t="str">
            <v>SCOM-SHSTG-NGAHP</v>
          </cell>
          <cell r="B596" t="str">
            <v>VAR_cap</v>
          </cell>
          <cell r="C596" t="str">
            <v>-</v>
          </cell>
          <cell r="H596">
            <v>0.15703178960256023</v>
          </cell>
          <cell r="I596">
            <v>0.20216842731106122</v>
          </cell>
          <cell r="J596">
            <v>0.2078994094563727</v>
          </cell>
        </row>
        <row r="597">
          <cell r="A597" t="str">
            <v>ITOT-SWHCONBR2</v>
          </cell>
          <cell r="B597" t="str">
            <v>VAR_fout</v>
          </cell>
          <cell r="C597" t="str">
            <v>ITOT-ELS</v>
          </cell>
          <cell r="H597">
            <v>5.3433233472342172E-4</v>
          </cell>
          <cell r="I597">
            <v>0.46881959763577469</v>
          </cell>
          <cell r="J597">
            <v>0.5165772490953453</v>
          </cell>
        </row>
        <row r="598">
          <cell r="A598" t="str">
            <v>ITOT-SWHCONBR2</v>
          </cell>
          <cell r="B598" t="str">
            <v>VAR_fout</v>
          </cell>
          <cell r="C598" t="str">
            <v>ITOT-SWHC</v>
          </cell>
          <cell r="H598">
            <v>8.2597553357534944E-4</v>
          </cell>
          <cell r="I598">
            <v>0.72470537929962187</v>
          </cell>
          <cell r="J598">
            <v>0.79852956900927596</v>
          </cell>
        </row>
        <row r="599">
          <cell r="A599" t="str">
            <v>ITOT-SWHCONBR2</v>
          </cell>
          <cell r="B599" t="str">
            <v>VAR_fin</v>
          </cell>
          <cell r="C599" t="str">
            <v>CON</v>
          </cell>
          <cell r="H599">
            <v>1.360307868298771E-3</v>
          </cell>
          <cell r="I599">
            <v>1.1935249769353959</v>
          </cell>
          <cell r="J599">
            <v>1.3151068181046213</v>
          </cell>
        </row>
        <row r="600">
          <cell r="A600" t="str">
            <v>ITOT-SWHCONBR2</v>
          </cell>
          <cell r="B600" t="str">
            <v>VAR_ncap</v>
          </cell>
          <cell r="C600" t="str">
            <v>-</v>
          </cell>
          <cell r="H600">
            <v>5.5222208122594002E-5</v>
          </cell>
          <cell r="I600">
            <v>6.4851175037295899E-2</v>
          </cell>
          <cell r="J600">
            <v>2.44449552257083E-2</v>
          </cell>
        </row>
        <row r="601">
          <cell r="A601" t="str">
            <v>ITOT-SWHCONBR2</v>
          </cell>
          <cell r="B601" t="str">
            <v>VAR_cap</v>
          </cell>
          <cell r="C601" t="str">
            <v>-</v>
          </cell>
          <cell r="H601">
            <v>7.3448644656153402E-5</v>
          </cell>
          <cell r="I601">
            <v>6.4918845652044796E-2</v>
          </cell>
          <cell r="J601">
            <v>7.1532985711678307E-2</v>
          </cell>
        </row>
        <row r="602">
          <cell r="A602" t="str">
            <v>RHES-SHCONBR1</v>
          </cell>
          <cell r="B602" t="str">
            <v>VAR_fout</v>
          </cell>
          <cell r="C602" t="str">
            <v>RHES-SHCON</v>
          </cell>
          <cell r="H602">
            <v>4.2498012658453215</v>
          </cell>
          <cell r="I602">
            <v>4.7790748963344134</v>
          </cell>
          <cell r="J602">
            <v>6.4142343232121499</v>
          </cell>
        </row>
        <row r="603">
          <cell r="A603" t="str">
            <v>RHES-SHCONBR1</v>
          </cell>
          <cell r="B603" t="str">
            <v>VAR_fin</v>
          </cell>
          <cell r="C603" t="str">
            <v>CON</v>
          </cell>
          <cell r="H603">
            <v>4.2498012658453215</v>
          </cell>
          <cell r="I603">
            <v>4.7790748963344134</v>
          </cell>
          <cell r="J603">
            <v>6.4142343232121499</v>
          </cell>
        </row>
        <row r="604">
          <cell r="A604" t="str">
            <v>RHES-SHCONBR1</v>
          </cell>
          <cell r="B604" t="str">
            <v>VAR_ncap</v>
          </cell>
          <cell r="C604" t="str">
            <v>-</v>
          </cell>
          <cell r="H604">
            <v>0.12777188740460799</v>
          </cell>
          <cell r="I604">
            <v>4.2759339896818703E-2</v>
          </cell>
          <cell r="J604">
            <v>0.17401917935618799</v>
          </cell>
        </row>
        <row r="605">
          <cell r="A605" t="str">
            <v>RHES-SHCONBR1</v>
          </cell>
          <cell r="B605" t="str">
            <v>VAR_cap</v>
          </cell>
          <cell r="C605" t="str">
            <v>-</v>
          </cell>
          <cell r="H605">
            <v>0.34334059898651675</v>
          </cell>
          <cell r="I605">
            <v>0.38609999803431561</v>
          </cell>
          <cell r="J605">
            <v>0.51819555448943799</v>
          </cell>
        </row>
        <row r="606">
          <cell r="A606" t="str">
            <v>ITOT-SWHCONBR3</v>
          </cell>
          <cell r="B606" t="str">
            <v>VAR_fout</v>
          </cell>
          <cell r="C606" t="str">
            <v>ITOT-ELS</v>
          </cell>
          <cell r="H606">
            <v>2.211917252066523E-4</v>
          </cell>
          <cell r="I606">
            <v>2.6880582077786072E-4</v>
          </cell>
          <cell r="J606">
            <v>2.7088758104780675E-4</v>
          </cell>
        </row>
        <row r="607">
          <cell r="A607" t="str">
            <v>ITOT-SWHCONBR3</v>
          </cell>
          <cell r="B607" t="str">
            <v>VAR_fout</v>
          </cell>
          <cell r="C607" t="str">
            <v>ITOT-SWHC</v>
          </cell>
          <cell r="H607">
            <v>4.3896752612549757E-4</v>
          </cell>
          <cell r="I607">
            <v>5.3346039977196405E-4</v>
          </cell>
          <cell r="J607">
            <v>5.375917711188396E-4</v>
          </cell>
        </row>
        <row r="608">
          <cell r="A608" t="str">
            <v>ITOT-SWHCONBR3</v>
          </cell>
          <cell r="B608" t="str">
            <v>VAR_fin</v>
          </cell>
          <cell r="C608" t="str">
            <v>CON</v>
          </cell>
          <cell r="H608">
            <v>6.6015925133214954E-4</v>
          </cell>
          <cell r="I608">
            <v>8.0226622054982433E-4</v>
          </cell>
          <cell r="J608">
            <v>8.0847935216664651E-4</v>
          </cell>
        </row>
        <row r="609">
          <cell r="A609" t="str">
            <v>ITOT-SWHCONBR3</v>
          </cell>
          <cell r="B609" t="str">
            <v>VAR_ncap</v>
          </cell>
          <cell r="C609" t="str">
            <v>-</v>
          </cell>
          <cell r="H609">
            <v>2.0403210838008501E-5</v>
          </cell>
          <cell r="I609">
            <v>1.24420664134626E-5</v>
          </cell>
          <cell r="J609">
            <v>2.5733105833186601E-5</v>
          </cell>
        </row>
        <row r="610">
          <cell r="A610" t="str">
            <v>ITOT-SWHCONBR3</v>
          </cell>
          <cell r="B610" t="str">
            <v>VAR_cap</v>
          </cell>
          <cell r="C610" t="str">
            <v>-</v>
          </cell>
          <cell r="H610">
            <v>3.5190605197916297E-5</v>
          </cell>
          <cell r="I610">
            <v>4.2944865154769102E-5</v>
          </cell>
          <cell r="J610">
            <v>4.33931795904337E-5</v>
          </cell>
        </row>
        <row r="611">
          <cell r="A611" t="str">
            <v>ITOT-ELCSPECADV</v>
          </cell>
          <cell r="B611" t="str">
            <v>VAR_fout</v>
          </cell>
          <cell r="C611" t="str">
            <v>ITOT-ELS</v>
          </cell>
          <cell r="H611">
            <v>6.6738207097030288E-4</v>
          </cell>
          <cell r="I611">
            <v>4.850209670989837E-4</v>
          </cell>
          <cell r="J611">
            <v>5.1862684712251082E-4</v>
          </cell>
        </row>
        <row r="612">
          <cell r="A612" t="str">
            <v>ITOT-ELCSPECADV</v>
          </cell>
          <cell r="B612" t="str">
            <v>VAR_fin</v>
          </cell>
          <cell r="C612" t="str">
            <v>ITOT_ELC</v>
          </cell>
          <cell r="H612">
            <v>6.2082053113516581E-4</v>
          </cell>
          <cell r="I612">
            <v>4.4092815190816703E-4</v>
          </cell>
          <cell r="J612">
            <v>4.5097986706305249E-4</v>
          </cell>
        </row>
        <row r="613">
          <cell r="A613" t="str">
            <v>ITOT-ELCSPECADV</v>
          </cell>
          <cell r="B613" t="str">
            <v>VAR_ncap</v>
          </cell>
          <cell r="C613" t="str">
            <v>-</v>
          </cell>
          <cell r="H613">
            <v>1.5440482193027499E-5</v>
          </cell>
          <cell r="I613">
            <v>4.7865602326076904E-7</v>
          </cell>
          <cell r="J613">
            <v>3.4658204216693301E-7</v>
          </cell>
        </row>
        <row r="614">
          <cell r="A614" t="str">
            <v>ITOT-ELCSPECADV</v>
          </cell>
          <cell r="B614" t="str">
            <v>VAR_cap</v>
          </cell>
          <cell r="C614" t="str">
            <v>-</v>
          </cell>
          <cell r="H614">
            <v>4.0206092001120353E-5</v>
          </cell>
          <cell r="I614">
            <v>4.0449937399691065E-5</v>
          </cell>
          <cell r="J614">
            <v>3.1940556932126606E-5</v>
          </cell>
        </row>
        <row r="615">
          <cell r="A615" t="str">
            <v>RHES-SHELCBR</v>
          </cell>
          <cell r="B615" t="str">
            <v>VAR_fout</v>
          </cell>
          <cell r="C615" t="str">
            <v>RHES-SHAELCB</v>
          </cell>
          <cell r="H615">
            <v>1.3521090600823505E-2</v>
          </cell>
          <cell r="I615">
            <v>3.385459475267057E-3</v>
          </cell>
          <cell r="J615">
            <v>1.8887072262329791E-3</v>
          </cell>
        </row>
        <row r="616">
          <cell r="A616" t="str">
            <v>RHES-SHELCBR</v>
          </cell>
          <cell r="B616" t="str">
            <v>VAR_fin</v>
          </cell>
          <cell r="C616" t="str">
            <v>RHES_ELC</v>
          </cell>
          <cell r="H616">
            <v>1.4737091790482302E-2</v>
          </cell>
          <cell r="I616">
            <v>3.6505145825188592E-3</v>
          </cell>
          <cell r="J616">
            <v>1.9993636022724846E-3</v>
          </cell>
        </row>
        <row r="617">
          <cell r="A617" t="str">
            <v>RHES-SHELCBR</v>
          </cell>
          <cell r="B617" t="str">
            <v>VAR_ncap</v>
          </cell>
          <cell r="C617" t="str">
            <v>-</v>
          </cell>
          <cell r="H617">
            <v>8.5292971576955201E-7</v>
          </cell>
          <cell r="I617">
            <v>3.6950747805153199E-4</v>
          </cell>
          <cell r="J617">
            <v>1.40130531793367E-7</v>
          </cell>
        </row>
        <row r="618">
          <cell r="A618" t="str">
            <v>RHES-SHELCBR</v>
          </cell>
          <cell r="B618" t="str">
            <v>VAR_cap</v>
          </cell>
          <cell r="C618" t="str">
            <v>-</v>
          </cell>
          <cell r="H618">
            <v>2.013841200177835E-3</v>
          </cell>
          <cell r="I618">
            <v>3.7013913557504133E-4</v>
          </cell>
          <cell r="J618">
            <v>2.6344950105883723E-4</v>
          </cell>
        </row>
        <row r="619">
          <cell r="A619" t="str">
            <v>RHSA-WHELCBR</v>
          </cell>
          <cell r="B619" t="str">
            <v>VAR_fout</v>
          </cell>
          <cell r="C619" t="str">
            <v>RHSA-WHAELCB</v>
          </cell>
          <cell r="H619">
            <v>1.859950570572281</v>
          </cell>
          <cell r="I619">
            <v>1.7214602762415478</v>
          </cell>
          <cell r="J619">
            <v>1.5550552867702045</v>
          </cell>
        </row>
        <row r="620">
          <cell r="A620" t="str">
            <v>RHSA-WHELCBR</v>
          </cell>
          <cell r="B620" t="str">
            <v>VAR_fin</v>
          </cell>
          <cell r="C620" t="str">
            <v>RHSA_ELC</v>
          </cell>
          <cell r="H620">
            <v>3.748429048892675</v>
          </cell>
          <cell r="I620">
            <v>3.4107559381551122</v>
          </cell>
          <cell r="J620">
            <v>2.9944272283150104</v>
          </cell>
        </row>
        <row r="621">
          <cell r="A621" t="str">
            <v>RHSA-WHELCBR</v>
          </cell>
          <cell r="B621" t="str">
            <v>VAR_ncap</v>
          </cell>
          <cell r="C621" t="str">
            <v>-</v>
          </cell>
          <cell r="H621">
            <v>5.1934835195568303E-2</v>
          </cell>
          <cell r="I621">
            <v>7.9284903228866999E-2</v>
          </cell>
          <cell r="J621">
            <v>4.1084649458792498E-2</v>
          </cell>
        </row>
        <row r="622">
          <cell r="A622" t="str">
            <v>RHSA-WHELCBR</v>
          </cell>
          <cell r="B622" t="str">
            <v>VAR_cap</v>
          </cell>
          <cell r="C622" t="str">
            <v>-</v>
          </cell>
          <cell r="H622">
            <v>0.12728392989807899</v>
          </cell>
          <cell r="I622">
            <v>0.13121925090425449</v>
          </cell>
          <cell r="J622">
            <v>0.12059207331475229</v>
          </cell>
        </row>
        <row r="623">
          <cell r="A623" t="str">
            <v>ITOT-SWHLTHDH</v>
          </cell>
          <cell r="B623" t="str">
            <v>VAR_fout</v>
          </cell>
          <cell r="C623" t="str">
            <v>ITOT-SWH</v>
          </cell>
          <cell r="H623">
            <v>7.1660446990794062</v>
          </cell>
          <cell r="I623">
            <v>7.2037549698897054</v>
          </cell>
          <cell r="J623">
            <v>8.7048094863922021</v>
          </cell>
        </row>
        <row r="624">
          <cell r="A624" t="str">
            <v>ITOT-SWHLTHDH</v>
          </cell>
          <cell r="B624" t="str">
            <v>VAR_fin</v>
          </cell>
          <cell r="C624" t="str">
            <v>ITOT_LTH_DH</v>
          </cell>
          <cell r="H624">
            <v>7.6289135773763874</v>
          </cell>
          <cell r="I624">
            <v>7.6288555517915455</v>
          </cell>
          <cell r="J624">
            <v>9.1629573540970579</v>
          </cell>
        </row>
        <row r="625">
          <cell r="A625" t="str">
            <v>ITOT-SWHLTHDH</v>
          </cell>
          <cell r="B625" t="str">
            <v>VAR_fin</v>
          </cell>
          <cell r="C625" t="str">
            <v>ITOTLTHDHC</v>
          </cell>
          <cell r="H625">
            <v>7.1660446990794062</v>
          </cell>
          <cell r="I625">
            <v>7.2037549698897054</v>
          </cell>
          <cell r="J625">
            <v>8.7048094863922021</v>
          </cell>
        </row>
        <row r="626">
          <cell r="A626" t="str">
            <v>ITOT-SWHLTHDH</v>
          </cell>
          <cell r="B626" t="str">
            <v>VAR_ncap</v>
          </cell>
          <cell r="C626" t="str">
            <v>-</v>
          </cell>
          <cell r="H626">
            <v>0.28682704780741902</v>
          </cell>
          <cell r="I626">
            <v>0.33172016480304001</v>
          </cell>
          <cell r="J626">
            <v>0.462134622345242</v>
          </cell>
        </row>
        <row r="627">
          <cell r="A627" t="str">
            <v>ITOT-SWHLTHDH</v>
          </cell>
          <cell r="B627" t="str">
            <v>VAR_cap</v>
          </cell>
          <cell r="C627" t="str">
            <v>-</v>
          </cell>
          <cell r="H627">
            <v>0.59182377861605795</v>
          </cell>
          <cell r="I627">
            <v>0.6369314375360059</v>
          </cell>
          <cell r="J627">
            <v>0.79547215874594857</v>
          </cell>
        </row>
        <row r="628">
          <cell r="A628" t="str">
            <v>RHES-SHCONBR2</v>
          </cell>
          <cell r="B628" t="str">
            <v>VAR_fout</v>
          </cell>
          <cell r="C628" t="str">
            <v>RHES-SHCON</v>
          </cell>
          <cell r="H628">
            <v>1.4193564897209647</v>
          </cell>
          <cell r="I628">
            <v>2.9190845926392779</v>
          </cell>
          <cell r="J628">
            <v>4.6680671901152229</v>
          </cell>
        </row>
        <row r="629">
          <cell r="A629" t="str">
            <v>RHES-SHCONBR2</v>
          </cell>
          <cell r="B629" t="str">
            <v>VAR_fin</v>
          </cell>
          <cell r="C629" t="str">
            <v>CON</v>
          </cell>
          <cell r="H629">
            <v>1.4193564897209647</v>
          </cell>
          <cell r="I629">
            <v>2.9190845926392779</v>
          </cell>
          <cell r="J629">
            <v>4.6680671901152229</v>
          </cell>
        </row>
        <row r="630">
          <cell r="A630" t="str">
            <v>RHES-SHCONBR2</v>
          </cell>
          <cell r="B630" t="str">
            <v>VAR_ncap</v>
          </cell>
          <cell r="C630" t="str">
            <v>-</v>
          </cell>
          <cell r="H630">
            <v>4.8306364982095201E-2</v>
          </cell>
          <cell r="I630">
            <v>0.121160139904377</v>
          </cell>
          <cell r="J630">
            <v>0.17180138385122001</v>
          </cell>
        </row>
        <row r="631">
          <cell r="A631" t="str">
            <v>RHES-SHCONBR2</v>
          </cell>
          <cell r="B631" t="str">
            <v>VAR_cap</v>
          </cell>
          <cell r="C631" t="str">
            <v>-</v>
          </cell>
          <cell r="H631">
            <v>0.11467538944185235</v>
          </cell>
          <cell r="I631">
            <v>0.23583558793839809</v>
          </cell>
          <cell r="J631">
            <v>0.37712634629960773</v>
          </cell>
        </row>
        <row r="632">
          <cell r="A632" t="str">
            <v>ITOT-SWHCONBR4</v>
          </cell>
          <cell r="B632" t="str">
            <v>VAR_fout</v>
          </cell>
          <cell r="C632" t="str">
            <v>ITOT-ELS</v>
          </cell>
          <cell r="H632">
            <v>3.5596406134962333E-5</v>
          </cell>
          <cell r="I632">
            <v>3.7734471183580754E-5</v>
          </cell>
          <cell r="J632">
            <v>3.7712266974323658E-5</v>
          </cell>
        </row>
        <row r="633">
          <cell r="A633" t="str">
            <v>ITOT-SWHCONBR4</v>
          </cell>
          <cell r="B633" t="str">
            <v>VAR_fout</v>
          </cell>
          <cell r="C633" t="str">
            <v>ITOT-SWHC</v>
          </cell>
          <cell r="H633">
            <v>3.8253814665066636E-4</v>
          </cell>
          <cell r="I633">
            <v>4.0551494487057771E-4</v>
          </cell>
          <cell r="J633">
            <v>4.0527632648239411E-4</v>
          </cell>
        </row>
        <row r="634">
          <cell r="A634" t="str">
            <v>ITOT-SWHCONBR4</v>
          </cell>
          <cell r="B634" t="str">
            <v>VAR_fin</v>
          </cell>
          <cell r="C634" t="str">
            <v>CON</v>
          </cell>
          <cell r="H634">
            <v>4.181345527856286E-4</v>
          </cell>
          <cell r="I634">
            <v>4.432494160541583E-4</v>
          </cell>
          <cell r="J634">
            <v>4.4298859345671802E-4</v>
          </cell>
        </row>
        <row r="635">
          <cell r="A635" t="str">
            <v>ITOT-SWHCONBR4</v>
          </cell>
          <cell r="B635" t="str">
            <v>VAR_ncap</v>
          </cell>
          <cell r="C635" t="str">
            <v>-</v>
          </cell>
          <cell r="H635">
            <v>2.1156050871994401E-5</v>
          </cell>
          <cell r="I635">
            <v>2.06378866896443E-6</v>
          </cell>
          <cell r="J635">
            <v>1.2986015769704701E-5</v>
          </cell>
        </row>
        <row r="636">
          <cell r="A636" t="str">
            <v>ITOT-SWHCONBR4</v>
          </cell>
          <cell r="B636" t="str">
            <v>VAR_cap</v>
          </cell>
          <cell r="C636" t="str">
            <v>-</v>
          </cell>
          <cell r="H636">
            <v>2.1156050871994401E-5</v>
          </cell>
          <cell r="I636">
            <v>2.3219839540958799E-5</v>
          </cell>
          <cell r="J636">
            <v>2.3432672755369298E-5</v>
          </cell>
        </row>
        <row r="637">
          <cell r="A637" t="str">
            <v>D-ITOT_NKEV_GAS_ELC_CHP</v>
          </cell>
          <cell r="B637" t="str">
            <v>VAR_fout</v>
          </cell>
          <cell r="C637" t="str">
            <v>ITOT_ELC</v>
          </cell>
          <cell r="H637">
            <v>0.60801237379699091</v>
          </cell>
          <cell r="I637">
            <v>8.9127194935251508E-2</v>
          </cell>
          <cell r="J637">
            <v>0.64064012888901412</v>
          </cell>
        </row>
        <row r="638">
          <cell r="A638" t="str">
            <v>D-ITOT_NKEV_GAS_ELC_CHP</v>
          </cell>
          <cell r="B638" t="str">
            <v>VAR_fout</v>
          </cell>
          <cell r="C638" t="str">
            <v>ELC5</v>
          </cell>
          <cell r="H638">
            <v>2.2805735915115131E-3</v>
          </cell>
          <cell r="I638">
            <v>1.2607182589484739E-2</v>
          </cell>
          <cell r="J638">
            <v>2.9339758473642081E-2</v>
          </cell>
        </row>
        <row r="639">
          <cell r="A639" t="str">
            <v>D-ITOT_NKEV_GAS_ELC_CHP</v>
          </cell>
          <cell r="B639" t="str">
            <v>VAR_fin</v>
          </cell>
          <cell r="C639" t="str">
            <v>ITOT_NKEV_GAS_ELC_CHP</v>
          </cell>
          <cell r="H639">
            <v>0.61029294738850259</v>
          </cell>
          <cell r="I639">
            <v>0.10173437752473621</v>
          </cell>
          <cell r="J639">
            <v>0.66997988736265601</v>
          </cell>
        </row>
        <row r="640">
          <cell r="A640" t="str">
            <v>SCOM-SHELCBR</v>
          </cell>
          <cell r="B640" t="str">
            <v>VAR_fout</v>
          </cell>
          <cell r="C640" t="str">
            <v>SCOM-SHAELCB</v>
          </cell>
          <cell r="H640">
            <v>0.26580391768998241</v>
          </cell>
          <cell r="I640">
            <v>0.21829541766127675</v>
          </cell>
          <cell r="J640">
            <v>0.15816593334679035</v>
          </cell>
        </row>
        <row r="641">
          <cell r="A641" t="str">
            <v>SCOM-SHELCBR</v>
          </cell>
          <cell r="B641" t="str">
            <v>VAR_fin</v>
          </cell>
          <cell r="C641" t="str">
            <v>SCOM_ELC</v>
          </cell>
          <cell r="H641">
            <v>0.53076584679245198</v>
          </cell>
          <cell r="I641">
            <v>0.42925279534874017</v>
          </cell>
          <cell r="J641">
            <v>0.29820072428169281</v>
          </cell>
        </row>
        <row r="642">
          <cell r="A642" t="str">
            <v>SCOM-SHELCBR</v>
          </cell>
          <cell r="B642" t="str">
            <v>VAR_ncap</v>
          </cell>
          <cell r="C642" t="str">
            <v>-</v>
          </cell>
          <cell r="H642">
            <v>1.23489533070185E-2</v>
          </cell>
          <cell r="I642">
            <v>1.03992571485174E-2</v>
          </cell>
          <cell r="J642">
            <v>3.68361992677981E-3</v>
          </cell>
        </row>
        <row r="643">
          <cell r="A643" t="str">
            <v>SCOM-SHELCBR</v>
          </cell>
          <cell r="B643" t="str">
            <v>VAR_cap</v>
          </cell>
          <cell r="C643" t="str">
            <v>-</v>
          </cell>
          <cell r="H643">
            <v>2.2593968163452396E-2</v>
          </cell>
          <cell r="I643">
            <v>2.2747455019180268E-2</v>
          </cell>
          <cell r="J643">
            <v>1.6452983891464098E-2</v>
          </cell>
        </row>
        <row r="644">
          <cell r="A644" t="str">
            <v>RHES-SHCONBR3</v>
          </cell>
          <cell r="B644" t="str">
            <v>VAR_fout</v>
          </cell>
          <cell r="C644" t="str">
            <v>RHES-SHCON</v>
          </cell>
          <cell r="H644">
            <v>0.68896448653041731</v>
          </cell>
          <cell r="I644">
            <v>0.68895787775859307</v>
          </cell>
          <cell r="J644">
            <v>1.847991582706868</v>
          </cell>
        </row>
        <row r="645">
          <cell r="A645" t="str">
            <v>RHES-SHCONBR3</v>
          </cell>
          <cell r="B645" t="str">
            <v>VAR_fin</v>
          </cell>
          <cell r="C645" t="str">
            <v>CON</v>
          </cell>
          <cell r="H645">
            <v>0.68896448653041731</v>
          </cell>
          <cell r="I645">
            <v>0.68895787775859307</v>
          </cell>
          <cell r="J645">
            <v>1.847991582706868</v>
          </cell>
        </row>
        <row r="646">
          <cell r="A646" t="str">
            <v>RHES-SHCONBR3</v>
          </cell>
          <cell r="B646" t="str">
            <v>VAR_ncap</v>
          </cell>
          <cell r="C646" t="str">
            <v>-</v>
          </cell>
          <cell r="H646">
            <v>4.4210707741159798E-8</v>
          </cell>
          <cell r="I646">
            <v>5.8627493716785499E-8</v>
          </cell>
          <cell r="J646">
            <v>0.117184149665542</v>
          </cell>
        </row>
        <row r="647">
          <cell r="A647" t="str">
            <v>RHES-SHCONBR3</v>
          </cell>
          <cell r="B647" t="str">
            <v>VAR_cap</v>
          </cell>
          <cell r="C647" t="str">
            <v>-</v>
          </cell>
          <cell r="H647">
            <v>5.5667944905504745E-2</v>
          </cell>
          <cell r="I647">
            <v>5.5668062177832982E-2</v>
          </cell>
          <cell r="J647">
            <v>0.14929601336823198</v>
          </cell>
        </row>
        <row r="648">
          <cell r="A648" t="str">
            <v>ITOT-SWHCONBR5</v>
          </cell>
          <cell r="B648" t="str">
            <v>VAR_fout</v>
          </cell>
          <cell r="C648" t="str">
            <v>ITOT-ELS</v>
          </cell>
          <cell r="H648">
            <v>6.1500945163370222E-5</v>
          </cell>
          <cell r="I648">
            <v>6.4816270958639881E-5</v>
          </cell>
          <cell r="J648">
            <v>6.4629341032754209E-5</v>
          </cell>
        </row>
        <row r="649">
          <cell r="A649" t="str">
            <v>ITOT-SWHCONBR5</v>
          </cell>
          <cell r="B649" t="str">
            <v>VAR_fout</v>
          </cell>
          <cell r="C649" t="str">
            <v>ITOT-SWHC</v>
          </cell>
          <cell r="H649">
            <v>3.0165453929071614E-4</v>
          </cell>
          <cell r="I649">
            <v>3.1791580279998545E-4</v>
          </cell>
          <cell r="J649">
            <v>3.169989346035227E-4</v>
          </cell>
        </row>
        <row r="650">
          <cell r="A650" t="str">
            <v>ITOT-SWHCONBR5</v>
          </cell>
          <cell r="B650" t="str">
            <v>VAR_fin</v>
          </cell>
          <cell r="C650" t="str">
            <v>CON</v>
          </cell>
          <cell r="H650">
            <v>3.6315548445408654E-4</v>
          </cell>
          <cell r="I650">
            <v>3.8273207375862512E-4</v>
          </cell>
          <cell r="J650">
            <v>3.8162827563627678E-4</v>
          </cell>
        </row>
        <row r="651">
          <cell r="A651" t="str">
            <v>ITOT-SWHCONBR5</v>
          </cell>
          <cell r="B651" t="str">
            <v>VAR_ncap</v>
          </cell>
          <cell r="C651" t="str">
            <v>-</v>
          </cell>
          <cell r="H651">
            <v>1.8387715978285999E-5</v>
          </cell>
          <cell r="I651">
            <v>1.45196372043734E-6</v>
          </cell>
          <cell r="J651">
            <v>1.1252441739403299E-5</v>
          </cell>
        </row>
        <row r="652">
          <cell r="A652" t="str">
            <v>ITOT-SWHCONBR5</v>
          </cell>
          <cell r="B652" t="str">
            <v>VAR_cap</v>
          </cell>
          <cell r="C652" t="str">
            <v>-</v>
          </cell>
          <cell r="H652">
            <v>1.8387715978285999E-5</v>
          </cell>
          <cell r="I652">
            <v>1.9839679698723399E-5</v>
          </cell>
          <cell r="J652">
            <v>2.0084085996012299E-5</v>
          </cell>
        </row>
        <row r="653">
          <cell r="A653" t="str">
            <v>RHES-SHSTG-ELC</v>
          </cell>
          <cell r="B653" t="str">
            <v>VAR_fout</v>
          </cell>
          <cell r="C653" t="str">
            <v>RHES-SHAELCB</v>
          </cell>
          <cell r="H653">
            <v>1.7455216737559788E-3</v>
          </cell>
          <cell r="I653">
            <v>3.478735018368388E-4</v>
          </cell>
          <cell r="J653">
            <v>2.6676726797166591E-4</v>
          </cell>
        </row>
        <row r="654">
          <cell r="A654" t="str">
            <v>RHES-SHSTG-ELC</v>
          </cell>
          <cell r="B654" t="str">
            <v>VAR_fout</v>
          </cell>
          <cell r="C654" t="str">
            <v>AUX_RHES-SHSTG-ELC_OUT</v>
          </cell>
          <cell r="H654">
            <v>1.7472671954297345E-3</v>
          </cell>
          <cell r="I654">
            <v>3.4822137533867552E-4</v>
          </cell>
          <cell r="J654">
            <v>2.6703403523963747E-4</v>
          </cell>
        </row>
        <row r="655">
          <cell r="A655" t="str">
            <v>RHES-SHSTG-ELC</v>
          </cell>
          <cell r="B655" t="str">
            <v>VAR_fin</v>
          </cell>
          <cell r="C655" t="str">
            <v>RHES-SHAELCB</v>
          </cell>
          <cell r="H655">
            <v>1.7459188807972196E-3</v>
          </cell>
          <cell r="I655">
            <v>3.4874265240380836E-4</v>
          </cell>
          <cell r="J655">
            <v>2.6740395938420932E-4</v>
          </cell>
        </row>
        <row r="656">
          <cell r="A656" t="str">
            <v>RHES-SHSTG-ELC</v>
          </cell>
          <cell r="B656" t="str">
            <v>VAR_ncap</v>
          </cell>
          <cell r="C656" t="str">
            <v>-</v>
          </cell>
          <cell r="H656">
            <v>1.8865790821190501E-5</v>
          </cell>
          <cell r="I656">
            <v>5.8044500098208899E-5</v>
          </cell>
          <cell r="J656">
            <v>1.3009099551337501E-5</v>
          </cell>
        </row>
        <row r="657">
          <cell r="A657" t="str">
            <v>RHES-SHSTG-ELC</v>
          </cell>
          <cell r="B657" t="str">
            <v>VAR_cap</v>
          </cell>
          <cell r="C657" t="str">
            <v>-</v>
          </cell>
          <cell r="H657">
            <v>3.552864170181004E-4</v>
          </cell>
          <cell r="I657">
            <v>6.5978040439766699E-5</v>
          </cell>
          <cell r="J657">
            <v>4.7014224566946196E-5</v>
          </cell>
        </row>
        <row r="658">
          <cell r="A658" t="str">
            <v>RHES-SHCONBR4</v>
          </cell>
          <cell r="B658" t="str">
            <v>VAR_fout</v>
          </cell>
          <cell r="C658" t="str">
            <v>RHES-SHCON</v>
          </cell>
          <cell r="H658">
            <v>0.42658175151289457</v>
          </cell>
          <cell r="I658">
            <v>0.42657767919272938</v>
          </cell>
          <cell r="J658">
            <v>0.24665521040497962</v>
          </cell>
        </row>
        <row r="659">
          <cell r="A659" t="str">
            <v>RHES-SHCONBR4</v>
          </cell>
          <cell r="B659" t="str">
            <v>VAR_fin</v>
          </cell>
          <cell r="C659" t="str">
            <v>CON</v>
          </cell>
          <cell r="H659">
            <v>0.42658175151289457</v>
          </cell>
          <cell r="I659">
            <v>0.42657767919272938</v>
          </cell>
          <cell r="J659">
            <v>0.24665521040497962</v>
          </cell>
        </row>
        <row r="660">
          <cell r="A660" t="str">
            <v>RHES-SHCONBR4</v>
          </cell>
          <cell r="B660" t="str">
            <v>VAR_ncap</v>
          </cell>
          <cell r="C660" t="str">
            <v>-</v>
          </cell>
          <cell r="H660">
            <v>2.9642558360965302E-8</v>
          </cell>
          <cell r="I660">
            <v>2.8968457951943101E-8</v>
          </cell>
          <cell r="J660">
            <v>1.50957577416515E-7</v>
          </cell>
        </row>
        <row r="661">
          <cell r="A661" t="str">
            <v>RHES-SHCONBR4</v>
          </cell>
          <cell r="B661" t="str">
            <v>VAR_cap</v>
          </cell>
          <cell r="C661" t="str">
            <v>-</v>
          </cell>
          <cell r="H661">
            <v>3.4470587942886294E-2</v>
          </cell>
          <cell r="I661">
            <v>3.447063358555312E-2</v>
          </cell>
          <cell r="J661">
            <v>1.9927721786029778E-2</v>
          </cell>
        </row>
        <row r="662">
          <cell r="A662" t="str">
            <v>ITOT-SWHCONBR6</v>
          </cell>
          <cell r="B662" t="str">
            <v>VAR_fout</v>
          </cell>
          <cell r="C662" t="str">
            <v>ITOT-SWHC</v>
          </cell>
          <cell r="I662">
            <v>2.6474149830372535E-4</v>
          </cell>
          <cell r="J662">
            <v>2.6310742306856152E-4</v>
          </cell>
        </row>
        <row r="663">
          <cell r="A663" t="str">
            <v>ITOT-SWHCONBR6</v>
          </cell>
          <cell r="B663" t="str">
            <v>VAR_fin</v>
          </cell>
          <cell r="C663" t="str">
            <v>CON</v>
          </cell>
          <cell r="I663">
            <v>2.6474149830372535E-4</v>
          </cell>
          <cell r="J663">
            <v>2.6310742306856152E-4</v>
          </cell>
        </row>
        <row r="664">
          <cell r="A664" t="str">
            <v>ITOT-SWHCONBR6</v>
          </cell>
          <cell r="B664" t="str">
            <v>VAR_ncap</v>
          </cell>
          <cell r="C664" t="str">
            <v>-</v>
          </cell>
          <cell r="I664">
            <v>1.34495909090187E-5</v>
          </cell>
          <cell r="J664">
            <v>3.8099228583120298E-6</v>
          </cell>
        </row>
        <row r="665">
          <cell r="A665" t="str">
            <v>ITOT-SWHCONBR6</v>
          </cell>
          <cell r="B665" t="str">
            <v>VAR_cap</v>
          </cell>
          <cell r="C665" t="str">
            <v>-</v>
          </cell>
          <cell r="I665">
            <v>1.34495909090187E-5</v>
          </cell>
          <cell r="J665">
            <v>1.3570741863401201E-5</v>
          </cell>
        </row>
        <row r="666">
          <cell r="A666" t="str">
            <v>RHNM-SHNGAHP</v>
          </cell>
          <cell r="B666" t="str">
            <v>VAR_fout</v>
          </cell>
          <cell r="C666" t="str">
            <v>CO2_R</v>
          </cell>
          <cell r="H666">
            <v>27.871730151981801</v>
          </cell>
          <cell r="I666">
            <v>34.250790449770001</v>
          </cell>
          <cell r="J666">
            <v>39.483731430082301</v>
          </cell>
        </row>
        <row r="667">
          <cell r="A667" t="str">
            <v>RHNM-SHNGAHP</v>
          </cell>
          <cell r="B667" t="str">
            <v>VAR_fout</v>
          </cell>
          <cell r="C667" t="str">
            <v>RHNM-SHANGAH</v>
          </cell>
          <cell r="H667">
            <v>1.0007626607377729</v>
          </cell>
          <cell r="I667">
            <v>1.2482754494563779</v>
          </cell>
          <cell r="J667">
            <v>1.4840228661041541</v>
          </cell>
        </row>
        <row r="668">
          <cell r="A668" t="str">
            <v>RHNM-SHNGAHP</v>
          </cell>
          <cell r="B668" t="str">
            <v>VAR_fin</v>
          </cell>
          <cell r="C668" t="str">
            <v>RNGA</v>
          </cell>
          <cell r="H668">
            <v>0.49417961262379145</v>
          </cell>
          <cell r="I668">
            <v>0.60728351861294361</v>
          </cell>
          <cell r="J668">
            <v>0.70006616010784151</v>
          </cell>
        </row>
        <row r="669">
          <cell r="A669" t="str">
            <v>RHNM-SHNGAHP</v>
          </cell>
          <cell r="B669" t="str">
            <v>VAR_fin</v>
          </cell>
          <cell r="C669" t="str">
            <v>RHNMELCHPC</v>
          </cell>
          <cell r="H669">
            <v>1.0007626607377729</v>
          </cell>
          <cell r="I669">
            <v>1.2482754494563779</v>
          </cell>
          <cell r="J669">
            <v>1.4840228661041541</v>
          </cell>
        </row>
        <row r="670">
          <cell r="A670" t="str">
            <v>RHNM-SHNGAHP</v>
          </cell>
          <cell r="B670" t="str">
            <v>VAR_ncap</v>
          </cell>
          <cell r="C670" t="str">
            <v>-</v>
          </cell>
          <cell r="H670">
            <v>2.3003851517122E-2</v>
          </cell>
          <cell r="I670">
            <v>4.8515551482527501E-2</v>
          </cell>
          <cell r="J670">
            <v>7.0613203269274505E-2</v>
          </cell>
        </row>
        <row r="671">
          <cell r="A671" t="str">
            <v>RHNM-SHNGAHP</v>
          </cell>
          <cell r="B671" t="str">
            <v>VAR_cap</v>
          </cell>
          <cell r="C671" t="str">
            <v>-</v>
          </cell>
          <cell r="H671">
            <v>7.7710903994516287E-2</v>
          </cell>
          <cell r="I671">
            <v>9.8351970227745625E-2</v>
          </cell>
          <cell r="J671">
            <v>0.11555293452219341</v>
          </cell>
        </row>
        <row r="672">
          <cell r="A672" t="str">
            <v>D-SCOM_KEV_WOD_ELC_CHP</v>
          </cell>
          <cell r="B672" t="str">
            <v>VAR_fout</v>
          </cell>
          <cell r="C672" t="str">
            <v>ELC5</v>
          </cell>
          <cell r="H672">
            <v>4.6220815846758641E-4</v>
          </cell>
          <cell r="I672">
            <v>3.0860633085413603E-4</v>
          </cell>
          <cell r="J672">
            <v>1.2584641449388994E-4</v>
          </cell>
        </row>
        <row r="673">
          <cell r="A673" t="str">
            <v>D-SCOM_KEV_WOD_ELC_CHP</v>
          </cell>
          <cell r="B673" t="str">
            <v>VAR_fout</v>
          </cell>
          <cell r="C673" t="str">
            <v>SCOM_ELC</v>
          </cell>
          <cell r="H673">
            <v>1.0234621823622455E-3</v>
          </cell>
          <cell r="I673">
            <v>5.0020646638170062E-4</v>
          </cell>
          <cell r="J673">
            <v>1.7089358839213756E-4</v>
          </cell>
        </row>
        <row r="674">
          <cell r="A674" t="str">
            <v>D-SCOM_KEV_WOD_ELC_CHP</v>
          </cell>
          <cell r="B674" t="str">
            <v>VAR_fin</v>
          </cell>
          <cell r="C674" t="str">
            <v>SCOM_KEV_WOD_ELC_CHP</v>
          </cell>
          <cell r="H674">
            <v>1.4677601603052179E-3</v>
          </cell>
          <cell r="I674">
            <v>7.9379502945826951E-4</v>
          </cell>
          <cell r="J674">
            <v>2.8509040080241323E-4</v>
          </cell>
        </row>
        <row r="675">
          <cell r="A675" t="str">
            <v>RHES-SHCONBR5</v>
          </cell>
          <cell r="B675" t="str">
            <v>VAR_fout</v>
          </cell>
          <cell r="C675" t="str">
            <v>RHES-SHCON</v>
          </cell>
          <cell r="H675">
            <v>4.3195421593476542E-4</v>
          </cell>
          <cell r="I675">
            <v>4.347170928607325E-4</v>
          </cell>
          <cell r="J675">
            <v>2.7345351334484238E-4</v>
          </cell>
        </row>
        <row r="676">
          <cell r="A676" t="str">
            <v>RHES-SHCONBR5</v>
          </cell>
          <cell r="B676" t="str">
            <v>VAR_fin</v>
          </cell>
          <cell r="C676" t="str">
            <v>CON</v>
          </cell>
          <cell r="H676">
            <v>4.3195421593476542E-4</v>
          </cell>
          <cell r="I676">
            <v>4.347170928607325E-4</v>
          </cell>
          <cell r="J676">
            <v>2.7345351334484238E-4</v>
          </cell>
        </row>
        <row r="677">
          <cell r="A677" t="str">
            <v>RHES-SHCONBR5</v>
          </cell>
          <cell r="B677" t="str">
            <v>VAR_ncap</v>
          </cell>
          <cell r="C677" t="str">
            <v>-</v>
          </cell>
          <cell r="H677">
            <v>2.2411290027889501E-8</v>
          </cell>
          <cell r="I677">
            <v>2.0952040659608899E-8</v>
          </cell>
          <cell r="J677">
            <v>5.9676574663547799E-8</v>
          </cell>
        </row>
        <row r="678">
          <cell r="A678" t="str">
            <v>RHES-SHCONBR5</v>
          </cell>
          <cell r="B678" t="str">
            <v>VAR_cap</v>
          </cell>
          <cell r="C678" t="str">
            <v>-</v>
          </cell>
          <cell r="H678">
            <v>3.8020019003766651E-5</v>
          </cell>
          <cell r="I678">
            <v>3.8041441675755415E-5</v>
          </cell>
          <cell r="J678">
            <v>2.2108415962842928E-5</v>
          </cell>
        </row>
        <row r="679">
          <cell r="A679" t="str">
            <v>RHNS-SHCONBR</v>
          </cell>
          <cell r="B679" t="str">
            <v>VAR_fout</v>
          </cell>
          <cell r="C679" t="str">
            <v>RHNS-SHCON</v>
          </cell>
          <cell r="H679">
            <v>1.0025886884125021E-3</v>
          </cell>
          <cell r="I679">
            <v>3.96440879539186E-3</v>
          </cell>
          <cell r="J679">
            <v>5.7632283694270909E-3</v>
          </cell>
        </row>
        <row r="680">
          <cell r="A680" t="str">
            <v>RHNS-SHCONBR</v>
          </cell>
          <cell r="B680" t="str">
            <v>VAR_fin</v>
          </cell>
          <cell r="C680" t="str">
            <v>CON</v>
          </cell>
          <cell r="H680">
            <v>1.0025886884125021E-3</v>
          </cell>
          <cell r="I680">
            <v>3.96440879539186E-3</v>
          </cell>
          <cell r="J680">
            <v>5.7632283694270909E-3</v>
          </cell>
        </row>
        <row r="681">
          <cell r="A681" t="str">
            <v>RHNS-SHCONBR</v>
          </cell>
          <cell r="B681" t="str">
            <v>VAR_ncap</v>
          </cell>
          <cell r="C681" t="str">
            <v>-</v>
          </cell>
          <cell r="H681">
            <v>4.7445459522111203E-6</v>
          </cell>
          <cell r="I681">
            <v>2.1617103084651799E-4</v>
          </cell>
          <cell r="J681">
            <v>1.3121905263536801E-4</v>
          </cell>
        </row>
        <row r="682">
          <cell r="A682" t="str">
            <v>RHNS-SHCONBR</v>
          </cell>
          <cell r="B682" t="str">
            <v>VAR_cap</v>
          </cell>
          <cell r="C682" t="str">
            <v>-</v>
          </cell>
          <cell r="H682">
            <v>7.0858660609314598E-5</v>
          </cell>
          <cell r="I682">
            <v>2.8702197834459445E-4</v>
          </cell>
          <cell r="J682">
            <v>4.1829579494854E-4</v>
          </cell>
        </row>
        <row r="683">
          <cell r="A683" t="str">
            <v>D-RHEM_SOLELC</v>
          </cell>
          <cell r="B683" t="str">
            <v>VAR_fout</v>
          </cell>
          <cell r="C683" t="str">
            <v>ELC5</v>
          </cell>
          <cell r="H683">
            <v>7.6588571694891409E-4</v>
          </cell>
          <cell r="I683">
            <v>2.2408230482060566E-3</v>
          </cell>
          <cell r="J683">
            <v>8.1821288406316584E-3</v>
          </cell>
        </row>
        <row r="684">
          <cell r="A684" t="str">
            <v>D-RHEM_SOLELC</v>
          </cell>
          <cell r="B684" t="str">
            <v>VAR_fout</v>
          </cell>
          <cell r="C684" t="str">
            <v>RHEM_ELC</v>
          </cell>
          <cell r="H684">
            <v>3.0086188442613264</v>
          </cell>
          <cell r="I684">
            <v>3.1445842502992614</v>
          </cell>
          <cell r="J684">
            <v>3.4482156511791771</v>
          </cell>
        </row>
        <row r="685">
          <cell r="A685" t="str">
            <v>D-RHEM_SOLELC</v>
          </cell>
          <cell r="B685" t="str">
            <v>VAR_fin</v>
          </cell>
          <cell r="C685" t="str">
            <v>RHEM_SOL_ELC</v>
          </cell>
          <cell r="H685">
            <v>3.009384729978275</v>
          </cell>
          <cell r="I685">
            <v>3.1468250733474683</v>
          </cell>
          <cell r="J685">
            <v>3.45639778001981</v>
          </cell>
        </row>
        <row r="686">
          <cell r="A686" t="str">
            <v>ITOT-SWHCONBR7</v>
          </cell>
          <cell r="B686" t="str">
            <v>VAR_fout</v>
          </cell>
          <cell r="C686" t="str">
            <v>ITOT-ELS</v>
          </cell>
          <cell r="J686">
            <v>3.0256772976454898E-4</v>
          </cell>
        </row>
        <row r="687">
          <cell r="A687" t="str">
            <v>ITOT-SWHCONBR7</v>
          </cell>
          <cell r="B687" t="str">
            <v>VAR_fout</v>
          </cell>
          <cell r="C687" t="str">
            <v>ITOT-SWHC</v>
          </cell>
          <cell r="J687">
            <v>5.2761050024335536E-5</v>
          </cell>
        </row>
        <row r="688">
          <cell r="A688" t="str">
            <v>ITOT-SWHCONBR7</v>
          </cell>
          <cell r="B688" t="str">
            <v>VAR_fin</v>
          </cell>
          <cell r="C688" t="str">
            <v>CON</v>
          </cell>
          <cell r="J688">
            <v>3.5532877978888448E-4</v>
          </cell>
        </row>
        <row r="689">
          <cell r="A689" t="str">
            <v>ITOT-SWHCONBR7</v>
          </cell>
          <cell r="B689" t="str">
            <v>VAR_ncap</v>
          </cell>
          <cell r="C689" t="str">
            <v>-</v>
          </cell>
          <cell r="J689">
            <v>1.8683703821383801E-5</v>
          </cell>
        </row>
        <row r="690">
          <cell r="A690" t="str">
            <v>ITOT-SWHCONBR7</v>
          </cell>
          <cell r="B690" t="str">
            <v>VAR_cap</v>
          </cell>
          <cell r="C690" t="str">
            <v>-</v>
          </cell>
          <cell r="J690">
            <v>1.8683703821383801E-5</v>
          </cell>
        </row>
        <row r="691">
          <cell r="A691" t="str">
            <v>RHNS-SHSTG-ELCHP</v>
          </cell>
          <cell r="B691" t="str">
            <v>VAR_fout</v>
          </cell>
          <cell r="C691" t="str">
            <v>RHNS-SHAELCH</v>
          </cell>
          <cell r="H691">
            <v>0.23697161479290113</v>
          </cell>
          <cell r="I691">
            <v>0.27578776381542303</v>
          </cell>
          <cell r="J691">
            <v>0.40759560780353715</v>
          </cell>
        </row>
        <row r="692">
          <cell r="A692" t="str">
            <v>RHNS-SHSTG-ELCHP</v>
          </cell>
          <cell r="B692" t="str">
            <v>VAR_fout</v>
          </cell>
          <cell r="C692" t="str">
            <v>AUX_RHNS-SHSTG-ELCHP_OUT</v>
          </cell>
          <cell r="H692">
            <v>0.23720858640769393</v>
          </cell>
          <cell r="I692">
            <v>0.27606355157923856</v>
          </cell>
          <cell r="J692">
            <v>0.40800320341134066</v>
          </cell>
        </row>
        <row r="693">
          <cell r="A693" t="str">
            <v>RHNS-SHSTG-ELCHP</v>
          </cell>
          <cell r="B693" t="str">
            <v>VAR_fin</v>
          </cell>
          <cell r="C693" t="str">
            <v>RHNS-SHAELCH</v>
          </cell>
          <cell r="H693">
            <v>0.2369744851582678</v>
          </cell>
          <cell r="I693">
            <v>0.27579321714242966</v>
          </cell>
          <cell r="J693">
            <v>0.40760125499188993</v>
          </cell>
        </row>
        <row r="694">
          <cell r="A694" t="str">
            <v>RHNS-SHSTG-ELCHP</v>
          </cell>
          <cell r="B694" t="str">
            <v>VAR_ncap</v>
          </cell>
          <cell r="C694" t="str">
            <v>-</v>
          </cell>
          <cell r="H694">
            <v>7.1442374465328102E-3</v>
          </cell>
          <cell r="I694">
            <v>1.91477002710163E-2</v>
          </cell>
          <cell r="J694">
            <v>2.49150510215649E-2</v>
          </cell>
        </row>
        <row r="695">
          <cell r="A695" t="str">
            <v>RHNS-SHSTG-ELCHP</v>
          </cell>
          <cell r="B695" t="str">
            <v>VAR_cap</v>
          </cell>
          <cell r="C695" t="str">
            <v>-</v>
          </cell>
          <cell r="H695">
            <v>2.8499182149995996E-2</v>
          </cell>
          <cell r="I695">
            <v>3.390497903224083E-2</v>
          </cell>
          <cell r="J695">
            <v>4.1806883121427801E-2</v>
          </cell>
        </row>
        <row r="696">
          <cell r="A696" t="str">
            <v>RHNS-SHSOLBR</v>
          </cell>
          <cell r="B696" t="str">
            <v>VAR_fout</v>
          </cell>
          <cell r="C696" t="str">
            <v>RHNS-SHASOL</v>
          </cell>
          <cell r="H696">
            <v>2.6896391697438861E-4</v>
          </cell>
          <cell r="I696">
            <v>2.9222282985656424E-4</v>
          </cell>
          <cell r="J696">
            <v>5.3939368158102013E-4</v>
          </cell>
        </row>
        <row r="697">
          <cell r="A697" t="str">
            <v>RHNS-SHSOLBR</v>
          </cell>
          <cell r="B697" t="str">
            <v>VAR_fin</v>
          </cell>
          <cell r="C697" t="str">
            <v>SOL</v>
          </cell>
          <cell r="H697">
            <v>2.6896391697438861E-4</v>
          </cell>
          <cell r="I697">
            <v>2.9222282985656424E-4</v>
          </cell>
          <cell r="J697">
            <v>5.3939368158102013E-4</v>
          </cell>
        </row>
        <row r="698">
          <cell r="A698" t="str">
            <v>RHNS-SHSOLBR</v>
          </cell>
          <cell r="B698" t="str">
            <v>VAR_ncap</v>
          </cell>
          <cell r="C698" t="str">
            <v>-</v>
          </cell>
          <cell r="H698">
            <v>3.0345487648271202E-5</v>
          </cell>
          <cell r="I698">
            <v>8.3927100596192696E-5</v>
          </cell>
          <cell r="J698">
            <v>5.6499264368127401E-5</v>
          </cell>
        </row>
        <row r="699">
          <cell r="A699" t="str">
            <v>RHNS-SHSOLBR</v>
          </cell>
          <cell r="B699" t="str">
            <v>VAR_cap</v>
          </cell>
          <cell r="C699" t="str">
            <v>-</v>
          </cell>
          <cell r="H699">
            <v>4.4220256918118194E-4</v>
          </cell>
          <cell r="I699">
            <v>1.1653613739074103E-4</v>
          </cell>
          <cell r="J699">
            <v>1.300995590269927E-4</v>
          </cell>
        </row>
        <row r="700">
          <cell r="A700" t="str">
            <v>RHES-SHPLTBR</v>
          </cell>
          <cell r="B700" t="str">
            <v>VAR_fout</v>
          </cell>
          <cell r="C700" t="str">
            <v>RHES-SHPLT</v>
          </cell>
          <cell r="H700">
            <v>4.4043505433844068E-2</v>
          </cell>
          <cell r="I700">
            <v>4.9637692149774516E-2</v>
          </cell>
          <cell r="J700">
            <v>4.4573877921876399E-2</v>
          </cell>
        </row>
        <row r="701">
          <cell r="A701" t="str">
            <v>RHES-SHPLTBR</v>
          </cell>
          <cell r="B701" t="str">
            <v>VAR_fin</v>
          </cell>
          <cell r="C701" t="str">
            <v>RPLT</v>
          </cell>
          <cell r="H701">
            <v>5.9217668310809969E-2</v>
          </cell>
          <cell r="I701">
            <v>6.608733294623792E-2</v>
          </cell>
          <cell r="J701">
            <v>5.8261938424709996E-2</v>
          </cell>
        </row>
        <row r="702">
          <cell r="A702" t="str">
            <v>RHES-SHPLTBR</v>
          </cell>
          <cell r="B702" t="str">
            <v>VAR_ncap</v>
          </cell>
          <cell r="C702" t="str">
            <v>-</v>
          </cell>
          <cell r="H702">
            <v>7.2392872112331599E-4</v>
          </cell>
          <cell r="I702">
            <v>3.3470896561736299E-3</v>
          </cell>
          <cell r="J702">
            <v>8.7398971473481401E-4</v>
          </cell>
        </row>
        <row r="703">
          <cell r="A703" t="str">
            <v>RHES-SHPLTBR</v>
          </cell>
          <cell r="B703" t="str">
            <v>VAR_cap</v>
          </cell>
          <cell r="C703" t="str">
            <v>-</v>
          </cell>
          <cell r="H703">
            <v>3.5727158821975344E-3</v>
          </cell>
          <cell r="I703">
            <v>4.0710523876811506E-3</v>
          </cell>
          <cell r="J703">
            <v>3.6092347192616847E-3</v>
          </cell>
        </row>
        <row r="704">
          <cell r="A704" t="str">
            <v>RHES-SHCONBR6</v>
          </cell>
          <cell r="B704" t="str">
            <v>VAR_fout</v>
          </cell>
          <cell r="C704" t="str">
            <v>RHES-SHCON</v>
          </cell>
          <cell r="H704">
            <v>1.2894992702444186E-4</v>
          </cell>
          <cell r="I704">
            <v>1.2789793400071244E-4</v>
          </cell>
          <cell r="J704">
            <v>8.6151791687867277E-5</v>
          </cell>
        </row>
        <row r="705">
          <cell r="A705" t="str">
            <v>RHES-SHCONBR6</v>
          </cell>
          <cell r="B705" t="str">
            <v>VAR_fin</v>
          </cell>
          <cell r="C705" t="str">
            <v>CON</v>
          </cell>
          <cell r="H705">
            <v>1.2894992702444186E-4</v>
          </cell>
          <cell r="I705">
            <v>1.2789793400071244E-4</v>
          </cell>
          <cell r="J705">
            <v>8.6151791687867277E-5</v>
          </cell>
        </row>
        <row r="706">
          <cell r="A706" t="str">
            <v>RHES-SHCONBR6</v>
          </cell>
          <cell r="B706" t="str">
            <v>VAR_ncap</v>
          </cell>
          <cell r="C706" t="str">
            <v>-</v>
          </cell>
          <cell r="H706">
            <v>1.85978597511844E-8</v>
          </cell>
          <cell r="I706">
            <v>1.6705650157622401E-8</v>
          </cell>
          <cell r="J706">
            <v>3.2618049095257802E-8</v>
          </cell>
        </row>
        <row r="707">
          <cell r="A707" t="str">
            <v>RHES-SHCONBR6</v>
          </cell>
          <cell r="B707" t="str">
            <v>VAR_cap</v>
          </cell>
          <cell r="C707" t="str">
            <v>-</v>
          </cell>
          <cell r="H707">
            <v>1.0641344301663493E-5</v>
          </cell>
          <cell r="I707">
            <v>1.0651196583053443E-5</v>
          </cell>
          <cell r="J707">
            <v>6.2372463127045684E-6</v>
          </cell>
        </row>
        <row r="708">
          <cell r="A708" t="str">
            <v>RHSA-WHPLTBR</v>
          </cell>
          <cell r="B708" t="str">
            <v>VAR_fout</v>
          </cell>
          <cell r="C708" t="str">
            <v>RHSA-WHPLT</v>
          </cell>
          <cell r="H708">
            <v>0.11492922705253844</v>
          </cell>
          <cell r="I708">
            <v>0.13335671891596032</v>
          </cell>
          <cell r="J708">
            <v>0.13376884823391635</v>
          </cell>
        </row>
        <row r="709">
          <cell r="A709" t="str">
            <v>RHSA-WHPLTBR</v>
          </cell>
          <cell r="B709" t="str">
            <v>VAR_fin</v>
          </cell>
          <cell r="C709" t="str">
            <v>RPLT</v>
          </cell>
          <cell r="H709">
            <v>0.24448541289799838</v>
          </cell>
          <cell r="I709">
            <v>0.27697853294341174</v>
          </cell>
          <cell r="J709">
            <v>0.26730947432479291</v>
          </cell>
        </row>
        <row r="710">
          <cell r="A710" t="str">
            <v>RHSA-WHPLTBR</v>
          </cell>
          <cell r="B710" t="str">
            <v>VAR_ncap</v>
          </cell>
          <cell r="C710" t="str">
            <v>-</v>
          </cell>
          <cell r="H710">
            <v>4.5209485079064403E-3</v>
          </cell>
          <cell r="I710">
            <v>4.6037147982208298E-3</v>
          </cell>
          <cell r="J710">
            <v>3.8964775084948198E-3</v>
          </cell>
        </row>
        <row r="711">
          <cell r="A711" t="str">
            <v>RHSA-WHPLTBR</v>
          </cell>
          <cell r="B711" t="str">
            <v>VAR_cap</v>
          </cell>
          <cell r="C711" t="str">
            <v>-</v>
          </cell>
          <cell r="H711">
            <v>7.8668565743346131E-3</v>
          </cell>
          <cell r="I711">
            <v>9.1248540543654444E-3</v>
          </cell>
          <cell r="J711">
            <v>9.1497597558749741E-3</v>
          </cell>
        </row>
        <row r="712">
          <cell r="A712" t="str">
            <v>ITOT-SWHCONBR8</v>
          </cell>
          <cell r="B712" t="str">
            <v>VAR_fout</v>
          </cell>
          <cell r="C712" t="str">
            <v>ITOT-ELS</v>
          </cell>
          <cell r="J712">
            <v>3.9815658051112127E-5</v>
          </cell>
        </row>
        <row r="713">
          <cell r="A713" t="str">
            <v>ITOT-SWHCONBR8</v>
          </cell>
          <cell r="B713" t="str">
            <v>VAR_fout</v>
          </cell>
          <cell r="C713" t="str">
            <v>ITOT-SWHC</v>
          </cell>
          <cell r="J713">
            <v>1.5372908125800788E-4</v>
          </cell>
        </row>
        <row r="714">
          <cell r="A714" t="str">
            <v>ITOT-SWHCONBR8</v>
          </cell>
          <cell r="B714" t="str">
            <v>VAR_fin</v>
          </cell>
          <cell r="C714" t="str">
            <v>CON</v>
          </cell>
          <cell r="J714">
            <v>1.9354473930911979E-4</v>
          </cell>
        </row>
        <row r="715">
          <cell r="A715" t="str">
            <v>ITOT-SWHCONBR8</v>
          </cell>
          <cell r="B715" t="str">
            <v>VAR_ncap</v>
          </cell>
          <cell r="C715" t="str">
            <v>-</v>
          </cell>
          <cell r="J715">
            <v>9.6604740136113695E-6</v>
          </cell>
        </row>
        <row r="716">
          <cell r="A716" t="str">
            <v>ITOT-SWHCONBR8</v>
          </cell>
          <cell r="B716" t="str">
            <v>VAR_cap</v>
          </cell>
          <cell r="C716" t="str">
            <v>-</v>
          </cell>
          <cell r="J716">
            <v>9.6604740136113695E-6</v>
          </cell>
        </row>
        <row r="717">
          <cell r="A717" t="str">
            <v>D-SCOM_KEV_HFC_ELC_CHP</v>
          </cell>
          <cell r="B717" t="str">
            <v>VAR_fout</v>
          </cell>
          <cell r="C717" t="str">
            <v>ELC5</v>
          </cell>
          <cell r="H717">
            <v>5.9877857376701329E-4</v>
          </cell>
          <cell r="I717">
            <v>6.6577073004500003E-4</v>
          </cell>
          <cell r="J717">
            <v>4.0000172265345496E-4</v>
          </cell>
        </row>
        <row r="718">
          <cell r="A718" t="str">
            <v>D-SCOM_KEV_HFC_ELC_CHP</v>
          </cell>
          <cell r="B718" t="str">
            <v>VAR_fout</v>
          </cell>
          <cell r="C718" t="str">
            <v>SCOM_ELC</v>
          </cell>
          <cell r="H718">
            <v>2.3551317504474732E-3</v>
          </cell>
          <cell r="I718">
            <v>8.569619166344758E-3</v>
          </cell>
          <cell r="J718">
            <v>5.4582162260164366E-3</v>
          </cell>
        </row>
        <row r="719">
          <cell r="A719" t="str">
            <v>D-SCOM_KEV_HFC_ELC_CHP</v>
          </cell>
          <cell r="B719" t="str">
            <v>VAR_fin</v>
          </cell>
          <cell r="C719" t="str">
            <v>SCOM_KEV_HFC_ELC_CHP</v>
          </cell>
          <cell r="H719">
            <v>2.9379183745544867E-3</v>
          </cell>
          <cell r="I719">
            <v>9.2252457249678479E-3</v>
          </cell>
          <cell r="J719">
            <v>5.8481806126494664E-3</v>
          </cell>
        </row>
        <row r="720">
          <cell r="A720" t="str">
            <v>D-EH2R</v>
          </cell>
          <cell r="B720" t="str">
            <v>VAR_fout</v>
          </cell>
          <cell r="C720" t="str">
            <v>EH2</v>
          </cell>
          <cell r="I720">
            <v>2.1202293647413022E-3</v>
          </cell>
          <cell r="J720">
            <v>5.9556467202220393E-3</v>
          </cell>
        </row>
        <row r="721">
          <cell r="A721" t="str">
            <v>D-EH2R</v>
          </cell>
          <cell r="B721" t="str">
            <v>VAR_fin</v>
          </cell>
          <cell r="C721" t="str">
            <v>H2</v>
          </cell>
          <cell r="I721">
            <v>2.1202293647413022E-3</v>
          </cell>
          <cell r="J721">
            <v>5.9556467202220393E-3</v>
          </cell>
        </row>
        <row r="722">
          <cell r="A722" t="str">
            <v>D-EH2R</v>
          </cell>
          <cell r="B722" t="str">
            <v>VAR_ncap</v>
          </cell>
          <cell r="C722" t="str">
            <v>-</v>
          </cell>
          <cell r="H722">
            <v>7.88933347006373E-7</v>
          </cell>
          <cell r="I722">
            <v>2.6197626232649503E-4</v>
          </cell>
          <cell r="J722">
            <v>3.60539959772143E-4</v>
          </cell>
        </row>
        <row r="723">
          <cell r="A723" t="str">
            <v>D-EH2R</v>
          </cell>
          <cell r="B723" t="str">
            <v>VAR_cap</v>
          </cell>
          <cell r="C723" t="str">
            <v>-</v>
          </cell>
          <cell r="H723">
            <v>7.88933347006373E-7</v>
          </cell>
          <cell r="I723">
            <v>2.6211599971824102E-4</v>
          </cell>
          <cell r="J723">
            <v>4.5027239576163699E-4</v>
          </cell>
        </row>
        <row r="724">
          <cell r="A724" t="str">
            <v>SCOM-ELCSPECADV</v>
          </cell>
          <cell r="B724" t="str">
            <v>VAR_fout</v>
          </cell>
          <cell r="C724" t="str">
            <v>SCOM-ELS</v>
          </cell>
          <cell r="H724">
            <v>9.5334080001560082</v>
          </cell>
          <cell r="I724">
            <v>11.67069596679822</v>
          </cell>
          <cell r="J724">
            <v>15.078227896631205</v>
          </cell>
        </row>
        <row r="725">
          <cell r="A725" t="str">
            <v>SCOM-ELCSPECADV</v>
          </cell>
          <cell r="B725" t="str">
            <v>VAR_fin</v>
          </cell>
          <cell r="C725" t="str">
            <v>SCOM_ELC</v>
          </cell>
          <cell r="H725">
            <v>6.355605333437345</v>
          </cell>
          <cell r="I725">
            <v>7.7804639778654812</v>
          </cell>
          <cell r="J725">
            <v>10.052151931087472</v>
          </cell>
        </row>
        <row r="726">
          <cell r="A726" t="str">
            <v>SCOM-ELCSPECADV</v>
          </cell>
          <cell r="B726" t="str">
            <v>VAR_ncap</v>
          </cell>
          <cell r="C726" t="str">
            <v>-</v>
          </cell>
          <cell r="H726">
            <v>0.24625107275836</v>
          </cell>
          <cell r="I726">
            <v>0.22590994084039501</v>
          </cell>
          <cell r="J726">
            <v>0.62762061740165398</v>
          </cell>
        </row>
        <row r="727">
          <cell r="A727" t="str">
            <v>SCOM-ELCSPECADV</v>
          </cell>
          <cell r="B727" t="str">
            <v>VAR_cap</v>
          </cell>
          <cell r="C727" t="str">
            <v>-</v>
          </cell>
          <cell r="H727">
            <v>1.0076742690806197</v>
          </cell>
          <cell r="I727">
            <v>1.2335840854436675</v>
          </cell>
          <cell r="J727">
            <v>1.5937580287794229</v>
          </cell>
        </row>
        <row r="728">
          <cell r="A728" t="str">
            <v>RHSA-WHLTHRD</v>
          </cell>
          <cell r="B728" t="str">
            <v>VAR_fout</v>
          </cell>
          <cell r="C728" t="str">
            <v>RHSA-WHLTHRD</v>
          </cell>
          <cell r="H728">
            <v>1.6912553205035694</v>
          </cell>
          <cell r="I728">
            <v>1.967819396920182</v>
          </cell>
          <cell r="J728">
            <v>2.1739227913511328</v>
          </cell>
        </row>
        <row r="729">
          <cell r="A729" t="str">
            <v>RHSA-WHLTHRD</v>
          </cell>
          <cell r="B729" t="str">
            <v>VAR_fin</v>
          </cell>
          <cell r="C729" t="str">
            <v>RHSA_LTH</v>
          </cell>
          <cell r="H729">
            <v>2.9820661648770983</v>
          </cell>
          <cell r="I729">
            <v>3.4241104349394642</v>
          </cell>
          <cell r="J729">
            <v>3.6972287900620167</v>
          </cell>
        </row>
        <row r="730">
          <cell r="A730" t="str">
            <v>RHSA-WHLTHRD</v>
          </cell>
          <cell r="B730" t="str">
            <v>VAR_ncap</v>
          </cell>
          <cell r="C730" t="str">
            <v>-</v>
          </cell>
          <cell r="H730">
            <v>6.9929700654428301E-2</v>
          </cell>
          <cell r="I730">
            <v>0.101145119529278</v>
          </cell>
          <cell r="J730">
            <v>5.6464225469184698E-2</v>
          </cell>
        </row>
        <row r="731">
          <cell r="A731" t="str">
            <v>RHSA-WHLTHRD</v>
          </cell>
          <cell r="B731" t="str">
            <v>VAR_cap</v>
          </cell>
          <cell r="C731" t="str">
            <v>-</v>
          </cell>
          <cell r="H731">
            <v>0.15901849728089398</v>
          </cell>
          <cell r="I731">
            <v>0.23210674834290199</v>
          </cell>
          <cell r="J731">
            <v>0.251514809229958</v>
          </cell>
        </row>
        <row r="732">
          <cell r="A732" t="str">
            <v>RHES-SHCONBR7</v>
          </cell>
          <cell r="B732" t="str">
            <v>VAR_fout</v>
          </cell>
          <cell r="C732" t="str">
            <v>RHES-SHCON</v>
          </cell>
          <cell r="H732">
            <v>1.2287355188516622E-4</v>
          </cell>
          <cell r="I732">
            <v>1.2169556559646665E-4</v>
          </cell>
          <cell r="J732">
            <v>8.2241062172611895E-5</v>
          </cell>
        </row>
        <row r="733">
          <cell r="A733" t="str">
            <v>RHES-SHCONBR7</v>
          </cell>
          <cell r="B733" t="str">
            <v>VAR_fin</v>
          </cell>
          <cell r="C733" t="str">
            <v>CON</v>
          </cell>
          <cell r="H733">
            <v>1.2287355188516622E-4</v>
          </cell>
          <cell r="I733">
            <v>1.2169556559646665E-4</v>
          </cell>
          <cell r="J733">
            <v>8.2241062172611895E-5</v>
          </cell>
        </row>
        <row r="734">
          <cell r="A734" t="str">
            <v>RHES-SHCONBR7</v>
          </cell>
          <cell r="B734" t="str">
            <v>VAR_ncap</v>
          </cell>
          <cell r="C734" t="str">
            <v>-</v>
          </cell>
          <cell r="H734">
            <v>1.8360049031628001E-8</v>
          </cell>
          <cell r="I734">
            <v>1.6473085354875599E-8</v>
          </cell>
          <cell r="J734">
            <v>3.1802631116362999E-8</v>
          </cell>
        </row>
        <row r="735">
          <cell r="A735" t="str">
            <v>RHES-SHCONBR7</v>
          </cell>
          <cell r="B735" t="str">
            <v>VAR_cap</v>
          </cell>
          <cell r="C735" t="str">
            <v>-</v>
          </cell>
          <cell r="H735">
            <v>1.0042871554826076E-5</v>
          </cell>
          <cell r="I735">
            <v>1.0052375663784131E-5</v>
          </cell>
          <cell r="J735">
            <v>5.8899365135917346E-6</v>
          </cell>
        </row>
        <row r="736">
          <cell r="A736" t="str">
            <v>ITOT-SWHCONBR9</v>
          </cell>
          <cell r="B736" t="str">
            <v>VAR_fout</v>
          </cell>
          <cell r="C736" t="str">
            <v>ITOT-ELS</v>
          </cell>
          <cell r="J736">
            <v>1.947635702112238E-5</v>
          </cell>
        </row>
        <row r="737">
          <cell r="A737" t="str">
            <v>ITOT-SWHCONBR9</v>
          </cell>
          <cell r="B737" t="str">
            <v>VAR_fout</v>
          </cell>
          <cell r="C737" t="str">
            <v>ITOT-SWHC</v>
          </cell>
          <cell r="J737">
            <v>1.1304066003227404E-4</v>
          </cell>
        </row>
        <row r="738">
          <cell r="A738" t="str">
            <v>ITOT-SWHCONBR9</v>
          </cell>
          <cell r="B738" t="str">
            <v>VAR_fin</v>
          </cell>
          <cell r="C738" t="str">
            <v>CON</v>
          </cell>
          <cell r="J738">
            <v>1.3251701705339634E-4</v>
          </cell>
        </row>
        <row r="739">
          <cell r="A739" t="str">
            <v>ITOT-SWHCONBR9</v>
          </cell>
          <cell r="B739" t="str">
            <v>VAR_ncap</v>
          </cell>
          <cell r="C739" t="str">
            <v>-</v>
          </cell>
          <cell r="J739">
            <v>6.3401567199073698E-6</v>
          </cell>
        </row>
        <row r="740">
          <cell r="A740" t="str">
            <v>ITOT-SWHCONBR9</v>
          </cell>
          <cell r="B740" t="str">
            <v>VAR_cap</v>
          </cell>
          <cell r="C740" t="str">
            <v>-</v>
          </cell>
          <cell r="J740">
            <v>6.3401567199073698E-6</v>
          </cell>
        </row>
        <row r="741">
          <cell r="A741" t="str">
            <v>SCOM-SHPLTBR</v>
          </cell>
          <cell r="B741" t="str">
            <v>VAR_fout</v>
          </cell>
          <cell r="C741" t="str">
            <v>SCOM-SHPLT</v>
          </cell>
          <cell r="H741">
            <v>0.5506454800835362</v>
          </cell>
          <cell r="I741">
            <v>0.71173507512877876</v>
          </cell>
          <cell r="J741">
            <v>0.73428263939063332</v>
          </cell>
        </row>
        <row r="742">
          <cell r="A742" t="str">
            <v>SCOM-SHPLTBR</v>
          </cell>
          <cell r="B742" t="str">
            <v>VAR_fin</v>
          </cell>
          <cell r="C742" t="str">
            <v>SCOMPLTBRC</v>
          </cell>
          <cell r="H742">
            <v>0.5506454800835362</v>
          </cell>
          <cell r="I742">
            <v>0.71173507512877876</v>
          </cell>
          <cell r="J742">
            <v>0.73428263939063332</v>
          </cell>
        </row>
        <row r="743">
          <cell r="A743" t="str">
            <v>SCOM-SHPLTBR</v>
          </cell>
          <cell r="B743" t="str">
            <v>VAR_fin</v>
          </cell>
          <cell r="C743" t="str">
            <v>SPLT</v>
          </cell>
          <cell r="H743">
            <v>0.82399819145901121</v>
          </cell>
          <cell r="I743">
            <v>1.049303880367797</v>
          </cell>
          <cell r="J743">
            <v>1.0769693757972589</v>
          </cell>
        </row>
        <row r="744">
          <cell r="A744" t="str">
            <v>SCOM-SHPLTBR</v>
          </cell>
          <cell r="B744" t="str">
            <v>VAR_ncap</v>
          </cell>
          <cell r="C744" t="str">
            <v>-</v>
          </cell>
          <cell r="H744">
            <v>2.3079117036483899E-2</v>
          </cell>
          <cell r="I744">
            <v>3.56818743469541E-2</v>
          </cell>
          <cell r="J744">
            <v>2.5839156419412399E-2</v>
          </cell>
        </row>
        <row r="745">
          <cell r="A745" t="str">
            <v>SCOM-SHPLTBR</v>
          </cell>
          <cell r="B745" t="str">
            <v>VAR_cap</v>
          </cell>
          <cell r="C745" t="str">
            <v>-</v>
          </cell>
          <cell r="H745">
            <v>4.5117125481251005E-2</v>
          </cell>
          <cell r="I745">
            <v>5.8761517200739598E-2</v>
          </cell>
          <cell r="J745">
            <v>6.1496733431544368E-2</v>
          </cell>
        </row>
        <row r="746">
          <cell r="A746" t="str">
            <v>ITOT-SWHELCHP</v>
          </cell>
          <cell r="B746" t="str">
            <v>VAR_fout</v>
          </cell>
          <cell r="C746" t="str">
            <v>ITOT-SWHAELCH</v>
          </cell>
          <cell r="H746">
            <v>6.1471607041225944</v>
          </cell>
          <cell r="I746">
            <v>8.6207100397017751</v>
          </cell>
          <cell r="J746">
            <v>11.007774364989604</v>
          </cell>
        </row>
        <row r="747">
          <cell r="A747" t="str">
            <v>ITOT-SWHELCHP</v>
          </cell>
          <cell r="B747" t="str">
            <v>VAR_fin</v>
          </cell>
          <cell r="C747" t="str">
            <v>ITOT_ELC</v>
          </cell>
          <cell r="H747">
            <v>1.8826522743364538</v>
          </cell>
          <cell r="I747">
            <v>2.5914842459875436</v>
          </cell>
          <cell r="J747">
            <v>3.1912701012103892</v>
          </cell>
        </row>
        <row r="748">
          <cell r="A748" t="str">
            <v>ITOT-SWHELCHP</v>
          </cell>
          <cell r="B748" t="str">
            <v>VAR_fin</v>
          </cell>
          <cell r="C748" t="str">
            <v>ITOTELCHPC</v>
          </cell>
          <cell r="H748">
            <v>6.1471607041225944</v>
          </cell>
          <cell r="I748">
            <v>8.6207100397017751</v>
          </cell>
          <cell r="J748">
            <v>11.007774364989604</v>
          </cell>
        </row>
        <row r="749">
          <cell r="A749" t="str">
            <v>ITOT-SWHELCHP</v>
          </cell>
          <cell r="B749" t="str">
            <v>VAR_ncap</v>
          </cell>
          <cell r="C749" t="str">
            <v>-</v>
          </cell>
          <cell r="H749">
            <v>5.2676063422634999E-2</v>
          </cell>
          <cell r="I749">
            <v>0.281806602082456</v>
          </cell>
          <cell r="J749">
            <v>0.38211743295047701</v>
          </cell>
        </row>
        <row r="750">
          <cell r="A750" t="str">
            <v>ITOT-SWHELCHP</v>
          </cell>
          <cell r="B750" t="str">
            <v>VAR_cap</v>
          </cell>
          <cell r="C750" t="str">
            <v>-</v>
          </cell>
          <cell r="H750">
            <v>0.33456707817366638</v>
          </cell>
          <cell r="I750">
            <v>0.47931111575601193</v>
          </cell>
          <cell r="J750">
            <v>0.60891459454659602</v>
          </cell>
        </row>
        <row r="751">
          <cell r="A751" t="str">
            <v>RHES-SHCONBR8</v>
          </cell>
          <cell r="B751" t="str">
            <v>VAR_fout</v>
          </cell>
          <cell r="C751" t="str">
            <v>RHES-SHCON</v>
          </cell>
          <cell r="H751">
            <v>3.2740495824473305E-5</v>
          </cell>
          <cell r="I751">
            <v>2.8960034034019656E-5</v>
          </cell>
          <cell r="J751">
            <v>2.1287960372342633E-5</v>
          </cell>
        </row>
        <row r="752">
          <cell r="A752" t="str">
            <v>RHES-SHCONBR8</v>
          </cell>
          <cell r="B752" t="str">
            <v>VAR_fin</v>
          </cell>
          <cell r="C752" t="str">
            <v>CON</v>
          </cell>
          <cell r="H752">
            <v>3.2740495824473305E-5</v>
          </cell>
          <cell r="I752">
            <v>2.8960034034019656E-5</v>
          </cell>
          <cell r="J752">
            <v>2.1287960372342633E-5</v>
          </cell>
        </row>
        <row r="753">
          <cell r="A753" t="str">
            <v>RHES-SHCONBR8</v>
          </cell>
          <cell r="B753" t="str">
            <v>VAR_ncap</v>
          </cell>
          <cell r="C753" t="str">
            <v>-</v>
          </cell>
          <cell r="H753">
            <v>1.02290483423055E-8</v>
          </cell>
          <cell r="J753">
            <v>1.39874620070008E-8</v>
          </cell>
        </row>
        <row r="754">
          <cell r="A754" t="str">
            <v>RHES-SHCONBR8</v>
          </cell>
          <cell r="B754" t="str">
            <v>VAR_cap</v>
          </cell>
          <cell r="C754" t="str">
            <v>-</v>
          </cell>
          <cell r="H754">
            <v>2.7709687273539426E-7</v>
          </cell>
          <cell r="I754">
            <v>2.9176416169993601E-7</v>
          </cell>
          <cell r="J754">
            <v>2.2288617586129055E-7</v>
          </cell>
        </row>
        <row r="755">
          <cell r="A755" t="str">
            <v>RHEM-SHWODBR</v>
          </cell>
          <cell r="B755" t="str">
            <v>VAR_fout</v>
          </cell>
          <cell r="C755" t="str">
            <v>RHEM-SHWOD</v>
          </cell>
          <cell r="H755">
            <v>3.905239710748956</v>
          </cell>
          <cell r="I755">
            <v>3.3011555606409813</v>
          </cell>
          <cell r="J755">
            <v>1.9392529005715917</v>
          </cell>
        </row>
        <row r="756">
          <cell r="A756" t="str">
            <v>RHEM-SHWODBR</v>
          </cell>
          <cell r="B756" t="str">
            <v>VAR_fin</v>
          </cell>
          <cell r="C756" t="str">
            <v>RHEMWODBRC</v>
          </cell>
          <cell r="H756">
            <v>3.905239710748956</v>
          </cell>
          <cell r="I756">
            <v>3.3011555606409813</v>
          </cell>
          <cell r="J756">
            <v>1.9392529005715917</v>
          </cell>
        </row>
        <row r="757">
          <cell r="A757" t="str">
            <v>RHEM-SHWODBR</v>
          </cell>
          <cell r="B757" t="str">
            <v>VAR_fin</v>
          </cell>
          <cell r="C757" t="str">
            <v>RWOD</v>
          </cell>
          <cell r="H757">
            <v>5.3826451124702981</v>
          </cell>
          <cell r="I757">
            <v>4.5500276961437907</v>
          </cell>
          <cell r="J757">
            <v>2.5890360332602604</v>
          </cell>
        </row>
        <row r="758">
          <cell r="A758" t="str">
            <v>RHEM-SHWODBR</v>
          </cell>
          <cell r="B758" t="str">
            <v>VAR_ncap</v>
          </cell>
          <cell r="C758" t="str">
            <v>-</v>
          </cell>
          <cell r="H758">
            <v>0.18137472303632299</v>
          </cell>
          <cell r="I758">
            <v>5.2950746171018602E-2</v>
          </cell>
          <cell r="J758">
            <v>2.20510719054927E-2</v>
          </cell>
        </row>
        <row r="759">
          <cell r="A759" t="str">
            <v>RHEM-SHWODBR</v>
          </cell>
          <cell r="B759" t="str">
            <v>VAR_cap</v>
          </cell>
          <cell r="C759" t="str">
            <v>-</v>
          </cell>
          <cell r="H759">
            <v>0.27580490810587632</v>
          </cell>
          <cell r="I759">
            <v>0.23432602397091151</v>
          </cell>
          <cell r="J759">
            <v>0.13719958193599369</v>
          </cell>
        </row>
        <row r="760">
          <cell r="A760" t="str">
            <v>RHES-SHCONBR9</v>
          </cell>
          <cell r="B760" t="str">
            <v>VAR_fout</v>
          </cell>
          <cell r="C760" t="str">
            <v>RHES-SHCON</v>
          </cell>
          <cell r="H760">
            <v>3.0164820072148702E-5</v>
          </cell>
          <cell r="I760">
            <v>2.5846900059505391E-5</v>
          </cell>
          <cell r="J760">
            <v>1.8811625147688054E-5</v>
          </cell>
        </row>
        <row r="761">
          <cell r="A761" t="str">
            <v>RHES-SHCONBR9</v>
          </cell>
          <cell r="B761" t="str">
            <v>VAR_fin</v>
          </cell>
          <cell r="C761" t="str">
            <v>CON</v>
          </cell>
          <cell r="H761">
            <v>3.0164820072148702E-5</v>
          </cell>
          <cell r="I761">
            <v>2.5846900059505391E-5</v>
          </cell>
          <cell r="J761">
            <v>1.8811625147688054E-5</v>
          </cell>
        </row>
        <row r="762">
          <cell r="A762" t="str">
            <v>RHES-SHCONBR9</v>
          </cell>
          <cell r="B762" t="str">
            <v>VAR_cap</v>
          </cell>
          <cell r="C762" t="str">
            <v>-</v>
          </cell>
          <cell r="H762">
            <v>-3.3275998507920302E-8</v>
          </cell>
          <cell r="J762">
            <v>-6.2212539620147304E-9</v>
          </cell>
        </row>
        <row r="763">
          <cell r="A763" t="str">
            <v>D-RHNS_LTH_CHPNGA</v>
          </cell>
          <cell r="B763" t="str">
            <v>VAR_fout</v>
          </cell>
          <cell r="C763" t="str">
            <v>RHSA_LTH</v>
          </cell>
          <cell r="H763">
            <v>1.4434297888188446E-3</v>
          </cell>
          <cell r="I763">
            <v>5.9478191749600783E-4</v>
          </cell>
          <cell r="J763">
            <v>9.1251866948099377E-6</v>
          </cell>
        </row>
        <row r="764">
          <cell r="A764" t="str">
            <v>D-RHNS_LTH_CHPNGA</v>
          </cell>
          <cell r="B764" t="str">
            <v>VAR_fout</v>
          </cell>
          <cell r="C764" t="str">
            <v>LTH</v>
          </cell>
          <cell r="H764">
            <v>3.7644331343904905E-7</v>
          </cell>
          <cell r="I764">
            <v>1.3022746251628699E-7</v>
          </cell>
          <cell r="J764">
            <v>4.8873628271003488E-6</v>
          </cell>
        </row>
        <row r="765">
          <cell r="A765" t="str">
            <v>D-RHNS_LTH_CHPNGA</v>
          </cell>
          <cell r="B765" t="str">
            <v>VAR_fout</v>
          </cell>
          <cell r="C765" t="str">
            <v>RHNS_LTH_CHPNGA_ON</v>
          </cell>
          <cell r="I765">
            <v>1.4611135257603262E-4</v>
          </cell>
          <cell r="J765">
            <v>2.8780936117922467E-6</v>
          </cell>
        </row>
        <row r="766">
          <cell r="A766" t="str">
            <v>D-RHNS_LTH_CHPNGA</v>
          </cell>
          <cell r="B766" t="str">
            <v>VAR_fin</v>
          </cell>
          <cell r="C766" t="str">
            <v>RHNS_LTH_CHPNGA</v>
          </cell>
          <cell r="H766">
            <v>1.4449790539005963E-3</v>
          </cell>
          <cell r="I766">
            <v>7.4210086370214126E-4</v>
          </cell>
          <cell r="J766">
            <v>1.6890643133702533E-5</v>
          </cell>
        </row>
        <row r="767">
          <cell r="A767" t="str">
            <v>D-SLFO</v>
          </cell>
          <cell r="B767" t="str">
            <v>VAR_fout</v>
          </cell>
          <cell r="C767" t="str">
            <v>CO2</v>
          </cell>
          <cell r="H767">
            <v>835.75510987990901</v>
          </cell>
          <cell r="I767">
            <v>407.31705505986099</v>
          </cell>
          <cell r="J767">
            <v>3.1630317907914798E-4</v>
          </cell>
        </row>
        <row r="768">
          <cell r="A768" t="str">
            <v>D-SLFO</v>
          </cell>
          <cell r="B768" t="str">
            <v>VAR_fout</v>
          </cell>
          <cell r="C768" t="str">
            <v>SLFO</v>
          </cell>
          <cell r="H768">
            <v>11.151098101020022</v>
          </cell>
          <cell r="I768">
            <v>5.4347401948675751</v>
          </cell>
          <cell r="J768">
            <v>0.42234150431951573</v>
          </cell>
        </row>
        <row r="769">
          <cell r="A769" t="str">
            <v>D-SLFO</v>
          </cell>
          <cell r="B769" t="str">
            <v>VAR_fin</v>
          </cell>
          <cell r="C769" t="str">
            <v>LFO</v>
          </cell>
          <cell r="H769">
            <v>11.339960785344767</v>
          </cell>
          <cell r="I769">
            <v>5.5266900279492628</v>
          </cell>
          <cell r="J769">
            <v>4.2917663375732392E-6</v>
          </cell>
        </row>
        <row r="770">
          <cell r="A770" t="str">
            <v>D-SLFO</v>
          </cell>
          <cell r="B770" t="str">
            <v>VAR_fin</v>
          </cell>
          <cell r="C770" t="str">
            <v>BDS</v>
          </cell>
          <cell r="H770">
            <v>5.3857779789268036E-4</v>
          </cell>
          <cell r="I770">
            <v>3.5943671533861249E-4</v>
          </cell>
          <cell r="J770">
            <v>0.4295118631484568</v>
          </cell>
        </row>
        <row r="771">
          <cell r="A771" t="str">
            <v>D-RCOA</v>
          </cell>
          <cell r="B771" t="str">
            <v>VAR_fout</v>
          </cell>
          <cell r="C771" t="str">
            <v>CO2</v>
          </cell>
        </row>
        <row r="772">
          <cell r="A772" t="str">
            <v>D-RCOA</v>
          </cell>
          <cell r="B772" t="str">
            <v>VAR_fout</v>
          </cell>
          <cell r="C772" t="str">
            <v>RCOA</v>
          </cell>
        </row>
        <row r="773">
          <cell r="A773" t="str">
            <v>D-RCOA</v>
          </cell>
          <cell r="B773" t="str">
            <v>VAR_fin</v>
          </cell>
          <cell r="C773" t="str">
            <v>COA</v>
          </cell>
        </row>
        <row r="774">
          <cell r="A774" t="str">
            <v>SCOM-ELCSPECDC</v>
          </cell>
          <cell r="B774" t="str">
            <v>VAR_fout</v>
          </cell>
          <cell r="C774" t="str">
            <v>SCOM-ELSDC</v>
          </cell>
          <cell r="H774">
            <v>13.179390887137931</v>
          </cell>
          <cell r="I774">
            <v>13.115304700392768</v>
          </cell>
          <cell r="J774">
            <v>12.838404140405576</v>
          </cell>
        </row>
        <row r="775">
          <cell r="A775" t="str">
            <v>SCOM-ELCSPECDC</v>
          </cell>
          <cell r="B775" t="str">
            <v>VAR_fin</v>
          </cell>
          <cell r="C775" t="str">
            <v>SCOM_ELC</v>
          </cell>
          <cell r="H775">
            <v>13.179390887137931</v>
          </cell>
          <cell r="I775">
            <v>13.115304700392768</v>
          </cell>
          <cell r="J775">
            <v>12.838404140405576</v>
          </cell>
        </row>
        <row r="776">
          <cell r="A776" t="str">
            <v>D-RHEM_KEV_WOD_ELC_CHP</v>
          </cell>
          <cell r="B776" t="str">
            <v>VAR_fout</v>
          </cell>
          <cell r="C776" t="str">
            <v>ELC5</v>
          </cell>
          <cell r="H776">
            <v>1.0927268948010848E-3</v>
          </cell>
          <cell r="I776">
            <v>8.0685543542488396E-4</v>
          </cell>
          <cell r="J776">
            <v>5.2758860742522411E-4</v>
          </cell>
        </row>
        <row r="777">
          <cell r="A777" t="str">
            <v>D-RHEM_KEV_WOD_ELC_CHP</v>
          </cell>
          <cell r="B777" t="str">
            <v>VAR_fout</v>
          </cell>
          <cell r="C777" t="str">
            <v>RHEM_ELC</v>
          </cell>
          <cell r="H777">
            <v>0.22203402042624126</v>
          </cell>
          <cell r="I777">
            <v>0.28228509985157185</v>
          </cell>
          <cell r="J777">
            <v>0.13716084619749747</v>
          </cell>
        </row>
        <row r="778">
          <cell r="A778" t="str">
            <v>D-RHEM_KEV_WOD_ELC_CHP</v>
          </cell>
          <cell r="B778" t="str">
            <v>VAR_fin</v>
          </cell>
          <cell r="C778" t="str">
            <v>RHEM_KEV_WOD_ELC_CHP</v>
          </cell>
          <cell r="H778">
            <v>0.22311515035185814</v>
          </cell>
          <cell r="I778">
            <v>0.2830804600904584</v>
          </cell>
          <cell r="J778">
            <v>0.13767914273151446</v>
          </cell>
        </row>
        <row r="779">
          <cell r="A779" t="str">
            <v>RHES-SHSTG-SOL</v>
          </cell>
          <cell r="B779" t="str">
            <v>VAR_fout</v>
          </cell>
          <cell r="C779" t="str">
            <v>AUX_RHES-SHSTG-SOL_OUT</v>
          </cell>
          <cell r="H779">
            <v>1.0296187096159107E-2</v>
          </cell>
          <cell r="I779">
            <v>3.5041571770240781E-3</v>
          </cell>
          <cell r="J779">
            <v>3.0494003117384648E-3</v>
          </cell>
        </row>
        <row r="780">
          <cell r="A780" t="str">
            <v>RHES-SHSTG-SOL</v>
          </cell>
          <cell r="B780" t="str">
            <v>VAR_fout</v>
          </cell>
          <cell r="C780" t="str">
            <v>RHES-SHASOL</v>
          </cell>
          <cell r="H780">
            <v>1.0285901194964146E-2</v>
          </cell>
          <cell r="I780">
            <v>3.5006565205035756E-3</v>
          </cell>
          <cell r="J780">
            <v>3.046353957780685E-3</v>
          </cell>
        </row>
        <row r="781">
          <cell r="A781" t="str">
            <v>RHES-SHSTG-SOL</v>
          </cell>
          <cell r="B781" t="str">
            <v>VAR_fin</v>
          </cell>
          <cell r="C781" t="str">
            <v>RHES-SHASOL</v>
          </cell>
          <cell r="H781">
            <v>1.0282660629723332E-2</v>
          </cell>
          <cell r="I781">
            <v>3.4986393743380965E-3</v>
          </cell>
          <cell r="J781">
            <v>3.0435606757149773E-3</v>
          </cell>
        </row>
        <row r="782">
          <cell r="A782" t="str">
            <v>RHES-SHSTG-SOL</v>
          </cell>
          <cell r="B782" t="str">
            <v>VAR_ncap</v>
          </cell>
          <cell r="C782" t="str">
            <v>-</v>
          </cell>
          <cell r="H782">
            <v>2.5950199841938599E-4</v>
          </cell>
          <cell r="I782">
            <v>3.0815811459606598E-4</v>
          </cell>
          <cell r="J782">
            <v>1.77522925939327E-4</v>
          </cell>
        </row>
        <row r="783">
          <cell r="A783" t="str">
            <v>RHES-SHSTG-SOL</v>
          </cell>
          <cell r="B783" t="str">
            <v>VAR_cap</v>
          </cell>
          <cell r="C783" t="str">
            <v>-</v>
          </cell>
          <cell r="H783">
            <v>3.2343010099618302E-3</v>
          </cell>
          <cell r="I783">
            <v>5.6799832650759495E-4</v>
          </cell>
          <cell r="J783">
            <v>5.10931557700352E-4</v>
          </cell>
        </row>
        <row r="784">
          <cell r="A784" t="str">
            <v>D-ITOT_LTH</v>
          </cell>
          <cell r="B784" t="str">
            <v>VAR_fout</v>
          </cell>
          <cell r="C784" t="str">
            <v>ITOT_LTH_DH</v>
          </cell>
          <cell r="H784">
            <v>7.6289135773763874</v>
          </cell>
          <cell r="I784">
            <v>7.6289220518265548</v>
          </cell>
          <cell r="J784">
            <v>9.9507315219567207</v>
          </cell>
        </row>
        <row r="785">
          <cell r="A785" t="str">
            <v>D-ITOT_LTH</v>
          </cell>
          <cell r="B785" t="str">
            <v>VAR_fin</v>
          </cell>
          <cell r="C785" t="str">
            <v>LTH</v>
          </cell>
          <cell r="H785">
            <v>8.2772692329576323</v>
          </cell>
          <cell r="I785">
            <v>8.2718528387215873</v>
          </cell>
          <cell r="J785">
            <v>10.775207968354025</v>
          </cell>
        </row>
        <row r="786">
          <cell r="A786" t="str">
            <v>D-ITOT_LTH</v>
          </cell>
          <cell r="B786" t="str">
            <v>VAR_ncap</v>
          </cell>
          <cell r="C786" t="str">
            <v>-</v>
          </cell>
          <cell r="H786">
            <v>6.2243785383490103E-8</v>
          </cell>
          <cell r="I786">
            <v>8.498998103248E-8</v>
          </cell>
          <cell r="J786">
            <v>1.03118616722127E-7</v>
          </cell>
        </row>
        <row r="787">
          <cell r="A787" t="str">
            <v>D-ITOT_LTH</v>
          </cell>
          <cell r="B787" t="str">
            <v>VAR_cap</v>
          </cell>
          <cell r="C787" t="str">
            <v>-</v>
          </cell>
          <cell r="H787">
            <v>0.79547256414012102</v>
          </cell>
          <cell r="I787">
            <v>0.79547264913010196</v>
          </cell>
          <cell r="J787">
            <v>0.79547275224871805</v>
          </cell>
        </row>
        <row r="788">
          <cell r="A788" t="str">
            <v>D-IH2</v>
          </cell>
          <cell r="B788" t="str">
            <v>VAR_fout</v>
          </cell>
          <cell r="C788" t="str">
            <v>IH2</v>
          </cell>
          <cell r="H788">
            <v>1.7743501142025115</v>
          </cell>
          <cell r="I788">
            <v>2.1295928032367129</v>
          </cell>
          <cell r="J788">
            <v>3.4353593235465993</v>
          </cell>
        </row>
        <row r="789">
          <cell r="A789" t="str">
            <v>D-IH2</v>
          </cell>
          <cell r="B789" t="str">
            <v>VAR_fin</v>
          </cell>
          <cell r="C789" t="str">
            <v>H2</v>
          </cell>
          <cell r="H789">
            <v>1.7878678018529151</v>
          </cell>
          <cell r="I789">
            <v>2.1458168675328642</v>
          </cell>
          <cell r="J789">
            <v>3.4615312238558453</v>
          </cell>
        </row>
        <row r="790">
          <cell r="A790" t="str">
            <v>D-IH2</v>
          </cell>
          <cell r="B790" t="str">
            <v>VAR_ncap</v>
          </cell>
          <cell r="C790" t="str">
            <v>-</v>
          </cell>
          <cell r="H790">
            <v>7.0255316847294996E-2</v>
          </cell>
          <cell r="I790">
            <v>0.305971341123082</v>
          </cell>
          <cell r="J790">
            <v>0.117753510168884</v>
          </cell>
        </row>
        <row r="791">
          <cell r="A791" t="str">
            <v>D-IH2</v>
          </cell>
          <cell r="B791" t="str">
            <v>VAR_cap</v>
          </cell>
          <cell r="C791" t="str">
            <v>-</v>
          </cell>
          <cell r="H791">
            <v>7.0255764198885601E-2</v>
          </cell>
          <cell r="I791">
            <v>0.37622710532196801</v>
          </cell>
          <cell r="J791">
            <v>0.49398061549085198</v>
          </cell>
        </row>
        <row r="792">
          <cell r="A792" t="str">
            <v>D-RHNM_LTH_CHPWOD</v>
          </cell>
          <cell r="B792" t="str">
            <v>VAR_fout</v>
          </cell>
          <cell r="C792" t="str">
            <v>RHNM_LTH_CHPWOD_ON</v>
          </cell>
          <cell r="I792">
            <v>0.17198061285930452</v>
          </cell>
        </row>
        <row r="793">
          <cell r="A793" t="str">
            <v>D-RHNM_LTH_CHPWOD</v>
          </cell>
          <cell r="B793" t="str">
            <v>VAR_fout</v>
          </cell>
          <cell r="C793" t="str">
            <v>RHSA_LTH</v>
          </cell>
          <cell r="H793">
            <v>0.58236898514924129</v>
          </cell>
          <cell r="I793">
            <v>0.57614082744147044</v>
          </cell>
          <cell r="J793">
            <v>0.36569435851601501</v>
          </cell>
        </row>
        <row r="794">
          <cell r="A794" t="str">
            <v>D-RHNM_LTH_CHPWOD</v>
          </cell>
          <cell r="B794" t="str">
            <v>VAR_fout</v>
          </cell>
          <cell r="C794" t="str">
            <v>LTH</v>
          </cell>
          <cell r="H794">
            <v>3.3626301303332616E-4</v>
          </cell>
          <cell r="I794">
            <v>2.7819570554854696E-4</v>
          </cell>
          <cell r="J794">
            <v>1.5548752266054863E-4</v>
          </cell>
        </row>
        <row r="795">
          <cell r="A795" t="str">
            <v>D-RHNM_LTH_CHPWOD</v>
          </cell>
          <cell r="B795" t="str">
            <v>VAR_fin</v>
          </cell>
          <cell r="C795" t="str">
            <v>RHNM_LTH_CHPWOD</v>
          </cell>
          <cell r="H795">
            <v>0.58270524816227509</v>
          </cell>
          <cell r="I795">
            <v>0.74839976249659057</v>
          </cell>
          <cell r="J795">
            <v>0.36584993934686183</v>
          </cell>
        </row>
        <row r="796">
          <cell r="A796" t="str">
            <v>RHNS-SHWODBR</v>
          </cell>
          <cell r="B796" t="str">
            <v>VAR_fout</v>
          </cell>
          <cell r="C796" t="str">
            <v>RHNS-SHWOD</v>
          </cell>
          <cell r="H796">
            <v>7.8598755500809414E-2</v>
          </cell>
          <cell r="I796">
            <v>8.0614145928547834E-2</v>
          </cell>
          <cell r="J796">
            <v>8.2288691725028437E-2</v>
          </cell>
        </row>
        <row r="797">
          <cell r="A797" t="str">
            <v>RHNS-SHWODBR</v>
          </cell>
          <cell r="B797" t="str">
            <v>VAR_fin</v>
          </cell>
          <cell r="C797" t="str">
            <v>RHNSWODBRC</v>
          </cell>
          <cell r="H797">
            <v>7.8598755500809414E-2</v>
          </cell>
          <cell r="I797">
            <v>8.0614145928547834E-2</v>
          </cell>
          <cell r="J797">
            <v>8.2288691725028437E-2</v>
          </cell>
        </row>
        <row r="798">
          <cell r="A798" t="str">
            <v>RHNS-SHWODBR</v>
          </cell>
          <cell r="B798" t="str">
            <v>VAR_fin</v>
          </cell>
          <cell r="C798" t="str">
            <v>RWOD</v>
          </cell>
          <cell r="H798">
            <v>0.10376461664964871</v>
          </cell>
          <cell r="I798">
            <v>0.10625126720620616</v>
          </cell>
          <cell r="J798">
            <v>0.1080459202950345</v>
          </cell>
        </row>
        <row r="799">
          <cell r="A799" t="str">
            <v>RHNS-SHWODBR</v>
          </cell>
          <cell r="B799" t="str">
            <v>VAR_ncap</v>
          </cell>
          <cell r="C799" t="str">
            <v>-</v>
          </cell>
          <cell r="H799">
            <v>1.41828248101954E-2</v>
          </cell>
        </row>
        <row r="800">
          <cell r="A800" t="str">
            <v>RHNS-SHWODBR</v>
          </cell>
          <cell r="B800" t="str">
            <v>VAR_cap</v>
          </cell>
          <cell r="C800" t="str">
            <v>-</v>
          </cell>
          <cell r="H800">
            <v>1.7864120651590702E-2</v>
          </cell>
          <cell r="I800">
            <v>1.4827867202621482E-2</v>
          </cell>
          <cell r="J800">
            <v>5.9992363419944473E-3</v>
          </cell>
        </row>
        <row r="801">
          <cell r="A801" t="str">
            <v>D-RHNM_NKEV_GAS_ELC_CHP</v>
          </cell>
          <cell r="B801" t="str">
            <v>VAR_fout</v>
          </cell>
          <cell r="C801" t="str">
            <v>ELC5</v>
          </cell>
          <cell r="H801">
            <v>6.2188664165433263E-4</v>
          </cell>
          <cell r="I801">
            <v>3.1446627480636197E-4</v>
          </cell>
        </row>
        <row r="802">
          <cell r="A802" t="str">
            <v>D-RHNM_NKEV_GAS_ELC_CHP</v>
          </cell>
          <cell r="B802" t="str">
            <v>VAR_fout</v>
          </cell>
          <cell r="C802" t="str">
            <v>RHNM_ELC</v>
          </cell>
          <cell r="H802">
            <v>1.759058049257392E-3</v>
          </cell>
          <cell r="I802">
            <v>5.2963755033307112E-4</v>
          </cell>
        </row>
        <row r="803">
          <cell r="A803" t="str">
            <v>D-RHNM_NKEV_GAS_ELC_CHP</v>
          </cell>
          <cell r="B803" t="str">
            <v>VAR_fin</v>
          </cell>
          <cell r="C803" t="str">
            <v>RHNM_NKEV_GAS_ELC_CHP</v>
          </cell>
          <cell r="H803">
            <v>2.3636164491522885E-3</v>
          </cell>
          <cell r="I803">
            <v>8.338910799467374E-4</v>
          </cell>
        </row>
        <row r="804">
          <cell r="A804" t="str">
            <v>D-RLFO</v>
          </cell>
          <cell r="B804" t="str">
            <v>VAR_fout</v>
          </cell>
          <cell r="C804" t="str">
            <v>CO2</v>
          </cell>
          <cell r="H804">
            <v>1169.6490851850399</v>
          </cell>
          <cell r="I804">
            <v>448.73677621223601</v>
          </cell>
          <cell r="J804">
            <v>3.8244108659159302E-4</v>
          </cell>
        </row>
        <row r="805">
          <cell r="A805" t="str">
            <v>D-RLFO</v>
          </cell>
          <cell r="B805" t="str">
            <v>VAR_fout</v>
          </cell>
          <cell r="C805" t="str">
            <v>RLFO</v>
          </cell>
          <cell r="H805">
            <v>15.6058838640565</v>
          </cell>
          <cell r="I805">
            <v>5.9873607307575076</v>
          </cell>
          <cell r="J805">
            <v>0.57737364924000012</v>
          </cell>
        </row>
        <row r="806">
          <cell r="A806" t="str">
            <v>D-RLFO</v>
          </cell>
          <cell r="B806" t="str">
            <v>VAR_fin</v>
          </cell>
          <cell r="C806" t="str">
            <v>LFO</v>
          </cell>
          <cell r="H806">
            <v>15.870408211465953</v>
          </cell>
          <cell r="I806">
            <v>6.0886943855120332</v>
          </cell>
          <cell r="J806">
            <v>5.1891599266159123E-6</v>
          </cell>
        </row>
        <row r="807">
          <cell r="A807" t="str">
            <v>D-RLFO</v>
          </cell>
          <cell r="B807" t="str">
            <v>VAR_fin</v>
          </cell>
          <cell r="C807" t="str">
            <v>BDS</v>
          </cell>
          <cell r="H807">
            <v>5.3910282527917027E-4</v>
          </cell>
          <cell r="I807">
            <v>3.6074385461533045E-4</v>
          </cell>
          <cell r="J807">
            <v>0.58717878181186867</v>
          </cell>
        </row>
        <row r="808">
          <cell r="A808" t="str">
            <v>D-SCOM_LTH_CHPBIO</v>
          </cell>
          <cell r="B808" t="str">
            <v>VAR_fout</v>
          </cell>
          <cell r="C808" t="str">
            <v>SCOM_LTH_CHPBIO_ON</v>
          </cell>
        </row>
        <row r="809">
          <cell r="A809" t="str">
            <v>D-SCOM_LTH_CHPBIO</v>
          </cell>
          <cell r="B809" t="str">
            <v>VAR_fout</v>
          </cell>
          <cell r="C809" t="str">
            <v>LTH</v>
          </cell>
        </row>
        <row r="810">
          <cell r="A810" t="str">
            <v>D-SCOM_LTH_CHPBIO</v>
          </cell>
          <cell r="B810" t="str">
            <v>VAR_fin</v>
          </cell>
          <cell r="C810" t="str">
            <v>SCOM_LTH_CHPBIO</v>
          </cell>
        </row>
        <row r="811">
          <cell r="A811" t="str">
            <v>D-SCOM_NKEV_GAS_ELC_CHP</v>
          </cell>
          <cell r="B811" t="str">
            <v>VAR_fout</v>
          </cell>
          <cell r="C811" t="str">
            <v>ELC5</v>
          </cell>
          <cell r="H811">
            <v>6.3646965103719341E-4</v>
          </cell>
          <cell r="I811">
            <v>2.4518143861230519E-4</v>
          </cell>
        </row>
        <row r="812">
          <cell r="A812" t="str">
            <v>D-SCOM_NKEV_GAS_ELC_CHP</v>
          </cell>
          <cell r="B812" t="str">
            <v>VAR_fout</v>
          </cell>
          <cell r="C812" t="str">
            <v>SCOM_ELC</v>
          </cell>
          <cell r="H812">
            <v>2.4652593070992644E-3</v>
          </cell>
          <cell r="I812">
            <v>3.4677924363975461E-4</v>
          </cell>
        </row>
        <row r="813">
          <cell r="A813" t="str">
            <v>D-SCOM_NKEV_GAS_ELC_CHP</v>
          </cell>
          <cell r="B813" t="str">
            <v>VAR_fin</v>
          </cell>
          <cell r="C813" t="str">
            <v>SCOM_NKEV_GAS_ELC_CHP</v>
          </cell>
          <cell r="H813">
            <v>3.0856123650562484E-3</v>
          </cell>
          <cell r="I813">
            <v>5.7876014569149207E-4</v>
          </cell>
        </row>
        <row r="814">
          <cell r="A814" t="str">
            <v>RHEM-SHLTHDH</v>
          </cell>
          <cell r="B814" t="str">
            <v>VAR_fout</v>
          </cell>
          <cell r="C814" t="str">
            <v>RHEM-SHLTHD</v>
          </cell>
          <cell r="H814">
            <v>5.4114865032555794</v>
          </cell>
          <cell r="I814">
            <v>5.6678501223165494</v>
          </cell>
          <cell r="J814">
            <v>5.1307424852348458</v>
          </cell>
        </row>
        <row r="815">
          <cell r="A815" t="str">
            <v>RHEM-SHLTHDH</v>
          </cell>
          <cell r="B815" t="str">
            <v>VAR_fin</v>
          </cell>
          <cell r="C815" t="str">
            <v>RHEMLTHDHC</v>
          </cell>
          <cell r="H815">
            <v>5.4114865032555794</v>
          </cell>
          <cell r="I815">
            <v>5.6678501223165494</v>
          </cell>
          <cell r="J815">
            <v>5.1307424852348458</v>
          </cell>
        </row>
        <row r="816">
          <cell r="A816" t="str">
            <v>RHEM-SHLTHDH</v>
          </cell>
          <cell r="B816" t="str">
            <v>VAR_fin</v>
          </cell>
          <cell r="C816" t="str">
            <v>RHEM_LTH_DH</v>
          </cell>
          <cell r="H816">
            <v>6.0639862312505581</v>
          </cell>
          <cell r="I816">
            <v>6.3512613552380248</v>
          </cell>
          <cell r="J816">
            <v>5.7493909978041575</v>
          </cell>
        </row>
        <row r="817">
          <cell r="A817" t="str">
            <v>RHEM-SHLTHDH</v>
          </cell>
          <cell r="B817" t="str">
            <v>VAR_ncap</v>
          </cell>
          <cell r="C817" t="str">
            <v>-</v>
          </cell>
          <cell r="H817">
            <v>2.6643539556273601E-2</v>
          </cell>
          <cell r="I817">
            <v>5.0313738298276602E-2</v>
          </cell>
          <cell r="J817">
            <v>4.47927924346311E-2</v>
          </cell>
        </row>
        <row r="818">
          <cell r="A818" t="str">
            <v>RHEM-SHLTHDH</v>
          </cell>
          <cell r="B818" t="str">
            <v>VAR_cap</v>
          </cell>
          <cell r="C818" t="str">
            <v>-</v>
          </cell>
          <cell r="H818">
            <v>0.39118551561838905</v>
          </cell>
          <cell r="I818">
            <v>0.40165841760507492</v>
          </cell>
          <cell r="J818">
            <v>0.40048606836969591</v>
          </cell>
        </row>
        <row r="819">
          <cell r="A819" t="str">
            <v>D-ITOT_SOLELC</v>
          </cell>
          <cell r="B819" t="str">
            <v>VAR_fout</v>
          </cell>
          <cell r="C819" t="str">
            <v>ITOT_ELC</v>
          </cell>
          <cell r="H819">
            <v>20.468952350459706</v>
          </cell>
          <cell r="I819">
            <v>40.175775640728133</v>
          </cell>
          <cell r="J819">
            <v>44.10746153670577</v>
          </cell>
        </row>
        <row r="820">
          <cell r="A820" t="str">
            <v>D-ITOT_SOLELC</v>
          </cell>
          <cell r="B820" t="str">
            <v>VAR_fout</v>
          </cell>
          <cell r="C820" t="str">
            <v>ELC5</v>
          </cell>
          <cell r="H820">
            <v>1.474080346319119E-3</v>
          </cell>
          <cell r="I820">
            <v>0.51820460315352967</v>
          </cell>
          <cell r="J820">
            <v>0.44128402323028099</v>
          </cell>
        </row>
        <row r="821">
          <cell r="A821" t="str">
            <v>D-ITOT_SOLELC</v>
          </cell>
          <cell r="B821" t="str">
            <v>VAR_fin</v>
          </cell>
          <cell r="C821" t="str">
            <v>ITOT_SOL_ELC</v>
          </cell>
          <cell r="H821">
            <v>20.470426430806015</v>
          </cell>
          <cell r="I821">
            <v>40.693980243881683</v>
          </cell>
          <cell r="J821">
            <v>44.548745559936059</v>
          </cell>
        </row>
        <row r="822">
          <cell r="A822" t="str">
            <v>D-SWOD</v>
          </cell>
          <cell r="B822" t="str">
            <v>VAR_fout</v>
          </cell>
          <cell r="C822" t="str">
            <v>SWOD</v>
          </cell>
          <cell r="H822">
            <v>8.4587037714175661</v>
          </cell>
          <cell r="I822">
            <v>7.148050378080586</v>
          </cell>
          <cell r="J822">
            <v>4.7609907213265643</v>
          </cell>
        </row>
        <row r="823">
          <cell r="A823" t="str">
            <v>D-SWOD</v>
          </cell>
          <cell r="B823" t="str">
            <v>VAR_fin</v>
          </cell>
          <cell r="C823" t="str">
            <v>WOD</v>
          </cell>
          <cell r="H823">
            <v>8.4587037714175661</v>
          </cell>
          <cell r="I823">
            <v>7.148050378080586</v>
          </cell>
          <cell r="J823">
            <v>4.7609907213265643</v>
          </cell>
        </row>
        <row r="824">
          <cell r="A824" t="str">
            <v>ITOT-PROCESSCO2CCS</v>
          </cell>
          <cell r="B824" t="str">
            <v>VAR_fout</v>
          </cell>
          <cell r="C824" t="str">
            <v>CO2_O</v>
          </cell>
          <cell r="I824">
            <v>8.0750042500253458E-2</v>
          </cell>
          <cell r="J824">
            <v>956.58291811530285</v>
          </cell>
        </row>
        <row r="825">
          <cell r="A825" t="str">
            <v>ITOT-PROCESSCO2CCS</v>
          </cell>
          <cell r="B825" t="str">
            <v>VAR_fout</v>
          </cell>
          <cell r="C825" t="str">
            <v>CO2</v>
          </cell>
          <cell r="I825">
            <v>-8.0750042500253499E-2</v>
          </cell>
          <cell r="J825">
            <v>-956.58291811530296</v>
          </cell>
        </row>
        <row r="826">
          <cell r="A826" t="str">
            <v>ITOT-PROCESSCO2CCS</v>
          </cell>
          <cell r="B826" t="str">
            <v>VAR_fin</v>
          </cell>
          <cell r="C826" t="str">
            <v>ITOT_ELC</v>
          </cell>
          <cell r="I826">
            <v>1.7100009000053682E-4</v>
          </cell>
          <cell r="J826">
            <v>2.0257050030677006</v>
          </cell>
        </row>
        <row r="827">
          <cell r="A827" t="str">
            <v>ITOT-PROCESSCO2CCS</v>
          </cell>
          <cell r="B827" t="str">
            <v>VAR_fin</v>
          </cell>
          <cell r="C827" t="str">
            <v>ITOT_LTH_DH</v>
          </cell>
          <cell r="I827">
            <v>6.6500035000208817E-5</v>
          </cell>
          <cell r="J827">
            <v>0.7877741678596617</v>
          </cell>
        </row>
        <row r="828">
          <cell r="A828" t="str">
            <v>ITOT-PROCESSCO2CCS</v>
          </cell>
          <cell r="B828" t="str">
            <v>VAR_ncap</v>
          </cell>
          <cell r="C828" t="str">
            <v>-</v>
          </cell>
          <cell r="I828">
            <v>0.23520576337532101</v>
          </cell>
          <cell r="J828">
            <v>2912.1998231939001</v>
          </cell>
        </row>
        <row r="829">
          <cell r="A829" t="str">
            <v>ITOT-PROCESSCO2CCS</v>
          </cell>
          <cell r="B829" t="str">
            <v>VAR_cap</v>
          </cell>
          <cell r="C829" t="str">
            <v>-</v>
          </cell>
          <cell r="I829">
            <v>0.23520576337532101</v>
          </cell>
          <cell r="J829">
            <v>2912.4350289572799</v>
          </cell>
        </row>
        <row r="830">
          <cell r="A830" t="str">
            <v>D-RSH2R</v>
          </cell>
          <cell r="B830" t="str">
            <v>VAR_fout</v>
          </cell>
          <cell r="C830" t="str">
            <v>RSH2</v>
          </cell>
          <cell r="H830">
            <v>2.133944299661085E-4</v>
          </cell>
          <cell r="I830">
            <v>1.4444798250328242E-4</v>
          </cell>
          <cell r="J830">
            <v>1.0819903633030468E-4</v>
          </cell>
        </row>
        <row r="831">
          <cell r="A831" t="str">
            <v>D-RSH2R</v>
          </cell>
          <cell r="B831" t="str">
            <v>VAR_fin</v>
          </cell>
          <cell r="C831" t="str">
            <v>H2</v>
          </cell>
          <cell r="H831">
            <v>2.133944299661085E-4</v>
          </cell>
          <cell r="I831">
            <v>1.4444798250328242E-4</v>
          </cell>
          <cell r="J831">
            <v>1.0819903633030468E-4</v>
          </cell>
        </row>
        <row r="832">
          <cell r="A832" t="str">
            <v>D-RSH2R</v>
          </cell>
          <cell r="B832" t="str">
            <v>VAR_ncap</v>
          </cell>
          <cell r="C832" t="str">
            <v>-</v>
          </cell>
          <cell r="H832">
            <v>3.5339365933605501E-5</v>
          </cell>
          <cell r="I832">
            <v>4.4620050537786998E-5</v>
          </cell>
          <cell r="J832">
            <v>1.7355280626230199E-5</v>
          </cell>
        </row>
        <row r="833">
          <cell r="A833" t="str">
            <v>D-RSH2R</v>
          </cell>
          <cell r="B833" t="str">
            <v>VAR_cap</v>
          </cell>
          <cell r="C833" t="str">
            <v>-</v>
          </cell>
          <cell r="H833">
            <v>6.3563270215976305E-5</v>
          </cell>
          <cell r="I833">
            <v>5.0879426998773903E-5</v>
          </cell>
          <cell r="J833">
            <v>3.2638595966228598E-5</v>
          </cell>
        </row>
        <row r="834">
          <cell r="A834" t="str">
            <v>SCOM-SHLTHCHPBIO</v>
          </cell>
          <cell r="B834" t="str">
            <v>VAR_fout</v>
          </cell>
          <cell r="C834" t="str">
            <v>SCOM-SHLTHC-BIO</v>
          </cell>
        </row>
        <row r="835">
          <cell r="A835" t="str">
            <v>SCOM-SHLTHCHPBIO</v>
          </cell>
          <cell r="B835" t="str">
            <v>VAR_fin</v>
          </cell>
          <cell r="C835" t="str">
            <v>SCOM_LTH_CHPBIO_ON</v>
          </cell>
        </row>
        <row r="836">
          <cell r="A836" t="str">
            <v>SCOM-SHLTHCHPBIO</v>
          </cell>
          <cell r="B836" t="str">
            <v>VAR_fin</v>
          </cell>
          <cell r="C836" t="str">
            <v>SCOMLTHCHPC</v>
          </cell>
        </row>
        <row r="837">
          <cell r="A837" t="str">
            <v>SCOM-SHLTHCHPBIO</v>
          </cell>
          <cell r="B837" t="str">
            <v>VAR_ncap</v>
          </cell>
          <cell r="C837" t="str">
            <v>-</v>
          </cell>
          <cell r="H837">
            <v>4.95596589059367E-2</v>
          </cell>
          <cell r="I837">
            <v>3.35796243774946E-2</v>
          </cell>
          <cell r="J837">
            <v>5.0522235703674097E-2</v>
          </cell>
        </row>
        <row r="838">
          <cell r="A838" t="str">
            <v>SCOM-SHLTHCHPBIO</v>
          </cell>
          <cell r="B838" t="str">
            <v>VAR_cap</v>
          </cell>
          <cell r="C838" t="str">
            <v>-</v>
          </cell>
          <cell r="H838">
            <v>8.9262998839730504E-2</v>
          </cell>
          <cell r="I838">
            <v>7.7079285244579604E-2</v>
          </cell>
          <cell r="J838">
            <v>7.7079435868284002E-2</v>
          </cell>
        </row>
        <row r="839">
          <cell r="A839" t="str">
            <v>D-RSH2</v>
          </cell>
          <cell r="B839" t="str">
            <v>VAR_fout</v>
          </cell>
          <cell r="C839" t="str">
            <v>RSH2</v>
          </cell>
          <cell r="H839">
            <v>1.9631481904336233E-4</v>
          </cell>
          <cell r="I839">
            <v>1.4429111765574366E-4</v>
          </cell>
          <cell r="J839">
            <v>1.2026655077228358E-4</v>
          </cell>
        </row>
        <row r="840">
          <cell r="A840" t="str">
            <v>D-RSH2</v>
          </cell>
          <cell r="B840" t="str">
            <v>VAR_fin</v>
          </cell>
          <cell r="C840" t="str">
            <v>H2</v>
          </cell>
          <cell r="H840">
            <v>1.9781042150858761E-4</v>
          </cell>
          <cell r="I840">
            <v>1.4539038337764719E-4</v>
          </cell>
          <cell r="J840">
            <v>1.211827880216958E-4</v>
          </cell>
        </row>
        <row r="841">
          <cell r="A841" t="str">
            <v>D-RSH2</v>
          </cell>
          <cell r="B841" t="str">
            <v>VAR_ncap</v>
          </cell>
          <cell r="C841" t="str">
            <v>-</v>
          </cell>
          <cell r="H841">
            <v>1.4303295050731301E-5</v>
          </cell>
          <cell r="I841">
            <v>1.0146558034562201E-6</v>
          </cell>
          <cell r="J841">
            <v>5.9033602468332796E-7</v>
          </cell>
        </row>
        <row r="842">
          <cell r="A842" t="str">
            <v>D-RSH2</v>
          </cell>
          <cell r="B842" t="str">
            <v>VAR_cap</v>
          </cell>
          <cell r="C842" t="str">
            <v>-</v>
          </cell>
          <cell r="H842">
            <v>6.1201949723720998E-5</v>
          </cell>
          <cell r="I842">
            <v>6.2216605527177298E-5</v>
          </cell>
          <cell r="J842">
            <v>6.2806941551860602E-5</v>
          </cell>
        </row>
        <row r="843">
          <cell r="A843" t="str">
            <v>RHES-SHNGABR</v>
          </cell>
          <cell r="B843" t="str">
            <v>VAR_fout</v>
          </cell>
          <cell r="C843" t="str">
            <v>CO2_R</v>
          </cell>
          <cell r="H843">
            <v>298.71437728951298</v>
          </cell>
          <cell r="I843">
            <v>141.70891178123401</v>
          </cell>
          <cell r="J843">
            <v>57.031477167753003</v>
          </cell>
        </row>
        <row r="844">
          <cell r="A844" t="str">
            <v>RHES-SHNGABR</v>
          </cell>
          <cell r="B844" t="str">
            <v>VAR_fout</v>
          </cell>
          <cell r="C844" t="str">
            <v>RHES-SHNGA</v>
          </cell>
          <cell r="H844">
            <v>4.8591395875270145</v>
          </cell>
          <cell r="I844">
            <v>2.305156482221121</v>
          </cell>
          <cell r="J844">
            <v>0.94681038288708186</v>
          </cell>
        </row>
        <row r="845">
          <cell r="A845" t="str">
            <v>RHES-SHNGABR</v>
          </cell>
          <cell r="B845" t="str">
            <v>VAR_fin</v>
          </cell>
          <cell r="C845" t="str">
            <v>RNGA</v>
          </cell>
          <cell r="H845">
            <v>5.2963542072608627</v>
          </cell>
          <cell r="I845">
            <v>2.5125693578232893</v>
          </cell>
          <cell r="J845">
            <v>1.0111964036835641</v>
          </cell>
        </row>
        <row r="846">
          <cell r="A846" t="str">
            <v>RHES-SHNGABR</v>
          </cell>
          <cell r="B846" t="str">
            <v>VAR_ncap</v>
          </cell>
          <cell r="C846" t="str">
            <v>-</v>
          </cell>
          <cell r="H846">
            <v>1.114327716834E-2</v>
          </cell>
          <cell r="I846">
            <v>0.17543164896409499</v>
          </cell>
          <cell r="J846">
            <v>7.6503934844562106E-8</v>
          </cell>
        </row>
        <row r="847">
          <cell r="A847" t="str">
            <v>RHES-SHNGABR</v>
          </cell>
          <cell r="B847" t="str">
            <v>VAR_cap</v>
          </cell>
          <cell r="C847" t="str">
            <v>-</v>
          </cell>
          <cell r="H847">
            <v>0.39265665465043842</v>
          </cell>
          <cell r="I847">
            <v>0.18657484946671926</v>
          </cell>
          <cell r="J847">
            <v>8.5621795972780385E-2</v>
          </cell>
        </row>
        <row r="848">
          <cell r="A848" t="str">
            <v>SCOM-SHLTHCHPHFC</v>
          </cell>
          <cell r="B848" t="str">
            <v>VAR_ncap</v>
          </cell>
          <cell r="C848" t="str">
            <v>-</v>
          </cell>
          <cell r="H848">
            <v>9.1946348065437302E-5</v>
          </cell>
          <cell r="I848">
            <v>2.8732227255895898E-4</v>
          </cell>
          <cell r="J848">
            <v>1.2287910680981601E-4</v>
          </cell>
        </row>
        <row r="849">
          <cell r="A849" t="str">
            <v>SCOM-SHLTHCHPHFC</v>
          </cell>
          <cell r="B849" t="str">
            <v>VAR_cap</v>
          </cell>
          <cell r="C849" t="str">
            <v>-</v>
          </cell>
          <cell r="H849">
            <v>1.1864205396006971E-4</v>
          </cell>
          <cell r="I849">
            <v>3.3997984168220399E-4</v>
          </cell>
          <cell r="J849">
            <v>1.9387860862479401E-4</v>
          </cell>
        </row>
        <row r="850">
          <cell r="A850" t="str">
            <v>RHSA-WHNGABR</v>
          </cell>
          <cell r="B850" t="str">
            <v>VAR_fout</v>
          </cell>
          <cell r="C850" t="str">
            <v>RHSA-WHNGA</v>
          </cell>
          <cell r="H850">
            <v>2.3784996110437637</v>
          </cell>
          <cell r="I850">
            <v>1.4264764728701409</v>
          </cell>
          <cell r="J850">
            <v>0.63678681364974898</v>
          </cell>
        </row>
        <row r="851">
          <cell r="A851" t="str">
            <v>RHSA-WHNGABR</v>
          </cell>
          <cell r="B851" t="str">
            <v>VAR_fout</v>
          </cell>
          <cell r="C851" t="str">
            <v>CO2_R</v>
          </cell>
          <cell r="H851">
            <v>239.617158841308</v>
          </cell>
          <cell r="I851">
            <v>143.707502829112</v>
          </cell>
          <cell r="J851">
            <v>63.618127784341901</v>
          </cell>
        </row>
        <row r="852">
          <cell r="A852" t="str">
            <v>RHSA-WHNGABR</v>
          </cell>
          <cell r="B852" t="str">
            <v>VAR_fin</v>
          </cell>
          <cell r="C852" t="str">
            <v>RNGA</v>
          </cell>
          <cell r="H852">
            <v>4.2485311851295755</v>
          </cell>
          <cell r="I852">
            <v>2.5480053693104967</v>
          </cell>
          <cell r="J852">
            <v>1.1279809890840771</v>
          </cell>
        </row>
        <row r="853">
          <cell r="A853" t="str">
            <v>RHSA-WHNGABR</v>
          </cell>
          <cell r="B853" t="str">
            <v>VAR_ncap</v>
          </cell>
          <cell r="C853" t="str">
            <v>-</v>
          </cell>
          <cell r="H853">
            <v>4.9953750108620701E-2</v>
          </cell>
          <cell r="I853">
            <v>5.0131619976531601E-2</v>
          </cell>
          <cell r="J853">
            <v>2.1755160366810799E-7</v>
          </cell>
        </row>
        <row r="854">
          <cell r="A854" t="str">
            <v>RHSA-WHNGABR</v>
          </cell>
          <cell r="B854" t="str">
            <v>VAR_cap</v>
          </cell>
          <cell r="C854" t="str">
            <v>-</v>
          </cell>
          <cell r="H854">
            <v>0.16272735652595849</v>
          </cell>
          <cell r="I854">
            <v>0.10008512726633313</v>
          </cell>
          <cell r="J854">
            <v>5.7511546248037324E-2</v>
          </cell>
        </row>
        <row r="855">
          <cell r="A855" t="str">
            <v>ITOT-SWHWSTBR</v>
          </cell>
          <cell r="B855" t="str">
            <v>VAR_fout</v>
          </cell>
          <cell r="C855" t="str">
            <v>ITOT-SWH</v>
          </cell>
          <cell r="H855">
            <v>5.6909998017327075</v>
          </cell>
          <cell r="I855">
            <v>5.0415025670046552</v>
          </cell>
          <cell r="J855">
            <v>3.2361391323779065</v>
          </cell>
        </row>
        <row r="856">
          <cell r="A856" t="str">
            <v>ITOT-SWHWSTBR</v>
          </cell>
          <cell r="B856" t="str">
            <v>VAR_fout</v>
          </cell>
          <cell r="C856" t="str">
            <v>CO2_I</v>
          </cell>
          <cell r="H856">
            <v>1000.23632878939</v>
          </cell>
          <cell r="I856">
            <v>886.08226935233199</v>
          </cell>
          <cell r="J856">
            <v>552.04726375858399</v>
          </cell>
        </row>
        <row r="857">
          <cell r="A857" t="str">
            <v>ITOT-SWHWSTBR</v>
          </cell>
          <cell r="B857" t="str">
            <v>VAR_fin</v>
          </cell>
          <cell r="C857" t="str">
            <v>IWST</v>
          </cell>
          <cell r="H857">
            <v>10.778408715402861</v>
          </cell>
          <cell r="I857">
            <v>9.548300316296686</v>
          </cell>
          <cell r="J857">
            <v>5.9487851698123251</v>
          </cell>
        </row>
        <row r="858">
          <cell r="A858" t="str">
            <v>ITOT-SWHWSTBR</v>
          </cell>
          <cell r="B858" t="str">
            <v>VAR_ncap</v>
          </cell>
          <cell r="C858" t="str">
            <v>-</v>
          </cell>
          <cell r="H858">
            <v>0.24121025076257799</v>
          </cell>
          <cell r="I858">
            <v>0.14510602054935301</v>
          </cell>
          <cell r="J858">
            <v>1.9757525795340101E-2</v>
          </cell>
        </row>
        <row r="859">
          <cell r="A859" t="str">
            <v>ITOT-SWHWSTBR</v>
          </cell>
          <cell r="B859" t="str">
            <v>VAR_cap</v>
          </cell>
          <cell r="C859" t="str">
            <v>-</v>
          </cell>
          <cell r="H859">
            <v>0.33443513839301531</v>
          </cell>
          <cell r="I859">
            <v>0.3863098888913819</v>
          </cell>
          <cell r="J859">
            <v>0.22708251261415408</v>
          </cell>
        </row>
        <row r="860">
          <cell r="A860" t="str">
            <v>SCOM-SHSTG-ELC</v>
          </cell>
          <cell r="B860" t="str">
            <v>VAR_fout</v>
          </cell>
          <cell r="C860" t="str">
            <v>SCOM-SHAELCB</v>
          </cell>
          <cell r="H860">
            <v>1.8040717355420227E-5</v>
          </cell>
          <cell r="I860">
            <v>1.6898831336864752E-5</v>
          </cell>
          <cell r="J860">
            <v>4.9924859858578618E-6</v>
          </cell>
        </row>
        <row r="861">
          <cell r="A861" t="str">
            <v>SCOM-SHSTG-ELC</v>
          </cell>
          <cell r="B861" t="str">
            <v>VAR_fin</v>
          </cell>
          <cell r="C861" t="str">
            <v>SCOM-SHAELCB</v>
          </cell>
          <cell r="H861">
            <v>2.0316157682915973E-5</v>
          </cell>
          <cell r="I861">
            <v>2.0053926207373986E-5</v>
          </cell>
          <cell r="J861">
            <v>5.3498002303195925E-6</v>
          </cell>
        </row>
        <row r="862">
          <cell r="A862" t="str">
            <v>SCOM-SHSTG-ELC</v>
          </cell>
          <cell r="B862" t="str">
            <v>VAR_ncap</v>
          </cell>
          <cell r="C862" t="str">
            <v>-</v>
          </cell>
          <cell r="H862">
            <v>8.9006140404322199E-4</v>
          </cell>
          <cell r="I862">
            <v>4.4757215918636304E-3</v>
          </cell>
          <cell r="J862">
            <v>2.8648001367832999E-4</v>
          </cell>
        </row>
        <row r="863">
          <cell r="A863" t="str">
            <v>SCOM-SHSTG-ELC</v>
          </cell>
          <cell r="B863" t="str">
            <v>VAR_cap</v>
          </cell>
          <cell r="C863" t="str">
            <v>-</v>
          </cell>
          <cell r="H863">
            <v>5.3149677643810293E-3</v>
          </cell>
          <cell r="I863">
            <v>5.3523218059113682E-3</v>
          </cell>
          <cell r="J863">
            <v>3.8712037018586911E-3</v>
          </cell>
        </row>
        <row r="864">
          <cell r="A864" t="str">
            <v>SCOM-SHNGABR</v>
          </cell>
          <cell r="B864" t="str">
            <v>VAR_fout</v>
          </cell>
          <cell r="C864" t="str">
            <v>CO2_S</v>
          </cell>
          <cell r="H864">
            <v>635.32642969547499</v>
          </cell>
          <cell r="I864">
            <v>338.22520471191098</v>
          </cell>
          <cell r="J864">
            <v>126.818555177322</v>
          </cell>
        </row>
        <row r="865">
          <cell r="A865" t="str">
            <v>SCOM-SHNGABR</v>
          </cell>
          <cell r="B865" t="str">
            <v>VAR_fout</v>
          </cell>
          <cell r="C865" t="str">
            <v>SCOM-SHNGA</v>
          </cell>
          <cell r="H865">
            <v>9.7648021526750206</v>
          </cell>
          <cell r="I865">
            <v>5.1984335180937942</v>
          </cell>
          <cell r="J865">
            <v>1.9491682428326229</v>
          </cell>
        </row>
        <row r="866">
          <cell r="A866" t="str">
            <v>SCOM-SHNGABR</v>
          </cell>
          <cell r="B866" t="str">
            <v>VAR_fin</v>
          </cell>
          <cell r="C866" t="str">
            <v>SNGA</v>
          </cell>
          <cell r="H866">
            <v>11.264653008785029</v>
          </cell>
          <cell r="I866">
            <v>5.9969007927643823</v>
          </cell>
          <cell r="J866">
            <v>2.2485559428603263</v>
          </cell>
        </row>
        <row r="867">
          <cell r="A867" t="str">
            <v>SCOM-SHNGABR</v>
          </cell>
          <cell r="B867" t="str">
            <v>VAR_ncap</v>
          </cell>
          <cell r="C867" t="str">
            <v>-</v>
          </cell>
          <cell r="H867">
            <v>0.48875996432409402</v>
          </cell>
          <cell r="I867">
            <v>2.77641730202574E-2</v>
          </cell>
          <cell r="J867">
            <v>5.17448315538204E-6</v>
          </cell>
        </row>
        <row r="868">
          <cell r="A868" t="str">
            <v>SCOM-SHNGABR</v>
          </cell>
          <cell r="B868" t="str">
            <v>VAR_cap</v>
          </cell>
          <cell r="C868" t="str">
            <v>-</v>
          </cell>
          <cell r="H868">
            <v>1.1327663000750707</v>
          </cell>
          <cell r="I868">
            <v>0.5165236148326362</v>
          </cell>
          <cell r="J868">
            <v>0.22689638313227578</v>
          </cell>
        </row>
        <row r="869">
          <cell r="A869" t="str">
            <v>RHEM-SHELCHP</v>
          </cell>
          <cell r="B869" t="str">
            <v>VAR_fout</v>
          </cell>
          <cell r="C869" t="str">
            <v>RHEM-SHAELCH</v>
          </cell>
          <cell r="H869">
            <v>18.148714786304684</v>
          </cell>
          <cell r="I869">
            <v>22.204491752913647</v>
          </cell>
          <cell r="J869">
            <v>22.172779731079995</v>
          </cell>
        </row>
        <row r="870">
          <cell r="A870" t="str">
            <v>RHEM-SHELCHP</v>
          </cell>
          <cell r="B870" t="str">
            <v>VAR_fin</v>
          </cell>
          <cell r="C870" t="str">
            <v>RHEMELCHPC</v>
          </cell>
          <cell r="H870">
            <v>18.148714786304684</v>
          </cell>
          <cell r="I870">
            <v>22.204491752913647</v>
          </cell>
          <cell r="J870">
            <v>22.172779731079995</v>
          </cell>
        </row>
        <row r="871">
          <cell r="A871" t="str">
            <v>RHEM-SHELCHP</v>
          </cell>
          <cell r="B871" t="str">
            <v>VAR_fin</v>
          </cell>
          <cell r="C871" t="str">
            <v>RHEM_ELC</v>
          </cell>
          <cell r="H871">
            <v>5.0742493370068491</v>
          </cell>
          <cell r="I871">
            <v>5.8647851325561557</v>
          </cell>
          <cell r="J871">
            <v>5.3536978340133157</v>
          </cell>
        </row>
        <row r="872">
          <cell r="A872" t="str">
            <v>RHEM-SHELCHP</v>
          </cell>
          <cell r="B872" t="str">
            <v>VAR_ncap</v>
          </cell>
          <cell r="C872" t="str">
            <v>-</v>
          </cell>
          <cell r="H872">
            <v>0.805780329152323</v>
          </cell>
          <cell r="I872">
            <v>0.60438758866082898</v>
          </cell>
          <cell r="J872">
            <v>0.78668033941466697</v>
          </cell>
        </row>
        <row r="873">
          <cell r="A873" t="str">
            <v>RHEM-SHELCHP</v>
          </cell>
          <cell r="B873" t="str">
            <v>VAR_cap</v>
          </cell>
          <cell r="C873" t="str">
            <v>-</v>
          </cell>
          <cell r="H873">
            <v>1.2815691523834616</v>
          </cell>
          <cell r="I873">
            <v>1.5679649757935035</v>
          </cell>
          <cell r="J873">
            <v>1.566145345222288</v>
          </cell>
        </row>
        <row r="874">
          <cell r="A874" t="str">
            <v>RHNM-SHSTG-ELC</v>
          </cell>
          <cell r="B874" t="str">
            <v>VAR_fout</v>
          </cell>
          <cell r="C874" t="str">
            <v>RHNM-SHAELCB</v>
          </cell>
          <cell r="H874">
            <v>4.307622434058789E-4</v>
          </cell>
          <cell r="I874">
            <v>5.0181361022293104E-4</v>
          </cell>
          <cell r="J874">
            <v>3.0874695707888965E-4</v>
          </cell>
        </row>
        <row r="875">
          <cell r="A875" t="str">
            <v>RHNM-SHSTG-ELC</v>
          </cell>
          <cell r="B875" t="str">
            <v>VAR_fout</v>
          </cell>
          <cell r="C875" t="str">
            <v>AUX_RHNM-SHSTG-ELC_OUT</v>
          </cell>
          <cell r="H875">
            <v>4.3119300564928482E-4</v>
          </cell>
          <cell r="I875">
            <v>5.0231542383315383E-4</v>
          </cell>
          <cell r="J875">
            <v>3.090557040359686E-4</v>
          </cell>
        </row>
        <row r="876">
          <cell r="A876" t="str">
            <v>RHNM-SHSTG-ELC</v>
          </cell>
          <cell r="B876" t="str">
            <v>VAR_fin</v>
          </cell>
          <cell r="C876" t="str">
            <v>RHNM-SHAELCB</v>
          </cell>
          <cell r="H876">
            <v>4.2816143163238569E-4</v>
          </cell>
          <cell r="I876">
            <v>4.9779382397777757E-4</v>
          </cell>
          <cell r="J876">
            <v>3.0834295793858227E-4</v>
          </cell>
        </row>
        <row r="877">
          <cell r="A877" t="str">
            <v>RHNM-SHSTG-ELC</v>
          </cell>
          <cell r="B877" t="str">
            <v>VAR_ncap</v>
          </cell>
          <cell r="C877" t="str">
            <v>-</v>
          </cell>
          <cell r="H877">
            <v>1.6438627132779599E-4</v>
          </cell>
          <cell r="I877">
            <v>3.1179193210141199E-5</v>
          </cell>
          <cell r="J877">
            <v>2.6532435920344898E-5</v>
          </cell>
        </row>
        <row r="878">
          <cell r="A878" t="str">
            <v>RHNM-SHSTG-ELC</v>
          </cell>
          <cell r="B878" t="str">
            <v>VAR_cap</v>
          </cell>
          <cell r="C878" t="str">
            <v>-</v>
          </cell>
          <cell r="H878">
            <v>1.0136936753060298E-3</v>
          </cell>
          <cell r="I878">
            <v>1.742771900966396E-4</v>
          </cell>
          <cell r="J878">
            <v>7.3848663680632195E-5</v>
          </cell>
        </row>
        <row r="879">
          <cell r="A879" t="str">
            <v>D-RWOD</v>
          </cell>
          <cell r="B879" t="str">
            <v>VAR_fout</v>
          </cell>
          <cell r="C879" t="str">
            <v>RWOD</v>
          </cell>
          <cell r="H879">
            <v>14.382218169531846</v>
          </cell>
          <cell r="I879">
            <v>12.665719733472601</v>
          </cell>
          <cell r="J879">
            <v>7.1381719730223541</v>
          </cell>
        </row>
        <row r="880">
          <cell r="A880" t="str">
            <v>D-RWOD</v>
          </cell>
          <cell r="B880" t="str">
            <v>VAR_fin</v>
          </cell>
          <cell r="C880" t="str">
            <v>WOD</v>
          </cell>
          <cell r="H880">
            <v>14.382218169531846</v>
          </cell>
          <cell r="I880">
            <v>12.665719733472601</v>
          </cell>
          <cell r="J880">
            <v>7.1381719730223541</v>
          </cell>
        </row>
        <row r="881">
          <cell r="A881" t="str">
            <v>RHNS-SHLTHCHPWOD</v>
          </cell>
          <cell r="B881" t="str">
            <v>VAR_ncap</v>
          </cell>
          <cell r="C881" t="str">
            <v>-</v>
          </cell>
          <cell r="H881">
            <v>2.6191406419545898E-4</v>
          </cell>
          <cell r="I881">
            <v>1.6080355834589E-4</v>
          </cell>
          <cell r="J881">
            <v>5.6508765242928698E-5</v>
          </cell>
        </row>
        <row r="882">
          <cell r="A882" t="str">
            <v>RHNS-SHLTHCHPWOD</v>
          </cell>
          <cell r="B882" t="str">
            <v>VAR_cap</v>
          </cell>
          <cell r="C882" t="str">
            <v>-</v>
          </cell>
          <cell r="H882">
            <v>3.2020941953474344E-4</v>
          </cell>
          <cell r="I882">
            <v>2.8832036237092093E-4</v>
          </cell>
          <cell r="J882">
            <v>1.08139410932776E-4</v>
          </cell>
        </row>
        <row r="883">
          <cell r="A883" t="str">
            <v>RHNM-SHELCBR</v>
          </cell>
          <cell r="B883" t="str">
            <v>VAR_fout</v>
          </cell>
          <cell r="C883" t="str">
            <v>RHNM-SHAELCB</v>
          </cell>
          <cell r="H883">
            <v>1.7423324471368313E-3</v>
          </cell>
          <cell r="I883">
            <v>1.9351673990482012E-3</v>
          </cell>
          <cell r="J883">
            <v>1.8875257391455479E-3</v>
          </cell>
        </row>
        <row r="884">
          <cell r="A884" t="str">
            <v>RHNM-SHELCBR</v>
          </cell>
          <cell r="B884" t="str">
            <v>VAR_fin</v>
          </cell>
          <cell r="C884" t="str">
            <v>RHNM_ELC</v>
          </cell>
          <cell r="H884">
            <v>1.8340341548808742E-3</v>
          </cell>
          <cell r="I884">
            <v>2.0370183147875782E-3</v>
          </cell>
          <cell r="J884">
            <v>1.9868691991005729E-3</v>
          </cell>
        </row>
        <row r="885">
          <cell r="A885" t="str">
            <v>RHNM-SHELCBR</v>
          </cell>
          <cell r="B885" t="str">
            <v>VAR_ncap</v>
          </cell>
          <cell r="C885" t="str">
            <v>-</v>
          </cell>
          <cell r="H885">
            <v>7.3921419865157097E-4</v>
          </cell>
        </row>
        <row r="886">
          <cell r="A886" t="str">
            <v>RHNM-SHELCBR</v>
          </cell>
          <cell r="B886" t="str">
            <v>VAR_cap</v>
          </cell>
          <cell r="C886" t="str">
            <v>-</v>
          </cell>
          <cell r="H886">
            <v>4.30911780465349E-3</v>
          </cell>
          <cell r="I886">
            <v>7.3898036115833477E-4</v>
          </cell>
          <cell r="J886">
            <v>3.1227949557082087E-4</v>
          </cell>
        </row>
        <row r="887">
          <cell r="A887" t="str">
            <v>RHNS-SHSTG-NGAHP</v>
          </cell>
          <cell r="B887" t="str">
            <v>VAR_fout</v>
          </cell>
          <cell r="C887" t="str">
            <v>RHNS-SHANGAH</v>
          </cell>
          <cell r="H887">
            <v>3.590807049480399E-2</v>
          </cell>
          <cell r="I887">
            <v>5.182956651831401E-2</v>
          </cell>
          <cell r="J887">
            <v>7.1229107472596323E-2</v>
          </cell>
        </row>
        <row r="888">
          <cell r="A888" t="str">
            <v>RHNS-SHSTG-NGAHP</v>
          </cell>
          <cell r="B888" t="str">
            <v>VAR_fout</v>
          </cell>
          <cell r="C888" t="str">
            <v>AUX_RHNS-SHSTG-NGAHP_OUT</v>
          </cell>
          <cell r="H888">
            <v>3.5943978565298774E-2</v>
          </cell>
          <cell r="I888">
            <v>5.1881396084832318E-2</v>
          </cell>
          <cell r="J888">
            <v>7.1300336580068902E-2</v>
          </cell>
        </row>
        <row r="889">
          <cell r="A889" t="str">
            <v>RHNS-SHSTG-NGAHP</v>
          </cell>
          <cell r="B889" t="str">
            <v>VAR_fin</v>
          </cell>
          <cell r="C889" t="str">
            <v>RHNS-SHANGAH</v>
          </cell>
          <cell r="H889">
            <v>3.5924141478160268E-2</v>
          </cell>
          <cell r="I889">
            <v>5.1842503829083134E-2</v>
          </cell>
          <cell r="J889">
            <v>7.1245696110784476E-2</v>
          </cell>
        </row>
        <row r="890">
          <cell r="A890" t="str">
            <v>RHNS-SHSTG-NGAHP</v>
          </cell>
          <cell r="B890" t="str">
            <v>VAR_ncap</v>
          </cell>
          <cell r="C890" t="str">
            <v>-</v>
          </cell>
          <cell r="H890">
            <v>2.9308393967095001E-3</v>
          </cell>
          <cell r="I890">
            <v>5.8558479282039503E-3</v>
          </cell>
          <cell r="J890">
            <v>9.5760946955910902E-3</v>
          </cell>
        </row>
        <row r="891">
          <cell r="A891" t="str">
            <v>RHNS-SHSTG-NGAHP</v>
          </cell>
          <cell r="B891" t="str">
            <v>VAR_cap</v>
          </cell>
          <cell r="C891" t="str">
            <v>-</v>
          </cell>
          <cell r="H891">
            <v>9.8627007082318363E-3</v>
          </cell>
          <cell r="I891">
            <v>1.2267811944277852E-2</v>
          </cell>
          <cell r="J891">
            <v>1.5039990950034275E-2</v>
          </cell>
        </row>
        <row r="892">
          <cell r="A892" t="str">
            <v>RHNS-SHLTHDH</v>
          </cell>
          <cell r="B892" t="str">
            <v>VAR_fout</v>
          </cell>
          <cell r="C892" t="str">
            <v>RHNS-SHLTHD</v>
          </cell>
          <cell r="H892">
            <v>0.15911763278774604</v>
          </cell>
          <cell r="I892">
            <v>0.17108295955680708</v>
          </cell>
          <cell r="J892">
            <v>0.19842203969627711</v>
          </cell>
        </row>
        <row r="893">
          <cell r="A893" t="str">
            <v>RHNS-SHLTHDH</v>
          </cell>
          <cell r="B893" t="str">
            <v>VAR_fin</v>
          </cell>
          <cell r="C893" t="str">
            <v>RHNS_LTH_DH</v>
          </cell>
          <cell r="H893">
            <v>0.17493830465697158</v>
          </cell>
          <cell r="I893">
            <v>0.18800472466091117</v>
          </cell>
          <cell r="J893">
            <v>0.21792370585734008</v>
          </cell>
        </row>
        <row r="894">
          <cell r="A894" t="str">
            <v>RHNS-SHLTHDH</v>
          </cell>
          <cell r="B894" t="str">
            <v>VAR_fin</v>
          </cell>
          <cell r="C894" t="str">
            <v>RHNSLTHDHC</v>
          </cell>
          <cell r="H894">
            <v>0.15911763278774604</v>
          </cell>
          <cell r="I894">
            <v>0.17108295955680708</v>
          </cell>
          <cell r="J894">
            <v>0.19842203969627711</v>
          </cell>
        </row>
        <row r="895">
          <cell r="A895" t="str">
            <v>RHNS-SHLTHDH</v>
          </cell>
          <cell r="B895" t="str">
            <v>VAR_ncap</v>
          </cell>
          <cell r="C895" t="str">
            <v>-</v>
          </cell>
          <cell r="H895">
            <v>1.37340011368182E-2</v>
          </cell>
          <cell r="I895">
            <v>6.2738657106673999E-3</v>
          </cell>
          <cell r="J895">
            <v>7.3290244866663704E-3</v>
          </cell>
        </row>
        <row r="896">
          <cell r="A896" t="str">
            <v>RHNS-SHLTHDH</v>
          </cell>
          <cell r="B896" t="str">
            <v>VAR_cap</v>
          </cell>
          <cell r="C896" t="str">
            <v>-</v>
          </cell>
          <cell r="H896">
            <v>2.3055754838456403E-2</v>
          </cell>
          <cell r="I896">
            <v>1.6158172664990898E-2</v>
          </cell>
          <cell r="J896">
            <v>1.5699928785145402E-2</v>
          </cell>
        </row>
        <row r="897">
          <cell r="A897" t="str">
            <v>ITOT-SWHNGAHP</v>
          </cell>
          <cell r="B897" t="str">
            <v>VAR_fout</v>
          </cell>
          <cell r="C897" t="str">
            <v>ITOT-SWHANGAH</v>
          </cell>
          <cell r="H897">
            <v>2.7718820702345615E-3</v>
          </cell>
          <cell r="I897">
            <v>2.0214569220790737E-3</v>
          </cell>
          <cell r="J897">
            <v>8.6033821846326418E-4</v>
          </cell>
        </row>
        <row r="898">
          <cell r="A898" t="str">
            <v>ITOT-SWHNGAHP</v>
          </cell>
          <cell r="B898" t="str">
            <v>VAR_fout</v>
          </cell>
          <cell r="C898" t="str">
            <v>CO2_I</v>
          </cell>
          <cell r="H898">
            <v>7.9799128651485696E-2</v>
          </cell>
          <cell r="I898">
            <v>5.7121273291661702E-2</v>
          </cell>
          <cell r="J898">
            <v>2.3445587181621302E-2</v>
          </cell>
        </row>
        <row r="899">
          <cell r="A899" t="str">
            <v>ITOT-SWHNGAHP</v>
          </cell>
          <cell r="B899" t="str">
            <v>VAR_fin</v>
          </cell>
          <cell r="C899" t="str">
            <v>ITOTELCHPC</v>
          </cell>
          <cell r="H899">
            <v>2.7718820702345615E-3</v>
          </cell>
          <cell r="I899">
            <v>2.0214569220790737E-3</v>
          </cell>
          <cell r="J899">
            <v>8.6033821846326418E-4</v>
          </cell>
        </row>
        <row r="900">
          <cell r="A900" t="str">
            <v>ITOT-SWHNGAHP</v>
          </cell>
          <cell r="B900" t="str">
            <v>VAR_fin</v>
          </cell>
          <cell r="C900" t="str">
            <v>INGA</v>
          </cell>
          <cell r="H900">
            <v>1.4148781675795334E-3</v>
          </cell>
          <cell r="I900">
            <v>1.0127885335401022E-3</v>
          </cell>
          <cell r="J900">
            <v>4.1570190038335743E-4</v>
          </cell>
        </row>
        <row r="901">
          <cell r="A901" t="str">
            <v>ITOT-SWHNGAHP</v>
          </cell>
          <cell r="B901" t="str">
            <v>VAR_ncap</v>
          </cell>
          <cell r="C901" t="str">
            <v>-</v>
          </cell>
          <cell r="H901">
            <v>2.0792289790755699E-4</v>
          </cell>
          <cell r="I901">
            <v>9.9862318908300394E-7</v>
          </cell>
          <cell r="J901">
            <v>1.00208478665821E-6</v>
          </cell>
        </row>
        <row r="902">
          <cell r="A902" t="str">
            <v>ITOT-SWHNGAHP</v>
          </cell>
          <cell r="B902" t="str">
            <v>VAR_cap</v>
          </cell>
          <cell r="C902" t="str">
            <v>-</v>
          </cell>
          <cell r="H902">
            <v>2.6923438755326002E-4</v>
          </cell>
          <cell r="I902">
            <v>2.0833521635214177E-4</v>
          </cell>
          <cell r="J902">
            <v>8.8144458348580622E-5</v>
          </cell>
        </row>
        <row r="903">
          <cell r="A903" t="str">
            <v>RHSA-WHLFOBR</v>
          </cell>
          <cell r="B903" t="str">
            <v>VAR_fout</v>
          </cell>
          <cell r="C903" t="str">
            <v>CO2_R</v>
          </cell>
          <cell r="H903">
            <v>194.81342052030499</v>
          </cell>
          <cell r="I903">
            <v>96.602327947271107</v>
          </cell>
          <cell r="J903">
            <v>7.2525971533710498</v>
          </cell>
        </row>
        <row r="904">
          <cell r="A904" t="str">
            <v>RHSA-WHLFOBR</v>
          </cell>
          <cell r="B904" t="str">
            <v>VAR_fout</v>
          </cell>
          <cell r="C904" t="str">
            <v>RHSA-WHLFO</v>
          </cell>
          <cell r="H904">
            <v>1.4573436703841645</v>
          </cell>
          <cell r="I904">
            <v>0.73343974818438651</v>
          </cell>
          <cell r="J904">
            <v>5.8045330059344272E-2</v>
          </cell>
        </row>
        <row r="905">
          <cell r="A905" t="str">
            <v>RHSA-WHLFOBR</v>
          </cell>
          <cell r="B905" t="str">
            <v>VAR_fin</v>
          </cell>
          <cell r="C905" t="str">
            <v>RLFO</v>
          </cell>
          <cell r="H905">
            <v>2.6433299934912435</v>
          </cell>
          <cell r="I905">
            <v>1.3107507184161604</v>
          </cell>
          <cell r="J905">
            <v>9.8407017006391526E-2</v>
          </cell>
        </row>
        <row r="906">
          <cell r="A906" t="str">
            <v>RHSA-WHLFOBR</v>
          </cell>
          <cell r="B906" t="str">
            <v>VAR_ncap</v>
          </cell>
          <cell r="C906" t="str">
            <v>-</v>
          </cell>
          <cell r="H906">
            <v>2.39597200532588E-2</v>
          </cell>
          <cell r="I906">
            <v>2.61777119846111E-2</v>
          </cell>
        </row>
        <row r="907">
          <cell r="A907" t="str">
            <v>RHSA-WHLFOBR</v>
          </cell>
          <cell r="B907" t="str">
            <v>VAR_cap</v>
          </cell>
          <cell r="C907" t="str">
            <v>-</v>
          </cell>
          <cell r="H907">
            <v>0.10009473098762819</v>
          </cell>
          <cell r="I907">
            <v>5.0137306738020443E-2</v>
          </cell>
          <cell r="J907">
            <v>5.8313516108308983E-3</v>
          </cell>
        </row>
        <row r="908">
          <cell r="A908" t="str">
            <v>D-IWST</v>
          </cell>
          <cell r="B908" t="str">
            <v>VAR_fout</v>
          </cell>
          <cell r="C908" t="str">
            <v>CO2</v>
          </cell>
          <cell r="H908">
            <v>1001.75496742351</v>
          </cell>
          <cell r="I908">
            <v>1073.77951968704</v>
          </cell>
          <cell r="J908">
            <v>1086.85423226783</v>
          </cell>
        </row>
        <row r="909">
          <cell r="A909" t="str">
            <v>D-IWST</v>
          </cell>
          <cell r="B909" t="str">
            <v>VAR_fout</v>
          </cell>
          <cell r="C909" t="str">
            <v>IWST</v>
          </cell>
          <cell r="H909">
            <v>10.794773355856744</v>
          </cell>
          <cell r="I909">
            <v>11.570899996627553</v>
          </cell>
          <cell r="J909">
            <v>11.711791295989576</v>
          </cell>
        </row>
        <row r="910">
          <cell r="A910" t="str">
            <v>D-IWST</v>
          </cell>
          <cell r="B910" t="str">
            <v>VAR_fin</v>
          </cell>
          <cell r="C910" t="str">
            <v>WSTNREN</v>
          </cell>
          <cell r="H910">
            <v>10.794773355856744</v>
          </cell>
          <cell r="I910">
            <v>11.570899996627553</v>
          </cell>
          <cell r="J910">
            <v>11.711791295989576</v>
          </cell>
        </row>
        <row r="911">
          <cell r="A911" t="str">
            <v>RHES-SHLFOBR</v>
          </cell>
          <cell r="B911" t="str">
            <v>VAR_fout</v>
          </cell>
          <cell r="C911" t="str">
            <v>CO2_R</v>
          </cell>
          <cell r="H911">
            <v>349.24179562006498</v>
          </cell>
          <cell r="I911">
            <v>114.615242125297</v>
          </cell>
          <cell r="J911">
            <v>11.299608968518299</v>
          </cell>
        </row>
        <row r="912">
          <cell r="A912" t="str">
            <v>RHES-SHLFOBR</v>
          </cell>
          <cell r="B912" t="str">
            <v>VAR_fout</v>
          </cell>
          <cell r="C912" t="str">
            <v>RHES-SHLFO</v>
          </cell>
          <cell r="H912">
            <v>4.1052773886161269</v>
          </cell>
          <cell r="I912">
            <v>1.3450713955715177</v>
          </cell>
          <cell r="J912">
            <v>0.13281188991140572</v>
          </cell>
        </row>
        <row r="913">
          <cell r="A913" t="str">
            <v>RHES-SHLFOBR</v>
          </cell>
          <cell r="B913" t="str">
            <v>VAR_fin</v>
          </cell>
          <cell r="C913" t="str">
            <v>RLFO</v>
          </cell>
          <cell r="H913">
            <v>4.7386946488475603</v>
          </cell>
          <cell r="I913">
            <v>1.5551593232740419</v>
          </cell>
          <cell r="J913">
            <v>0.15331898193376312</v>
          </cell>
        </row>
        <row r="914">
          <cell r="A914" t="str">
            <v>RHES-SHLFOBR</v>
          </cell>
          <cell r="B914" t="str">
            <v>VAR_ncap</v>
          </cell>
          <cell r="C914" t="str">
            <v>-</v>
          </cell>
          <cell r="H914">
            <v>8.7375453408952697E-3</v>
          </cell>
          <cell r="I914">
            <v>9.9945748091143205E-2</v>
          </cell>
          <cell r="J914">
            <v>5.3892587529194603E-8</v>
          </cell>
        </row>
        <row r="915">
          <cell r="A915" t="str">
            <v>RHES-SHLFOBR</v>
          </cell>
          <cell r="B915" t="str">
            <v>VAR_cap</v>
          </cell>
          <cell r="C915" t="str">
            <v>-</v>
          </cell>
          <cell r="H915">
            <v>0.33173111038808578</v>
          </cell>
          <cell r="I915">
            <v>0.10868321600331909</v>
          </cell>
          <cell r="J915">
            <v>1.5713300640156996E-2</v>
          </cell>
        </row>
        <row r="916">
          <cell r="A916" t="str">
            <v>ITOT-SWHSTG</v>
          </cell>
          <cell r="B916" t="str">
            <v>VAR_fout</v>
          </cell>
          <cell r="C916" t="str">
            <v>ITOT-SWH</v>
          </cell>
          <cell r="H916">
            <v>3.2128268466941026E-3</v>
          </cell>
          <cell r="I916">
            <v>0.10615947390797806</v>
          </cell>
          <cell r="J916">
            <v>1.4873157067059612</v>
          </cell>
        </row>
        <row r="917">
          <cell r="A917" t="str">
            <v>ITOT-SWHSTG</v>
          </cell>
          <cell r="B917" t="str">
            <v>VAR_fout</v>
          </cell>
          <cell r="C917" t="str">
            <v>AUX_ITOT-STG_OUT</v>
          </cell>
          <cell r="H917">
            <v>3.2092570390866715E-3</v>
          </cell>
          <cell r="I917">
            <v>0.10615947390797817</v>
          </cell>
          <cell r="J917">
            <v>1.4873157067059615</v>
          </cell>
        </row>
        <row r="918">
          <cell r="A918" t="str">
            <v>ITOT-SWHSTG</v>
          </cell>
          <cell r="B918" t="str">
            <v>VAR_fin</v>
          </cell>
          <cell r="C918" t="str">
            <v>AUX_ITOT-STG_IN</v>
          </cell>
          <cell r="H918">
            <v>3.569807576943708E-3</v>
          </cell>
          <cell r="I918">
            <v>0.1141499739803455</v>
          </cell>
          <cell r="J918">
            <v>1.502339094586387</v>
          </cell>
        </row>
        <row r="919">
          <cell r="A919" t="str">
            <v>ITOT-SWHSTG</v>
          </cell>
          <cell r="B919" t="str">
            <v>VAR_fin</v>
          </cell>
          <cell r="C919" t="str">
            <v>ITOT-SWH</v>
          </cell>
          <cell r="H919">
            <v>3.569807576943708E-3</v>
          </cell>
          <cell r="I919">
            <v>0.1141499739803455</v>
          </cell>
          <cell r="J919">
            <v>1.502339094586387</v>
          </cell>
        </row>
        <row r="920">
          <cell r="A920" t="str">
            <v>ITOT-SWHSTG</v>
          </cell>
          <cell r="B920" t="str">
            <v>VAR_ncap</v>
          </cell>
          <cell r="C920" t="str">
            <v>-</v>
          </cell>
          <cell r="H920">
            <v>8.9525770201158796E-4</v>
          </cell>
          <cell r="I920">
            <v>4.29444653047261E-2</v>
          </cell>
          <cell r="J920">
            <v>0.20605677318482801</v>
          </cell>
        </row>
        <row r="921">
          <cell r="A921" t="str">
            <v>ITOT-SWHSTG</v>
          </cell>
          <cell r="B921" t="str">
            <v>VAR_cap</v>
          </cell>
          <cell r="C921" t="str">
            <v>-</v>
          </cell>
          <cell r="H921">
            <v>1.0680543192913396E-3</v>
          </cell>
          <cell r="I921">
            <v>4.3839154712164617E-2</v>
          </cell>
          <cell r="J921">
            <v>0.23759818711767555</v>
          </cell>
        </row>
        <row r="922">
          <cell r="A922" t="str">
            <v>SCOM-SHLFOBR</v>
          </cell>
          <cell r="B922" t="str">
            <v>VAR_fout</v>
          </cell>
          <cell r="C922" t="str">
            <v>CO2_S</v>
          </cell>
          <cell r="H922">
            <v>821.83593004517502</v>
          </cell>
          <cell r="I922">
            <v>400.54035236174002</v>
          </cell>
          <cell r="J922">
            <v>31.126568868348301</v>
          </cell>
        </row>
        <row r="923">
          <cell r="A923" t="str">
            <v>SCOM-SHLFOBR</v>
          </cell>
          <cell r="B923" t="str">
            <v>VAR_fout</v>
          </cell>
          <cell r="C923" t="str">
            <v>SCOM-SHLFO</v>
          </cell>
          <cell r="H923">
            <v>9.1300379123505788</v>
          </cell>
          <cell r="I923">
            <v>4.449730741618863</v>
          </cell>
          <cell r="J923">
            <v>0.34579499807679331</v>
          </cell>
        </row>
        <row r="924">
          <cell r="A924" t="str">
            <v>SCOM-SHLFOBR</v>
          </cell>
          <cell r="B924" t="str">
            <v>VAR_fin</v>
          </cell>
          <cell r="C924" t="str">
            <v>SLFO</v>
          </cell>
          <cell r="H924">
            <v>11.151098101020022</v>
          </cell>
          <cell r="I924">
            <v>5.4347401948675751</v>
          </cell>
          <cell r="J924">
            <v>0.42234150431951573</v>
          </cell>
        </row>
        <row r="925">
          <cell r="A925" t="str">
            <v>SCOM-SHLFOBR</v>
          </cell>
          <cell r="B925" t="str">
            <v>VAR_ncap</v>
          </cell>
          <cell r="C925" t="str">
            <v>-</v>
          </cell>
          <cell r="H925">
            <v>0.34548850562128403</v>
          </cell>
          <cell r="I925">
            <v>3.5583412206961602E-6</v>
          </cell>
          <cell r="J925">
            <v>1.92008243862008E-7</v>
          </cell>
        </row>
        <row r="926">
          <cell r="A926" t="str">
            <v>SCOM-SHLFOBR</v>
          </cell>
          <cell r="B926" t="str">
            <v>VAR_cap</v>
          </cell>
          <cell r="C926" t="str">
            <v>-</v>
          </cell>
          <cell r="H926">
            <v>0.77700328556130815</v>
          </cell>
          <cell r="I926">
            <v>0.34549198321145907</v>
          </cell>
          <cell r="J926">
            <v>5.8594894157872196E-2</v>
          </cell>
        </row>
        <row r="927">
          <cell r="A927" t="str">
            <v>RHNM-SHPLTBR</v>
          </cell>
          <cell r="B927" t="str">
            <v>VAR_fout</v>
          </cell>
          <cell r="C927" t="str">
            <v>RHNM-SHPLT</v>
          </cell>
          <cell r="H927">
            <v>1.8959094009795844E-2</v>
          </cell>
          <cell r="I927">
            <v>2.1620087003171334E-2</v>
          </cell>
          <cell r="J927">
            <v>2.6193723823058426E-2</v>
          </cell>
        </row>
        <row r="928">
          <cell r="A928" t="str">
            <v>RHNM-SHPLTBR</v>
          </cell>
          <cell r="B928" t="str">
            <v>VAR_fin</v>
          </cell>
          <cell r="C928" t="str">
            <v>RPLT</v>
          </cell>
          <cell r="H928">
            <v>2.4987389151995783E-2</v>
          </cell>
          <cell r="I928">
            <v>2.8265239191971707E-2</v>
          </cell>
          <cell r="J928">
            <v>3.4244629500269491E-2</v>
          </cell>
        </row>
        <row r="929">
          <cell r="A929" t="str">
            <v>RHNM-SHPLTBR</v>
          </cell>
          <cell r="B929" t="str">
            <v>VAR_fin</v>
          </cell>
          <cell r="C929" t="str">
            <v>RHNMPLTBRC</v>
          </cell>
          <cell r="H929">
            <v>1.8959094009795844E-2</v>
          </cell>
          <cell r="I929">
            <v>2.1620087003171334E-2</v>
          </cell>
          <cell r="J929">
            <v>2.6193723823058426E-2</v>
          </cell>
        </row>
        <row r="930">
          <cell r="A930" t="str">
            <v>RHNM-SHPLTBR</v>
          </cell>
          <cell r="B930" t="str">
            <v>VAR_ncap</v>
          </cell>
          <cell r="C930" t="str">
            <v>-</v>
          </cell>
          <cell r="H930">
            <v>3.0208571891028499E-6</v>
          </cell>
          <cell r="I930">
            <v>1.7216509480366699E-3</v>
          </cell>
          <cell r="J930">
            <v>8.0351740390741599E-4</v>
          </cell>
        </row>
        <row r="931">
          <cell r="A931" t="str">
            <v>RHNM-SHPLTBR</v>
          </cell>
          <cell r="B931" t="str">
            <v>VAR_cap</v>
          </cell>
          <cell r="C931" t="str">
            <v>-</v>
          </cell>
          <cell r="H931">
            <v>2.1410206784697908E-3</v>
          </cell>
          <cell r="I931">
            <v>1.7256990751687018E-3</v>
          </cell>
          <cell r="J931">
            <v>2.0541249720434341E-3</v>
          </cell>
        </row>
        <row r="932">
          <cell r="A932" t="str">
            <v>D-RHES_NKEV_GAS_ELC_CHP</v>
          </cell>
          <cell r="B932" t="str">
            <v>VAR_fout</v>
          </cell>
          <cell r="C932" t="str">
            <v>RHES_ELC</v>
          </cell>
          <cell r="H932">
            <v>3.5897758692132451E-3</v>
          </cell>
          <cell r="I932">
            <v>4.9131032058252256E-4</v>
          </cell>
        </row>
        <row r="933">
          <cell r="A933" t="str">
            <v>D-RHES_NKEV_GAS_ELC_CHP</v>
          </cell>
          <cell r="B933" t="str">
            <v>VAR_fout</v>
          </cell>
          <cell r="C933" t="str">
            <v>ELC5</v>
          </cell>
          <cell r="H933">
            <v>5.6876124713040889E-4</v>
          </cell>
          <cell r="I933">
            <v>2.5836848588398976E-4</v>
          </cell>
        </row>
        <row r="934">
          <cell r="A934" t="str">
            <v>D-RHES_NKEV_GAS_ELC_CHP</v>
          </cell>
          <cell r="B934" t="str">
            <v>VAR_fin</v>
          </cell>
          <cell r="C934" t="str">
            <v>RHES_NKEV_GAS_ELC_CHP</v>
          </cell>
          <cell r="H934">
            <v>4.1438289523760231E-3</v>
          </cell>
          <cell r="I934">
            <v>7.3880358703188134E-4</v>
          </cell>
        </row>
        <row r="935">
          <cell r="A935" t="str">
            <v>SCOM-SHSTG-SOL</v>
          </cell>
          <cell r="B935" t="str">
            <v>VAR_fout</v>
          </cell>
          <cell r="C935" t="str">
            <v>SCOM-SHASOL</v>
          </cell>
          <cell r="H935">
            <v>2.2121866012855808E-5</v>
          </cell>
          <cell r="I935">
            <v>2.0613418537059056E-5</v>
          </cell>
          <cell r="J935">
            <v>1.2905320196864173E-5</v>
          </cell>
        </row>
        <row r="936">
          <cell r="A936" t="str">
            <v>SCOM-SHSTG-SOL</v>
          </cell>
          <cell r="B936" t="str">
            <v>VAR_fin</v>
          </cell>
          <cell r="C936" t="str">
            <v>SCOM-SHASOL</v>
          </cell>
          <cell r="H936">
            <v>1.7539851212671759E-5</v>
          </cell>
          <cell r="I936">
            <v>1.6654792822892688E-5</v>
          </cell>
          <cell r="J936">
            <v>4.4042406349022349E-6</v>
          </cell>
        </row>
        <row r="937">
          <cell r="A937" t="str">
            <v>SCOM-SHSTG-SOL</v>
          </cell>
          <cell r="B937" t="str">
            <v>VAR_ncap</v>
          </cell>
          <cell r="C937" t="str">
            <v>-</v>
          </cell>
          <cell r="H937">
            <v>1.25210045794258E-2</v>
          </cell>
          <cell r="I937">
            <v>1.33755385685997E-2</v>
          </cell>
          <cell r="J937">
            <v>1.38127525415726E-2</v>
          </cell>
        </row>
        <row r="938">
          <cell r="A938" t="str">
            <v>SCOM-SHSTG-SOL</v>
          </cell>
          <cell r="B938" t="str">
            <v>VAR_cap</v>
          </cell>
          <cell r="C938" t="str">
            <v>-</v>
          </cell>
          <cell r="H938">
            <v>2.2582101518846699E-2</v>
          </cell>
          <cell r="I938">
            <v>2.58968324666939E-2</v>
          </cell>
          <cell r="J938">
            <v>2.8816147247241401E-2</v>
          </cell>
        </row>
        <row r="939">
          <cell r="A939" t="str">
            <v>RHNM-SHELCBRA</v>
          </cell>
          <cell r="B939" t="str">
            <v>VAR_fout</v>
          </cell>
          <cell r="C939" t="str">
            <v>RHNM-SHELCB</v>
          </cell>
          <cell r="H939">
            <v>1.744951509917974E-3</v>
          </cell>
          <cell r="I939">
            <v>1.939192808194086E-3</v>
          </cell>
          <cell r="J939">
            <v>1.8879297382858532E-3</v>
          </cell>
        </row>
        <row r="940">
          <cell r="A940" t="str">
            <v>RHNM-SHELCBRA</v>
          </cell>
          <cell r="B940" t="str">
            <v>VAR_fin</v>
          </cell>
          <cell r="C940" t="str">
            <v>RHNM-SHAELCB</v>
          </cell>
          <cell r="H940">
            <v>1.744951509917974E-3</v>
          </cell>
          <cell r="I940">
            <v>1.939192808194086E-3</v>
          </cell>
          <cell r="J940">
            <v>1.8879297382858532E-3</v>
          </cell>
        </row>
        <row r="941">
          <cell r="A941" t="str">
            <v>RHNM-SHELCBRA</v>
          </cell>
          <cell r="B941" t="str">
            <v>VAR_ncap</v>
          </cell>
          <cell r="C941" t="str">
            <v>-</v>
          </cell>
          <cell r="H941">
            <v>7.70059506160752E-4</v>
          </cell>
        </row>
        <row r="942">
          <cell r="A942" t="str">
            <v>RHNM-SHELCBRA</v>
          </cell>
          <cell r="B942" t="str">
            <v>VAR_cap</v>
          </cell>
          <cell r="C942" t="str">
            <v>-</v>
          </cell>
          <cell r="H942">
            <v>4.3090648829714005E-3</v>
          </cell>
          <cell r="I942">
            <v>7.3939032867648114E-4</v>
          </cell>
          <cell r="J942">
            <v>3.123457113867806E-4</v>
          </cell>
        </row>
        <row r="943">
          <cell r="A943" t="str">
            <v>RHNM-SHSTG-SOL</v>
          </cell>
          <cell r="B943" t="str">
            <v>VAR_fout</v>
          </cell>
          <cell r="C943" t="str">
            <v>AUX_RHNM-SHSTG-SOL_OUT</v>
          </cell>
          <cell r="H943">
            <v>1.8640785102141882E-5</v>
          </cell>
          <cell r="I943">
            <v>2.244382944378711E-5</v>
          </cell>
          <cell r="J943">
            <v>4.6893640465732457E-5</v>
          </cell>
        </row>
        <row r="944">
          <cell r="A944" t="str">
            <v>RHNM-SHSTG-SOL</v>
          </cell>
          <cell r="B944" t="str">
            <v>VAR_fout</v>
          </cell>
          <cell r="C944" t="str">
            <v>RHNM-SHASOL</v>
          </cell>
          <cell r="H944">
            <v>1.862216293920268E-5</v>
          </cell>
          <cell r="I944">
            <v>2.2421408035751371E-5</v>
          </cell>
          <cell r="J944">
            <v>4.6846793672060349E-5</v>
          </cell>
        </row>
        <row r="945">
          <cell r="A945" t="str">
            <v>RHNM-SHSTG-SOL</v>
          </cell>
          <cell r="B945" t="str">
            <v>VAR_fin</v>
          </cell>
          <cell r="C945" t="str">
            <v>RHNM-SHASOL</v>
          </cell>
          <cell r="H945">
            <v>7.7722263142845966E-6</v>
          </cell>
          <cell r="I945">
            <v>1.7977801721712195E-5</v>
          </cell>
          <cell r="J945">
            <v>4.4089001002710655E-5</v>
          </cell>
        </row>
        <row r="946">
          <cell r="A946" t="str">
            <v>RHNM-SHSTG-SOL</v>
          </cell>
          <cell r="B946" t="str">
            <v>VAR_ncap</v>
          </cell>
          <cell r="C946" t="str">
            <v>-</v>
          </cell>
          <cell r="H946">
            <v>4.0620094981667902E-7</v>
          </cell>
          <cell r="I946">
            <v>1.07886758291601E-5</v>
          </cell>
          <cell r="J946">
            <v>1.4706708024046499E-5</v>
          </cell>
        </row>
        <row r="947">
          <cell r="A947" t="str">
            <v>RHNM-SHSTG-SOL</v>
          </cell>
          <cell r="B947" t="str">
            <v>VAR_cap</v>
          </cell>
          <cell r="C947" t="str">
            <v>-</v>
          </cell>
          <cell r="H947">
            <v>1.15868878210757E-4</v>
          </cell>
          <cell r="I947">
            <v>2.8757836459860099E-5</v>
          </cell>
          <cell r="J947">
            <v>2.2708232580638901E-5</v>
          </cell>
        </row>
        <row r="948">
          <cell r="A948" t="str">
            <v>RHNS-SHELCHP</v>
          </cell>
          <cell r="B948" t="str">
            <v>VAR_fout</v>
          </cell>
          <cell r="C948" t="str">
            <v>RHNS-SHAELCH</v>
          </cell>
          <cell r="H948">
            <v>2.2166332153352628</v>
          </cell>
          <cell r="I948">
            <v>2.6314568732115688</v>
          </cell>
          <cell r="J948">
            <v>3.2505676411371449</v>
          </cell>
        </row>
        <row r="949">
          <cell r="A949" t="str">
            <v>RHNS-SHELCHP</v>
          </cell>
          <cell r="B949" t="str">
            <v>VAR_fin</v>
          </cell>
          <cell r="C949" t="str">
            <v>RHNS_ELC</v>
          </cell>
          <cell r="H949">
            <v>0.59678485813263826</v>
          </cell>
          <cell r="I949">
            <v>0.68487360015340648</v>
          </cell>
          <cell r="J949">
            <v>0.77775203378294</v>
          </cell>
        </row>
        <row r="950">
          <cell r="A950" t="str">
            <v>RHNS-SHELCHP</v>
          </cell>
          <cell r="B950" t="str">
            <v>VAR_fin</v>
          </cell>
          <cell r="C950" t="str">
            <v>RHNSELCHPC</v>
          </cell>
          <cell r="H950">
            <v>2.2166332153352628</v>
          </cell>
          <cell r="I950">
            <v>2.6314568732115688</v>
          </cell>
          <cell r="J950">
            <v>3.2505676411371449</v>
          </cell>
        </row>
        <row r="951">
          <cell r="A951" t="str">
            <v>RHNS-SHELCHP</v>
          </cell>
          <cell r="B951" t="str">
            <v>VAR_ncap</v>
          </cell>
          <cell r="C951" t="str">
            <v>-</v>
          </cell>
          <cell r="H951">
            <v>4.2013816400279902E-2</v>
          </cell>
          <cell r="I951">
            <v>0.107412474340977</v>
          </cell>
          <cell r="J951">
            <v>0.14118054283737599</v>
          </cell>
        </row>
        <row r="952">
          <cell r="A952" t="str">
            <v>RHNS-SHELCHP</v>
          </cell>
          <cell r="B952" t="str">
            <v>VAR_cap</v>
          </cell>
          <cell r="C952" t="str">
            <v>-</v>
          </cell>
          <cell r="H952">
            <v>0.16150853100350113</v>
          </cell>
          <cell r="I952">
            <v>0.19212772690094576</v>
          </cell>
          <cell r="J952">
            <v>0.23690490772981906</v>
          </cell>
        </row>
        <row r="953">
          <cell r="A953" t="str">
            <v>SCOM-SHBIOBR</v>
          </cell>
          <cell r="B953" t="str">
            <v>VAR_fout</v>
          </cell>
          <cell r="C953" t="str">
            <v>SCOM-SHBIO</v>
          </cell>
        </row>
        <row r="954">
          <cell r="A954" t="str">
            <v>SCOM-SHBIOBR</v>
          </cell>
          <cell r="B954" t="str">
            <v>VAR_fin</v>
          </cell>
          <cell r="C954" t="str">
            <v>SBIO</v>
          </cell>
        </row>
        <row r="955">
          <cell r="A955" t="str">
            <v>SCOM-SHBIOBR</v>
          </cell>
          <cell r="B955" t="str">
            <v>VAR_ncap</v>
          </cell>
          <cell r="C955" t="str">
            <v>-</v>
          </cell>
          <cell r="H955">
            <v>2.33685050666206E-5</v>
          </cell>
          <cell r="I955">
            <v>3.3849136589046301E-5</v>
          </cell>
          <cell r="J955">
            <v>1.6464324825634201E-5</v>
          </cell>
        </row>
        <row r="956">
          <cell r="A956" t="str">
            <v>SCOM-SHBIOBR</v>
          </cell>
          <cell r="B956" t="str">
            <v>VAR_cap</v>
          </cell>
          <cell r="C956" t="str">
            <v>-</v>
          </cell>
          <cell r="H956">
            <v>2.7333847681319089E-2</v>
          </cell>
          <cell r="I956">
            <v>5.6294010794449631E-5</v>
          </cell>
          <cell r="J956">
            <v>5.0205084734402889E-5</v>
          </cell>
        </row>
        <row r="957">
          <cell r="A957" t="str">
            <v>RHES-SHDEM</v>
          </cell>
          <cell r="B957" t="str">
            <v>VAR_fout</v>
          </cell>
          <cell r="C957" t="str">
            <v>RHES-SHD</v>
          </cell>
          <cell r="H957">
            <v>53.412532282813032</v>
          </cell>
          <cell r="I957">
            <v>52.40788546477102</v>
          </cell>
          <cell r="J957">
            <v>51.191661711690465</v>
          </cell>
        </row>
        <row r="958">
          <cell r="A958" t="str">
            <v>RHES-SHDEM</v>
          </cell>
          <cell r="B958" t="str">
            <v>VAR_fin</v>
          </cell>
          <cell r="C958" t="str">
            <v>RHES-SHPLT</v>
          </cell>
          <cell r="H958">
            <v>4.4055298728122472E-2</v>
          </cell>
          <cell r="I958">
            <v>4.9647210057340831E-2</v>
          </cell>
          <cell r="J958">
            <v>4.458318642552056E-2</v>
          </cell>
        </row>
        <row r="959">
          <cell r="A959" t="str">
            <v>RHES-SHDEM</v>
          </cell>
          <cell r="B959" t="str">
            <v>VAR_fin</v>
          </cell>
          <cell r="C959" t="str">
            <v>RHES-SHLTHC-NGA</v>
          </cell>
          <cell r="H959">
            <v>1.415733070173459E-6</v>
          </cell>
          <cell r="I959">
            <v>3.0198397116454861E-6</v>
          </cell>
          <cell r="J959">
            <v>8.1137427955375674E-7</v>
          </cell>
        </row>
        <row r="960">
          <cell r="A960" t="str">
            <v>RHES-SHDEM</v>
          </cell>
          <cell r="B960" t="str">
            <v>VAR_fin</v>
          </cell>
          <cell r="C960" t="str">
            <v>RHES-SHSOL</v>
          </cell>
          <cell r="H960">
            <v>2.2610222421934813E-2</v>
          </cell>
          <cell r="I960">
            <v>2.1947636216046444E-2</v>
          </cell>
          <cell r="J960">
            <v>1.980472480442598E-2</v>
          </cell>
        </row>
        <row r="961">
          <cell r="A961" t="str">
            <v>RHES-SHDEM</v>
          </cell>
          <cell r="B961" t="str">
            <v>VAR_fin</v>
          </cell>
          <cell r="C961" t="str">
            <v>RHES-SHLTHC-WOD</v>
          </cell>
          <cell r="H961">
            <v>2.849544183951375E-6</v>
          </cell>
          <cell r="I961">
            <v>4.9953929070581916E-7</v>
          </cell>
          <cell r="J961">
            <v>1.2497042742685049E-6</v>
          </cell>
        </row>
        <row r="962">
          <cell r="A962" t="str">
            <v>RHES-SHDEM</v>
          </cell>
          <cell r="B962" t="str">
            <v>VAR_fin</v>
          </cell>
          <cell r="C962" t="str">
            <v>RHES-SHNGA</v>
          </cell>
          <cell r="H962">
            <v>4.85915230836817</v>
          </cell>
          <cell r="I962">
            <v>2.305167208049788</v>
          </cell>
          <cell r="J962">
            <v>0.9468211059959758</v>
          </cell>
        </row>
        <row r="963">
          <cell r="A963" t="str">
            <v>RHES-SHDEM</v>
          </cell>
          <cell r="B963" t="str">
            <v>VAR_fin</v>
          </cell>
          <cell r="C963" t="str">
            <v>RHES-SHNGAH</v>
          </cell>
          <cell r="H963">
            <v>6.5769230524364488</v>
          </cell>
          <cell r="I963">
            <v>7.6657466588336423</v>
          </cell>
          <cell r="J963">
            <v>7.0919779021751461</v>
          </cell>
        </row>
        <row r="964">
          <cell r="A964" t="str">
            <v>RHES-SHDEM</v>
          </cell>
          <cell r="B964" t="str">
            <v>VAR_fin</v>
          </cell>
          <cell r="C964" t="str">
            <v>RHES-SHCOA</v>
          </cell>
          <cell r="H964">
            <v>5.4300550874487252E-7</v>
          </cell>
          <cell r="I964">
            <v>1.4007191680715851E-6</v>
          </cell>
          <cell r="J964">
            <v>1.4080203093276025E-6</v>
          </cell>
        </row>
        <row r="965">
          <cell r="A965" t="str">
            <v>RHES-SHDEM</v>
          </cell>
          <cell r="B965" t="str">
            <v>VAR_fin</v>
          </cell>
          <cell r="C965" t="str">
            <v>RHES-SHLFO</v>
          </cell>
          <cell r="H965">
            <v>4.1052907699920267</v>
          </cell>
          <cell r="I965">
            <v>1.3450825118998762</v>
          </cell>
          <cell r="J965">
            <v>0.13282263215032777</v>
          </cell>
        </row>
        <row r="966">
          <cell r="A966" t="str">
            <v>RHES-SHDEM</v>
          </cell>
          <cell r="B966" t="str">
            <v>VAR_fin</v>
          </cell>
          <cell r="C966" t="str">
            <v>RHES-SHCON</v>
          </cell>
          <cell r="H966">
            <v>6.7855441489296666</v>
          </cell>
          <cell r="I966">
            <v>8.8145347279775024</v>
          </cell>
          <cell r="J966">
            <v>13.17754252586391</v>
          </cell>
        </row>
        <row r="967">
          <cell r="A967" t="str">
            <v>RHES-SHDEM</v>
          </cell>
          <cell r="B967" t="str">
            <v>VAR_fin</v>
          </cell>
          <cell r="C967" t="str">
            <v>RHES-SHWOD</v>
          </cell>
          <cell r="H967">
            <v>3.4804236064223626</v>
          </cell>
          <cell r="I967">
            <v>2.7001151730172825</v>
          </cell>
          <cell r="J967">
            <v>1.4269617965688344</v>
          </cell>
        </row>
        <row r="968">
          <cell r="A968" t="str">
            <v>RHES-SHDEM</v>
          </cell>
          <cell r="B968" t="str">
            <v>VAR_fin</v>
          </cell>
          <cell r="C968" t="str">
            <v>RHES-SHLTHD</v>
          </cell>
          <cell r="H968">
            <v>2.0765080552980204</v>
          </cell>
          <cell r="I968">
            <v>2.242768852178521</v>
          </cell>
          <cell r="J968">
            <v>2.1427128616067037</v>
          </cell>
        </row>
        <row r="969">
          <cell r="A969" t="str">
            <v>RHES-SHDEM</v>
          </cell>
          <cell r="B969" t="str">
            <v>VAR_fin</v>
          </cell>
          <cell r="C969" t="str">
            <v>RHES-SHELCB</v>
          </cell>
          <cell r="H969">
            <v>1.3532723391559616E-2</v>
          </cell>
          <cell r="I969">
            <v>3.3945784161637672E-3</v>
          </cell>
          <cell r="J969">
            <v>1.8975614086136174E-3</v>
          </cell>
        </row>
        <row r="970">
          <cell r="A970" t="str">
            <v>RHES-SHDEM</v>
          </cell>
          <cell r="B970" t="str">
            <v>VAR_fin</v>
          </cell>
          <cell r="C970" t="str">
            <v>RHES-SHELCH</v>
          </cell>
          <cell r="H970">
            <v>25.44894595363305</v>
          </cell>
          <cell r="I970">
            <v>27.259853143043472</v>
          </cell>
          <cell r="J970">
            <v>26.206837526653747</v>
          </cell>
        </row>
        <row r="971">
          <cell r="A971" t="str">
            <v>RHES-SHDEM</v>
          </cell>
          <cell r="B971" t="str">
            <v>VAR_fin</v>
          </cell>
          <cell r="C971" t="str">
            <v>RHES-SHNST</v>
          </cell>
          <cell r="H971">
            <v>4.8476653356869076E-7</v>
          </cell>
          <cell r="J971">
            <v>1.3400908683993657E-6</v>
          </cell>
        </row>
        <row r="972">
          <cell r="A972" t="str">
            <v>D-RHEM_LTH_CHPNGA</v>
          </cell>
          <cell r="B972" t="str">
            <v>VAR_fout</v>
          </cell>
          <cell r="C972" t="str">
            <v>RHSA_LTH</v>
          </cell>
          <cell r="H972">
            <v>7.613354634199882E-3</v>
          </cell>
          <cell r="I972">
            <v>1.0824918083654008E-3</v>
          </cell>
          <cell r="J972">
            <v>1.452660864797736E-5</v>
          </cell>
        </row>
        <row r="973">
          <cell r="A973" t="str">
            <v>D-RHEM_LTH_CHPNGA</v>
          </cell>
          <cell r="B973" t="str">
            <v>VAR_fout</v>
          </cell>
          <cell r="C973" t="str">
            <v>RHEM_LTH_CHPNGA_ON</v>
          </cell>
          <cell r="H973">
            <v>7.0335027208432415E-3</v>
          </cell>
          <cell r="I973">
            <v>9.92750618191584E-4</v>
          </cell>
          <cell r="J973">
            <v>4.5454088492544868E-6</v>
          </cell>
        </row>
        <row r="974">
          <cell r="A974" t="str">
            <v>D-RHEM_LTH_CHPNGA</v>
          </cell>
          <cell r="B974" t="str">
            <v>VAR_fout</v>
          </cell>
          <cell r="C974" t="str">
            <v>LTH</v>
          </cell>
          <cell r="H974">
            <v>1.3831939078976863E-5</v>
          </cell>
          <cell r="I974">
            <v>1.2924692164382314E-6</v>
          </cell>
          <cell r="J974">
            <v>7.9705727368860733E-6</v>
          </cell>
        </row>
        <row r="975">
          <cell r="A975" t="str">
            <v>D-RHEM_LTH_CHPNGA</v>
          </cell>
          <cell r="B975" t="str">
            <v>VAR_fin</v>
          </cell>
          <cell r="C975" t="str">
            <v>RHEM_LTH_CHPNGA</v>
          </cell>
          <cell r="H975">
            <v>1.4660689294122111E-2</v>
          </cell>
          <cell r="I975">
            <v>2.078114991348592E-3</v>
          </cell>
          <cell r="J975">
            <v>2.7042590234117932E-5</v>
          </cell>
        </row>
        <row r="976">
          <cell r="A976" t="str">
            <v>RHEM-SHLTHCHPNGA</v>
          </cell>
          <cell r="B976" t="str">
            <v>VAR_fout</v>
          </cell>
          <cell r="C976" t="str">
            <v>RHEM-SHLTHC-NGA</v>
          </cell>
        </row>
        <row r="977">
          <cell r="A977" t="str">
            <v>RHEM-SHLTHCHPNGA</v>
          </cell>
          <cell r="B977" t="str">
            <v>VAR_fin</v>
          </cell>
          <cell r="C977" t="str">
            <v>RHEM_LTH_CHPNGA_ON</v>
          </cell>
        </row>
        <row r="978">
          <cell r="A978" t="str">
            <v>RHEM-SHLTHCHPNGA</v>
          </cell>
          <cell r="B978" t="str">
            <v>VAR_fin</v>
          </cell>
          <cell r="C978" t="str">
            <v>RHEMLTHCHPC</v>
          </cell>
        </row>
        <row r="979">
          <cell r="A979" t="str">
            <v>RHEM-SHLTHCHPNGA</v>
          </cell>
          <cell r="B979" t="str">
            <v>VAR_ncap</v>
          </cell>
          <cell r="C979" t="str">
            <v>-</v>
          </cell>
          <cell r="H979">
            <v>5.1860796828466103E-4</v>
          </cell>
          <cell r="I979">
            <v>1.2674281337685399E-4</v>
          </cell>
          <cell r="J979">
            <v>1.8672034789094101E-8</v>
          </cell>
        </row>
        <row r="980">
          <cell r="A980" t="str">
            <v>RHEM-SHLTHCHPNGA</v>
          </cell>
          <cell r="B980" t="str">
            <v>VAR_cap</v>
          </cell>
          <cell r="C980" t="str">
            <v>-</v>
          </cell>
          <cell r="H980">
            <v>9.1975771393754992E-4</v>
          </cell>
          <cell r="I980">
            <v>2.9162145271295289E-4</v>
          </cell>
        </row>
        <row r="981">
          <cell r="A981" t="str">
            <v>D-RHES_SOLELC</v>
          </cell>
          <cell r="B981" t="str">
            <v>VAR_fout</v>
          </cell>
          <cell r="C981" t="str">
            <v>RHES_ELC</v>
          </cell>
          <cell r="H981">
            <v>4.61015984035068</v>
          </cell>
          <cell r="I981">
            <v>4.8735339857246842</v>
          </cell>
          <cell r="J981">
            <v>5.4608056033743582</v>
          </cell>
        </row>
        <row r="982">
          <cell r="A982" t="str">
            <v>D-RHES_SOLELC</v>
          </cell>
          <cell r="B982" t="str">
            <v>VAR_fout</v>
          </cell>
          <cell r="C982" t="str">
            <v>ELC5</v>
          </cell>
          <cell r="H982">
            <v>7.7083271659431031E-4</v>
          </cell>
          <cell r="I982">
            <v>2.3041545155874561E-3</v>
          </cell>
          <cell r="J982">
            <v>8.9147382347454333E-3</v>
          </cell>
        </row>
        <row r="983">
          <cell r="A983" t="str">
            <v>D-RHES_SOLELC</v>
          </cell>
          <cell r="B983" t="str">
            <v>VAR_fin</v>
          </cell>
          <cell r="C983" t="str">
            <v>RHES_SOL_ELC</v>
          </cell>
          <cell r="H983">
            <v>4.610930673067271</v>
          </cell>
          <cell r="I983">
            <v>4.8758381402402726</v>
          </cell>
          <cell r="J983">
            <v>5.469720341609106</v>
          </cell>
        </row>
        <row r="984">
          <cell r="A984" t="str">
            <v>RHNM-SHCONBR1</v>
          </cell>
          <cell r="B984" t="str">
            <v>VAR_ncap</v>
          </cell>
          <cell r="C984" t="str">
            <v>-</v>
          </cell>
          <cell r="H984">
            <v>5.1879646717721899</v>
          </cell>
        </row>
        <row r="985">
          <cell r="A985" t="str">
            <v>RHNM-SHCONBR1</v>
          </cell>
          <cell r="B985" t="str">
            <v>VAR_cap</v>
          </cell>
          <cell r="C985" t="str">
            <v>-</v>
          </cell>
          <cell r="H985">
            <v>12.999134296050954</v>
          </cell>
          <cell r="I985">
            <v>7.5256697854679828</v>
          </cell>
          <cell r="J985">
            <v>3.3837987282100244</v>
          </cell>
        </row>
        <row r="986">
          <cell r="A986" t="str">
            <v>D-DH2</v>
          </cell>
          <cell r="B986" t="str">
            <v>VAR_fout</v>
          </cell>
          <cell r="C986" t="str">
            <v>H2</v>
          </cell>
          <cell r="H986">
            <v>3.7366788293798211E-4</v>
          </cell>
          <cell r="I986">
            <v>17.437477467970638</v>
          </cell>
          <cell r="J986">
            <v>18.449977713265248</v>
          </cell>
        </row>
        <row r="987">
          <cell r="A987" t="str">
            <v>D-DH2</v>
          </cell>
          <cell r="B987" t="str">
            <v>VAR_fin</v>
          </cell>
          <cell r="C987" t="str">
            <v>H2_E</v>
          </cell>
          <cell r="H987">
            <v>3.7744230599796164E-4</v>
          </cell>
          <cell r="I987">
            <v>17.613613604010762</v>
          </cell>
          <cell r="J987">
            <v>18.636341124510345</v>
          </cell>
        </row>
        <row r="988">
          <cell r="A988" t="str">
            <v>D-DH2</v>
          </cell>
          <cell r="B988" t="str">
            <v>VAR_ncap</v>
          </cell>
          <cell r="C988" t="str">
            <v>-</v>
          </cell>
          <cell r="H988">
            <v>2.5498409879423E-5</v>
          </cell>
          <cell r="I988">
            <v>2.34164557701077</v>
          </cell>
          <cell r="J988">
            <v>0.13596800869410999</v>
          </cell>
        </row>
        <row r="989">
          <cell r="A989" t="str">
            <v>D-DH2</v>
          </cell>
          <cell r="B989" t="str">
            <v>VAR_cap</v>
          </cell>
          <cell r="C989" t="str">
            <v>-</v>
          </cell>
          <cell r="H989">
            <v>8.0522167355425998E-5</v>
          </cell>
          <cell r="I989">
            <v>2.3417260991781301</v>
          </cell>
          <cell r="J989">
            <v>2.4776941078722401</v>
          </cell>
        </row>
        <row r="990">
          <cell r="A990" t="str">
            <v>ITOT-SWHHFOBR</v>
          </cell>
          <cell r="B990" t="str">
            <v>VAR_fout</v>
          </cell>
          <cell r="C990" t="str">
            <v>ITOT-SWH</v>
          </cell>
          <cell r="H990">
            <v>2.2529537082090533E-3</v>
          </cell>
          <cell r="I990">
            <v>1.8097466237705293E-4</v>
          </cell>
        </row>
        <row r="991">
          <cell r="A991" t="str">
            <v>ITOT-SWHHFOBR</v>
          </cell>
          <cell r="B991" t="str">
            <v>VAR_fout</v>
          </cell>
          <cell r="C991" t="str">
            <v>CO2_I</v>
          </cell>
          <cell r="H991">
            <v>0.24851275570897599</v>
          </cell>
          <cell r="I991">
            <v>1.9755518700029201E-2</v>
          </cell>
        </row>
        <row r="992">
          <cell r="A992" t="str">
            <v>ITOT-SWHHFOBR</v>
          </cell>
          <cell r="B992" t="str">
            <v>VAR_fin</v>
          </cell>
          <cell r="C992" t="str">
            <v>IHFO</v>
          </cell>
          <cell r="H992">
            <v>3.2274383858308543E-3</v>
          </cell>
          <cell r="I992">
            <v>2.5656517792245687E-4</v>
          </cell>
        </row>
        <row r="993">
          <cell r="A993" t="str">
            <v>ITOT-SWHHFOBR</v>
          </cell>
          <cell r="B993" t="str">
            <v>VAR_ncap</v>
          </cell>
          <cell r="C993" t="str">
            <v>-</v>
          </cell>
          <cell r="H993">
            <v>2.0256922864706999E-4</v>
          </cell>
          <cell r="I993">
            <v>6.9297465362287998E-6</v>
          </cell>
          <cell r="J993">
            <v>1.75706699979487E-6</v>
          </cell>
        </row>
        <row r="994">
          <cell r="A994" t="str">
            <v>ITOT-SWHHFOBR</v>
          </cell>
          <cell r="B994" t="str">
            <v>VAR_cap</v>
          </cell>
          <cell r="C994" t="str">
            <v>-</v>
          </cell>
          <cell r="H994">
            <v>2.0983934757350109E-4</v>
          </cell>
          <cell r="I994">
            <v>1.7380483257198987E-5</v>
          </cell>
          <cell r="J994">
            <v>-3.5352660383256999E-6</v>
          </cell>
        </row>
        <row r="995">
          <cell r="A995" t="str">
            <v>RHNM-SHCONBR2</v>
          </cell>
          <cell r="B995" t="str">
            <v>VAR_ncap</v>
          </cell>
          <cell r="C995" t="str">
            <v>-</v>
          </cell>
          <cell r="H995">
            <v>5.1879646717722103</v>
          </cell>
        </row>
        <row r="996">
          <cell r="A996" t="str">
            <v>RHNM-SHCONBR2</v>
          </cell>
          <cell r="B996" t="str">
            <v>VAR_cap</v>
          </cell>
          <cell r="C996" t="str">
            <v>-</v>
          </cell>
          <cell r="H996">
            <v>12.999134296048965</v>
          </cell>
          <cell r="I996">
            <v>7.5256697854669596</v>
          </cell>
          <cell r="J996">
            <v>3.3837987282090012</v>
          </cell>
        </row>
        <row r="997">
          <cell r="A997" t="str">
            <v>RHSA-WHSTG-ELCHP</v>
          </cell>
          <cell r="B997" t="str">
            <v>VAR_fout</v>
          </cell>
          <cell r="C997" t="str">
            <v>AUX_RHSA-WHSTG-ELCHP_OUT</v>
          </cell>
          <cell r="H997">
            <v>1.6835006102110466</v>
          </cell>
          <cell r="I997">
            <v>1.9132959683142299</v>
          </cell>
          <cell r="J997">
            <v>2.2438565209842283</v>
          </cell>
        </row>
        <row r="998">
          <cell r="A998" t="str">
            <v>RHSA-WHSTG-ELCHP</v>
          </cell>
          <cell r="B998" t="str">
            <v>VAR_fout</v>
          </cell>
          <cell r="C998" t="str">
            <v>RHSA-WHAELCH</v>
          </cell>
          <cell r="H998">
            <v>1.6818187914196261</v>
          </cell>
          <cell r="I998">
            <v>1.9113845837304986</v>
          </cell>
          <cell r="J998">
            <v>2.2416149060781514</v>
          </cell>
        </row>
        <row r="999">
          <cell r="A999" t="str">
            <v>RHSA-WHSTG-ELCHP</v>
          </cell>
          <cell r="B999" t="str">
            <v>VAR_fin</v>
          </cell>
          <cell r="C999" t="str">
            <v>RHSA-WHAELCH</v>
          </cell>
          <cell r="H999">
            <v>1.6818230287466103</v>
          </cell>
          <cell r="I999">
            <v>1.9113914709180917</v>
          </cell>
          <cell r="J999">
            <v>2.2416171897685206</v>
          </cell>
        </row>
        <row r="1000">
          <cell r="A1000" t="str">
            <v>RHSA-WHSTG-ELCHP</v>
          </cell>
          <cell r="B1000" t="str">
            <v>VAR_ncap</v>
          </cell>
          <cell r="C1000" t="str">
            <v>-</v>
          </cell>
          <cell r="H1000">
            <v>8.3350183904682906E-2</v>
          </cell>
          <cell r="I1000">
            <v>8.6894607192349593E-2</v>
          </cell>
          <cell r="J1000">
            <v>0.14727710402369701</v>
          </cell>
        </row>
        <row r="1001">
          <cell r="A1001" t="str">
            <v>RHSA-WHSTG-ELCHP</v>
          </cell>
          <cell r="B1001" t="str">
            <v>VAR_cap</v>
          </cell>
          <cell r="C1001" t="str">
            <v>-</v>
          </cell>
          <cell r="H1001">
            <v>0.15779452184641898</v>
          </cell>
          <cell r="I1001">
            <v>0.20143721087116873</v>
          </cell>
          <cell r="J1001">
            <v>0.24555842080201778</v>
          </cell>
        </row>
        <row r="1002">
          <cell r="A1002" t="str">
            <v>RHNM-SHCONBR3</v>
          </cell>
          <cell r="B1002" t="str">
            <v>VAR_ncap</v>
          </cell>
          <cell r="C1002" t="str">
            <v>-</v>
          </cell>
          <cell r="H1002">
            <v>5.1879646717721899</v>
          </cell>
        </row>
        <row r="1003">
          <cell r="A1003" t="str">
            <v>RHNM-SHCONBR3</v>
          </cell>
          <cell r="B1003" t="str">
            <v>VAR_cap</v>
          </cell>
          <cell r="C1003" t="str">
            <v>-</v>
          </cell>
          <cell r="H1003">
            <v>12.999134296050954</v>
          </cell>
          <cell r="I1003">
            <v>7.5256697854679828</v>
          </cell>
          <cell r="J1003">
            <v>3.3837987282100244</v>
          </cell>
        </row>
        <row r="1004">
          <cell r="A1004" t="str">
            <v>RES-ELCSPECADV</v>
          </cell>
          <cell r="B1004" t="str">
            <v>VAR_fout</v>
          </cell>
          <cell r="C1004" t="str">
            <v>RHSA-ELS</v>
          </cell>
          <cell r="H1004">
            <v>13.765823314796229</v>
          </cell>
          <cell r="I1004">
            <v>18.436465955458885</v>
          </cell>
          <cell r="J1004">
            <v>27.774257420488276</v>
          </cell>
        </row>
        <row r="1005">
          <cell r="A1005" t="str">
            <v>RES-ELCSPECADV</v>
          </cell>
          <cell r="B1005" t="str">
            <v>VAR_fin</v>
          </cell>
          <cell r="C1005" t="str">
            <v>RHSA_ELC</v>
          </cell>
          <cell r="H1005">
            <v>9.1772155431974909</v>
          </cell>
          <cell r="I1005">
            <v>12.29097730363925</v>
          </cell>
          <cell r="J1005">
            <v>18.516171613658873</v>
          </cell>
        </row>
        <row r="1006">
          <cell r="A1006" t="str">
            <v>RES-ELCSPECADV</v>
          </cell>
          <cell r="B1006" t="str">
            <v>VAR_ncap</v>
          </cell>
          <cell r="C1006" t="str">
            <v>-</v>
          </cell>
          <cell r="H1006">
            <v>0.47304538086535203</v>
          </cell>
          <cell r="I1006">
            <v>0.49368378237049199</v>
          </cell>
          <cell r="J1006">
            <v>1.3279267061678499</v>
          </cell>
        </row>
        <row r="1007">
          <cell r="A1007" t="str">
            <v>RES-ELCSPECADV</v>
          </cell>
          <cell r="B1007" t="str">
            <v>VAR_cap</v>
          </cell>
          <cell r="C1007" t="str">
            <v>-</v>
          </cell>
          <cell r="H1007">
            <v>1.4550377625370425</v>
          </cell>
          <cell r="I1007">
            <v>1.9487213233879745</v>
          </cell>
          <cell r="J1007">
            <v>2.935719560684928</v>
          </cell>
        </row>
        <row r="1008">
          <cell r="A1008" t="str">
            <v>ITOT-SWHSTG-ELCHP</v>
          </cell>
          <cell r="B1008" t="str">
            <v>VAR_fout</v>
          </cell>
          <cell r="C1008" t="str">
            <v>ITOT-SWHAELCH</v>
          </cell>
          <cell r="H1008">
            <v>1.9275181472736625E-3</v>
          </cell>
          <cell r="I1008">
            <v>5.2356844729040231E-2</v>
          </cell>
          <cell r="J1008">
            <v>0.46595963281982861</v>
          </cell>
        </row>
        <row r="1009">
          <cell r="A1009" t="str">
            <v>ITOT-SWHSTG-ELCHP</v>
          </cell>
          <cell r="B1009" t="str">
            <v>VAR_fin</v>
          </cell>
          <cell r="C1009" t="str">
            <v>ITOT-SWHAELCH</v>
          </cell>
          <cell r="H1009">
            <v>2.3648066252865054E-3</v>
          </cell>
          <cell r="I1009">
            <v>6.1616195439865816E-2</v>
          </cell>
          <cell r="J1009">
            <v>0.51776672850909944</v>
          </cell>
        </row>
        <row r="1010">
          <cell r="A1010" t="str">
            <v>ITOT-SWHSTG-ELCHP</v>
          </cell>
          <cell r="B1010" t="str">
            <v>VAR_ncap</v>
          </cell>
          <cell r="C1010" t="str">
            <v>-</v>
          </cell>
          <cell r="H1010">
            <v>1.2798668998468401E-2</v>
          </cell>
          <cell r="I1010">
            <v>6.5955683922248501E-2</v>
          </cell>
          <cell r="J1010">
            <v>9.0028188821866598E-2</v>
          </cell>
        </row>
        <row r="1011">
          <cell r="A1011" t="str">
            <v>ITOT-SWHSTG-ELCHP</v>
          </cell>
          <cell r="B1011" t="str">
            <v>VAR_cap</v>
          </cell>
          <cell r="C1011" t="str">
            <v>-</v>
          </cell>
          <cell r="H1011">
            <v>7.8708979926378764E-2</v>
          </cell>
          <cell r="I1011">
            <v>0.11277398175057948</v>
          </cell>
          <cell r="J1011">
            <v>0.14326849535840738</v>
          </cell>
        </row>
        <row r="1012">
          <cell r="A1012" t="str">
            <v>D-RHNS_LTH_CHPWOD</v>
          </cell>
          <cell r="B1012" t="str">
            <v>VAR_fout</v>
          </cell>
          <cell r="C1012" t="str">
            <v>RHNS_LTH_CHPWOD_ON</v>
          </cell>
          <cell r="I1012">
            <v>6.9143064889289849E-5</v>
          </cell>
        </row>
        <row r="1013">
          <cell r="A1013" t="str">
            <v>D-RHNS_LTH_CHPWOD</v>
          </cell>
          <cell r="B1013" t="str">
            <v>VAR_fout</v>
          </cell>
          <cell r="C1013" t="str">
            <v>RHSA_LTH</v>
          </cell>
          <cell r="H1013">
            <v>4.1393429148563919E-3</v>
          </cell>
          <cell r="I1013">
            <v>3.9327686370733972E-3</v>
          </cell>
          <cell r="J1013">
            <v>1.5311451023664558E-3</v>
          </cell>
        </row>
        <row r="1014">
          <cell r="A1014" t="str">
            <v>D-RHNS_LTH_CHPWOD</v>
          </cell>
          <cell r="B1014" t="str">
            <v>VAR_fout</v>
          </cell>
          <cell r="C1014" t="str">
            <v>LTH</v>
          </cell>
          <cell r="H1014">
            <v>3.7910405513415673E-6</v>
          </cell>
          <cell r="I1014">
            <v>4.838690496063005E-6</v>
          </cell>
          <cell r="J1014">
            <v>2.1841462497959047E-6</v>
          </cell>
        </row>
        <row r="1015">
          <cell r="A1015" t="str">
            <v>D-RHNS_LTH_CHPWOD</v>
          </cell>
          <cell r="B1015" t="str">
            <v>VAR_fin</v>
          </cell>
          <cell r="C1015" t="str">
            <v>RHNS_LTH_CHPWOD</v>
          </cell>
          <cell r="H1015">
            <v>4.143410860893636E-3</v>
          </cell>
          <cell r="I1015">
            <v>4.0070383008924924E-3</v>
          </cell>
          <cell r="J1015">
            <v>1.5342079020850751E-3</v>
          </cell>
        </row>
        <row r="1016">
          <cell r="A1016" t="str">
            <v>RHNM-SHCONBR4</v>
          </cell>
          <cell r="B1016" t="str">
            <v>VAR_ncap</v>
          </cell>
          <cell r="C1016" t="str">
            <v>-</v>
          </cell>
          <cell r="H1016">
            <v>5.1879646717722103</v>
          </cell>
        </row>
        <row r="1017">
          <cell r="A1017" t="str">
            <v>RHNM-SHCONBR4</v>
          </cell>
          <cell r="B1017" t="str">
            <v>VAR_cap</v>
          </cell>
          <cell r="C1017" t="str">
            <v>-</v>
          </cell>
          <cell r="H1017">
            <v>12.999134296048965</v>
          </cell>
          <cell r="I1017">
            <v>7.5256697854669596</v>
          </cell>
          <cell r="J1017">
            <v>3.3837987282090012</v>
          </cell>
        </row>
        <row r="1018">
          <cell r="A1018" t="str">
            <v>D-SBIO</v>
          </cell>
          <cell r="B1018" t="str">
            <v>VAR_fout</v>
          </cell>
          <cell r="C1018" t="str">
            <v>SBIO</v>
          </cell>
          <cell r="H1018">
            <v>3.0028042014910188</v>
          </cell>
          <cell r="I1018">
            <v>2.9495790756731139</v>
          </cell>
          <cell r="J1018">
            <v>2.8714870700603945</v>
          </cell>
        </row>
        <row r="1019">
          <cell r="A1019" t="str">
            <v>D-SBIO</v>
          </cell>
          <cell r="B1019" t="str">
            <v>VAR_fin</v>
          </cell>
          <cell r="C1019" t="str">
            <v>BIO</v>
          </cell>
          <cell r="H1019">
            <v>3.0028042014910188</v>
          </cell>
          <cell r="I1019">
            <v>2.9495790756731139</v>
          </cell>
          <cell r="J1019">
            <v>2.8714870700603945</v>
          </cell>
        </row>
        <row r="1020">
          <cell r="A1020" t="str">
            <v>RHEM-SHDEM</v>
          </cell>
          <cell r="B1020" t="str">
            <v>VAR_fout</v>
          </cell>
          <cell r="C1020" t="str">
            <v>RHEM-SHD</v>
          </cell>
          <cell r="H1020">
            <v>61.594591770108622</v>
          </cell>
          <cell r="I1020">
            <v>59.725063815024818</v>
          </cell>
          <cell r="J1020">
            <v>57.134169127252598</v>
          </cell>
        </row>
        <row r="1021">
          <cell r="A1021" t="str">
            <v>RHEM-SHDEM</v>
          </cell>
          <cell r="B1021" t="str">
            <v>VAR_fin</v>
          </cell>
          <cell r="C1021" t="str">
            <v>RHEM-SHNST</v>
          </cell>
          <cell r="H1021">
            <v>2.9225714494053869E-6</v>
          </cell>
          <cell r="I1021">
            <v>3.9646879500599674E-6</v>
          </cell>
          <cell r="J1021">
            <v>2.194417531844864E-6</v>
          </cell>
        </row>
        <row r="1022">
          <cell r="A1022" t="str">
            <v>RHEM-SHDEM</v>
          </cell>
          <cell r="B1022" t="str">
            <v>VAR_fin</v>
          </cell>
          <cell r="C1022" t="str">
            <v>RHEM-SHPLT</v>
          </cell>
          <cell r="H1022">
            <v>0.34321143493512285</v>
          </cell>
          <cell r="I1022">
            <v>0.36287030467516967</v>
          </cell>
          <cell r="J1022">
            <v>0.28502104561299652</v>
          </cell>
        </row>
        <row r="1023">
          <cell r="A1023" t="str">
            <v>RHEM-SHDEM</v>
          </cell>
          <cell r="B1023" t="str">
            <v>VAR_fin</v>
          </cell>
          <cell r="C1023" t="str">
            <v>RHEM-SHNGAH</v>
          </cell>
          <cell r="H1023">
            <v>8.5401566987758208</v>
          </cell>
          <cell r="I1023">
            <v>10.405031428255503</v>
          </cell>
          <cell r="J1023">
            <v>9.2190893318905918</v>
          </cell>
        </row>
        <row r="1024">
          <cell r="A1024" t="str">
            <v>RHEM-SHDEM</v>
          </cell>
          <cell r="B1024" t="str">
            <v>VAR_fin</v>
          </cell>
          <cell r="C1024" t="str">
            <v>RHEM-SHLTHC-WOD</v>
          </cell>
          <cell r="H1024">
            <v>1.28982087914163E-6</v>
          </cell>
          <cell r="I1024">
            <v>6.1108994305296773E-7</v>
          </cell>
          <cell r="J1024">
            <v>2.3644199150055605E-6</v>
          </cell>
        </row>
        <row r="1025">
          <cell r="A1025" t="str">
            <v>RHEM-SHDEM</v>
          </cell>
          <cell r="B1025" t="str">
            <v>VAR_fin</v>
          </cell>
          <cell r="C1025" t="str">
            <v>RHEM-SHSOL</v>
          </cell>
          <cell r="H1025">
            <v>1.1513814335465705E-2</v>
          </cell>
          <cell r="I1025">
            <v>1.0897592868212836E-2</v>
          </cell>
          <cell r="J1025">
            <v>8.973558684518464E-3</v>
          </cell>
        </row>
        <row r="1026">
          <cell r="A1026" t="str">
            <v>RHEM-SHDEM</v>
          </cell>
          <cell r="B1026" t="str">
            <v>VAR_fin</v>
          </cell>
          <cell r="C1026" t="str">
            <v>RHEM-SHLTHD</v>
          </cell>
          <cell r="H1026">
            <v>5.4114922543599349</v>
          </cell>
          <cell r="I1026">
            <v>5.6678549292580547</v>
          </cell>
          <cell r="J1026">
            <v>5.130745071728203</v>
          </cell>
        </row>
        <row r="1027">
          <cell r="A1027" t="str">
            <v>RHEM-SHDEM</v>
          </cell>
          <cell r="B1027" t="str">
            <v>VAR_fin</v>
          </cell>
          <cell r="C1027" t="str">
            <v>RHEM-SHNGA</v>
          </cell>
          <cell r="H1027">
            <v>9.4721408861024265</v>
          </cell>
          <cell r="I1027">
            <v>3.8595642322123269</v>
          </cell>
          <cell r="J1027">
            <v>1.4358961380496407</v>
          </cell>
        </row>
        <row r="1028">
          <cell r="A1028" t="str">
            <v>RHEM-SHDEM</v>
          </cell>
          <cell r="B1028" t="str">
            <v>VAR_fin</v>
          </cell>
          <cell r="C1028" t="str">
            <v>RHEM-SHELCB</v>
          </cell>
          <cell r="H1028">
            <v>3.9025067380669448E-3</v>
          </cell>
          <cell r="I1028">
            <v>3.1501558629016689E-3</v>
          </cell>
          <cell r="J1028">
            <v>3.4299744532709387E-3</v>
          </cell>
        </row>
        <row r="1029">
          <cell r="A1029" t="str">
            <v>RHEM-SHDEM</v>
          </cell>
          <cell r="B1029" t="str">
            <v>VAR_fin</v>
          </cell>
          <cell r="C1029" t="str">
            <v>RHEM-SHELCH</v>
          </cell>
          <cell r="H1029">
            <v>18.148719856375891</v>
          </cell>
          <cell r="I1029">
            <v>22.204494261227332</v>
          </cell>
          <cell r="J1029">
            <v>22.172780558663739</v>
          </cell>
        </row>
        <row r="1030">
          <cell r="A1030" t="str">
            <v>RHEM-SHDEM</v>
          </cell>
          <cell r="B1030" t="str">
            <v>VAR_fin</v>
          </cell>
          <cell r="C1030" t="str">
            <v>RHEM-SHLFO</v>
          </cell>
          <cell r="H1030">
            <v>7.0310409198726136</v>
          </cell>
          <cell r="I1030">
            <v>2.6193668148896019</v>
          </cell>
          <cell r="J1030">
            <v>0.28366440008015326</v>
          </cell>
        </row>
        <row r="1031">
          <cell r="A1031" t="str">
            <v>RHEM-SHDEM</v>
          </cell>
          <cell r="B1031" t="str">
            <v>VAR_fin</v>
          </cell>
          <cell r="C1031" t="str">
            <v>RHEM-SHCON</v>
          </cell>
          <cell r="H1031">
            <v>8.727623151128812</v>
          </cell>
          <cell r="I1031">
            <v>11.291059064654194</v>
          </cell>
          <cell r="J1031">
            <v>16.65561871325944</v>
          </cell>
        </row>
        <row r="1032">
          <cell r="A1032" t="str">
            <v>RHEM-SHDEM</v>
          </cell>
          <cell r="B1032" t="str">
            <v>VAR_fin</v>
          </cell>
          <cell r="C1032" t="str">
            <v>RHEM-SHWOD</v>
          </cell>
          <cell r="H1032">
            <v>3.9052542700714792</v>
          </cell>
          <cell r="I1032">
            <v>3.3011674216744962</v>
          </cell>
          <cell r="J1032">
            <v>1.9392622086609128</v>
          </cell>
        </row>
        <row r="1033">
          <cell r="A1033" t="str">
            <v>RHEM-SHDEM</v>
          </cell>
          <cell r="B1033" t="str">
            <v>VAR_fin</v>
          </cell>
          <cell r="C1033" t="str">
            <v>RHEM-SHLTHC-NGA</v>
          </cell>
          <cell r="H1033">
            <v>5.3299924548085439E-7</v>
          </cell>
          <cell r="I1033">
            <v>8.7491823046017134E-7</v>
          </cell>
          <cell r="J1033">
            <v>2.1696810380542319E-6</v>
          </cell>
        </row>
        <row r="1034">
          <cell r="A1034" t="str">
            <v>ITOT-SWHH2BR</v>
          </cell>
          <cell r="B1034" t="str">
            <v>VAR_fout</v>
          </cell>
          <cell r="C1034" t="str">
            <v>ITOT-SWH</v>
          </cell>
          <cell r="H1034">
            <v>7.8756856738948766</v>
          </cell>
          <cell r="I1034">
            <v>9.1365128084854348</v>
          </cell>
          <cell r="J1034">
            <v>9.1365193025439027</v>
          </cell>
        </row>
        <row r="1035">
          <cell r="A1035" t="str">
            <v>ITOT-SWHH2BR</v>
          </cell>
          <cell r="B1035" t="str">
            <v>VAR_fin</v>
          </cell>
          <cell r="C1035" t="str">
            <v>IH2</v>
          </cell>
          <cell r="H1035">
            <v>9.7620580244162003</v>
          </cell>
          <cell r="I1035">
            <v>11.300202742616625</v>
          </cell>
          <cell r="J1035">
            <v>11.251184226884215</v>
          </cell>
        </row>
        <row r="1036">
          <cell r="A1036" t="str">
            <v>ITOT-SWHH2BR</v>
          </cell>
          <cell r="B1036" t="str">
            <v>VAR_ncap</v>
          </cell>
          <cell r="C1036" t="str">
            <v>-</v>
          </cell>
          <cell r="H1036">
            <v>0.64119208525891502</v>
          </cell>
          <cell r="I1036">
            <v>0.178726854388784</v>
          </cell>
          <cell r="J1036">
            <v>0.35421489677915102</v>
          </cell>
        </row>
        <row r="1037">
          <cell r="A1037" t="str">
            <v>ITOT-SWHH2BR</v>
          </cell>
          <cell r="B1037" t="str">
            <v>VAR_cap</v>
          </cell>
          <cell r="C1037" t="str">
            <v>-</v>
          </cell>
          <cell r="H1037">
            <v>0.64119208525891502</v>
          </cell>
          <cell r="I1037">
            <v>0.81991520616548774</v>
          </cell>
          <cell r="J1037">
            <v>0.75513525728836539</v>
          </cell>
        </row>
        <row r="1038">
          <cell r="A1038" t="str">
            <v>RHNS-SHSTG-ELC</v>
          </cell>
          <cell r="B1038" t="str">
            <v>VAR_fout</v>
          </cell>
          <cell r="C1038" t="str">
            <v>RHNS-SHAELCB</v>
          </cell>
          <cell r="H1038">
            <v>1.3778448398439913E-3</v>
          </cell>
          <cell r="I1038">
            <v>1.806592761905016E-3</v>
          </cell>
          <cell r="J1038">
            <v>9.9038548315578826E-4</v>
          </cell>
        </row>
        <row r="1039">
          <cell r="A1039" t="str">
            <v>RHNS-SHSTG-ELC</v>
          </cell>
          <cell r="B1039" t="str">
            <v>VAR_fout</v>
          </cell>
          <cell r="C1039" t="str">
            <v>AUX_RHNS-SHSTG-ELC_OUT</v>
          </cell>
          <cell r="H1039">
            <v>1.379222684683837E-3</v>
          </cell>
          <cell r="I1039">
            <v>1.8083993546669215E-3</v>
          </cell>
          <cell r="J1039">
            <v>9.9137586863894231E-4</v>
          </cell>
        </row>
        <row r="1040">
          <cell r="A1040" t="str">
            <v>RHNS-SHSTG-ELC</v>
          </cell>
          <cell r="B1040" t="str">
            <v>VAR_fin</v>
          </cell>
          <cell r="C1040" t="str">
            <v>RHNS-SHAELCB</v>
          </cell>
          <cell r="H1040">
            <v>1.3746790252913339E-3</v>
          </cell>
          <cell r="I1040">
            <v>1.8020926553720237E-3</v>
          </cell>
          <cell r="J1040">
            <v>9.8964208511216623E-4</v>
          </cell>
        </row>
        <row r="1041">
          <cell r="A1041" t="str">
            <v>RHNS-SHSTG-ELC</v>
          </cell>
          <cell r="B1041" t="str">
            <v>VAR_ncap</v>
          </cell>
          <cell r="C1041" t="str">
            <v>-</v>
          </cell>
          <cell r="H1041">
            <v>1.9674359939505199E-4</v>
          </cell>
          <cell r="I1041">
            <v>8.0352570235061094E-5</v>
          </cell>
          <cell r="J1041">
            <v>1.92908202045632E-5</v>
          </cell>
        </row>
        <row r="1042">
          <cell r="A1042" t="str">
            <v>RHNS-SHSTG-ELC</v>
          </cell>
          <cell r="B1042" t="str">
            <v>VAR_cap</v>
          </cell>
          <cell r="C1042" t="str">
            <v>-</v>
          </cell>
          <cell r="H1042">
            <v>7.7116943320365821E-4</v>
          </cell>
          <cell r="I1042">
            <v>3.1034314450419049E-4</v>
          </cell>
          <cell r="J1042">
            <v>1.3138379856212208E-4</v>
          </cell>
        </row>
        <row r="1043">
          <cell r="A1043" t="str">
            <v>RHES-SHCOABR</v>
          </cell>
          <cell r="B1043" t="str">
            <v>VAR_fout</v>
          </cell>
          <cell r="C1043" t="str">
            <v>CO2_R</v>
          </cell>
        </row>
        <row r="1044">
          <cell r="A1044" t="str">
            <v>RHES-SHCOABR</v>
          </cell>
          <cell r="B1044" t="str">
            <v>VAR_fout</v>
          </cell>
          <cell r="C1044" t="str">
            <v>RHES-SHCOA</v>
          </cell>
        </row>
        <row r="1045">
          <cell r="A1045" t="str">
            <v>RHES-SHCOABR</v>
          </cell>
          <cell r="B1045" t="str">
            <v>VAR_fin</v>
          </cell>
          <cell r="C1045" t="str">
            <v>RCOA</v>
          </cell>
        </row>
        <row r="1046">
          <cell r="A1046" t="str">
            <v>RHES-SHCOABR</v>
          </cell>
          <cell r="B1046" t="str">
            <v>VAR_cap</v>
          </cell>
          <cell r="C1046" t="str">
            <v>-</v>
          </cell>
          <cell r="H1046">
            <v>9.9795617630000708E-7</v>
          </cell>
        </row>
        <row r="1047">
          <cell r="A1047" t="str">
            <v>D-INGA</v>
          </cell>
          <cell r="B1047" t="str">
            <v>VAR_fout</v>
          </cell>
          <cell r="C1047" t="str">
            <v>CO2</v>
          </cell>
          <cell r="H1047">
            <v>556.45550566288</v>
          </cell>
          <cell r="I1047">
            <v>189.61715029556601</v>
          </cell>
          <cell r="J1047">
            <v>81.136958148393404</v>
          </cell>
        </row>
        <row r="1048">
          <cell r="A1048" t="str">
            <v>D-INGA</v>
          </cell>
          <cell r="B1048" t="str">
            <v>VAR_fout</v>
          </cell>
          <cell r="C1048" t="str">
            <v>IH2</v>
          </cell>
          <cell r="H1048">
            <v>0.35852568494749837</v>
          </cell>
          <cell r="I1048">
            <v>0.1768690695880005</v>
          </cell>
          <cell r="J1048">
            <v>0.11794380675988057</v>
          </cell>
        </row>
        <row r="1049">
          <cell r="A1049" t="str">
            <v>D-INGA</v>
          </cell>
          <cell r="B1049" t="str">
            <v>VAR_fout</v>
          </cell>
          <cell r="C1049" t="str">
            <v>INGA</v>
          </cell>
          <cell r="H1049">
            <v>12.185156765653545</v>
          </cell>
          <cell r="I1049">
            <v>5.7021968152099705</v>
          </cell>
          <cell r="J1049">
            <v>3.8019043951424334</v>
          </cell>
        </row>
        <row r="1050">
          <cell r="A1050" t="str">
            <v>D-INGA</v>
          </cell>
          <cell r="B1050" t="str">
            <v>VAR_fin</v>
          </cell>
          <cell r="C1050" t="str">
            <v>NGA</v>
          </cell>
          <cell r="H1050">
            <v>9.866232369909218</v>
          </cell>
          <cell r="I1050">
            <v>3.3620062109142856</v>
          </cell>
          <cell r="J1050">
            <v>1.4385985487303801</v>
          </cell>
        </row>
        <row r="1051">
          <cell r="A1051" t="str">
            <v>D-INGA</v>
          </cell>
          <cell r="B1051" t="str">
            <v>VAR_fin</v>
          </cell>
          <cell r="C1051" t="str">
            <v>BNGA</v>
          </cell>
          <cell r="H1051">
            <v>2.3591060028574016</v>
          </cell>
          <cell r="I1051">
            <v>2.3591065471461174</v>
          </cell>
          <cell r="J1051">
            <v>2.3759848744216963</v>
          </cell>
        </row>
        <row r="1052">
          <cell r="A1052" t="str">
            <v>D-INGA</v>
          </cell>
          <cell r="B1052" t="str">
            <v>VAR_fin</v>
          </cell>
          <cell r="C1052" t="str">
            <v>H2</v>
          </cell>
          <cell r="H1052">
            <v>0.35852534163363853</v>
          </cell>
          <cell r="I1052">
            <v>0.17686817030212013</v>
          </cell>
          <cell r="J1052">
            <v>0.11793967048360823</v>
          </cell>
        </row>
        <row r="1053">
          <cell r="A1053" t="str">
            <v>D-INGA</v>
          </cell>
          <cell r="B1053" t="str">
            <v>VAR_ncap</v>
          </cell>
          <cell r="C1053" t="str">
            <v>-</v>
          </cell>
          <cell r="H1053">
            <v>1.0763881687035299E-6</v>
          </cell>
          <cell r="I1053">
            <v>1.4836407879167699E-6</v>
          </cell>
          <cell r="J1053">
            <v>3.1152095247024102E-6</v>
          </cell>
        </row>
        <row r="1054">
          <cell r="A1054" t="str">
            <v>D-INGA</v>
          </cell>
          <cell r="B1054" t="str">
            <v>VAR_cap</v>
          </cell>
          <cell r="C1054" t="str">
            <v>-</v>
          </cell>
          <cell r="H1054">
            <v>1.9844859526951755</v>
          </cell>
          <cell r="I1054">
            <v>1.9844874363359633</v>
          </cell>
          <cell r="J1054">
            <v>1.0954666187253079</v>
          </cell>
        </row>
        <row r="1055">
          <cell r="A1055" t="str">
            <v>RHEM-SHNGAHP</v>
          </cell>
          <cell r="B1055" t="str">
            <v>VAR_fout</v>
          </cell>
          <cell r="C1055" t="str">
            <v>CO2_R</v>
          </cell>
          <cell r="H1055">
            <v>243.06753139154199</v>
          </cell>
          <cell r="I1055">
            <v>292.37944595583298</v>
          </cell>
          <cell r="J1055">
            <v>245.75538740881001</v>
          </cell>
        </row>
        <row r="1056">
          <cell r="A1056" t="str">
            <v>RHEM-SHNGAHP</v>
          </cell>
          <cell r="B1056" t="str">
            <v>VAR_fout</v>
          </cell>
          <cell r="C1056" t="str">
            <v>RHEM-SHANGAH</v>
          </cell>
          <cell r="H1056">
            <v>8.5401638363206178</v>
          </cell>
          <cell r="I1056">
            <v>10.405036618557002</v>
          </cell>
          <cell r="J1056">
            <v>9.2190990600692047</v>
          </cell>
        </row>
        <row r="1057">
          <cell r="A1057" t="str">
            <v>RHEM-SHNGAHP</v>
          </cell>
          <cell r="B1057" t="str">
            <v>VAR_fin</v>
          </cell>
          <cell r="C1057" t="str">
            <v>RHEMELCHPC</v>
          </cell>
          <cell r="H1057">
            <v>8.5401638363206178</v>
          </cell>
          <cell r="I1057">
            <v>10.405036618557002</v>
          </cell>
          <cell r="J1057">
            <v>9.2190990600692047</v>
          </cell>
        </row>
        <row r="1058">
          <cell r="A1058" t="str">
            <v>RHEM-SHNGAHP</v>
          </cell>
          <cell r="B1058" t="str">
            <v>VAR_fin</v>
          </cell>
          <cell r="C1058" t="str">
            <v>RNGA</v>
          </cell>
          <cell r="H1058">
            <v>4.3097080033961435</v>
          </cell>
          <cell r="I1058">
            <v>5.1840327297133513</v>
          </cell>
          <cell r="J1058">
            <v>4.357365024978896</v>
          </cell>
        </row>
        <row r="1059">
          <cell r="A1059" t="str">
            <v>RHEM-SHNGAHP</v>
          </cell>
          <cell r="B1059" t="str">
            <v>VAR_ncap</v>
          </cell>
          <cell r="C1059" t="str">
            <v>-</v>
          </cell>
          <cell r="H1059">
            <v>0.11254383640421101</v>
          </cell>
          <cell r="I1059">
            <v>0.37452750600387502</v>
          </cell>
          <cell r="J1059">
            <v>0.33275156278250201</v>
          </cell>
        </row>
        <row r="1060">
          <cell r="A1060" t="str">
            <v>RHEM-SHNGAHP</v>
          </cell>
          <cell r="B1060" t="str">
            <v>VAR_cap</v>
          </cell>
          <cell r="C1060" t="str">
            <v>-</v>
          </cell>
          <cell r="H1060">
            <v>0.60307004849912715</v>
          </cell>
          <cell r="I1060">
            <v>0.73516045218642179</v>
          </cell>
          <cell r="J1060">
            <v>0.65216407064610138</v>
          </cell>
        </row>
        <row r="1061">
          <cell r="A1061" t="str">
            <v>D-SPLT</v>
          </cell>
          <cell r="B1061" t="str">
            <v>VAR_fout</v>
          </cell>
          <cell r="C1061" t="str">
            <v>SPLT</v>
          </cell>
          <cell r="H1061">
            <v>0.82399819145901121</v>
          </cell>
          <cell r="I1061">
            <v>1.049303880367797</v>
          </cell>
          <cell r="J1061">
            <v>1.0769693757972589</v>
          </cell>
        </row>
        <row r="1062">
          <cell r="A1062" t="str">
            <v>D-SPLT</v>
          </cell>
          <cell r="B1062" t="str">
            <v>VAR_fin</v>
          </cell>
          <cell r="C1062" t="str">
            <v>PLT</v>
          </cell>
          <cell r="H1062">
            <v>0.82399819145901121</v>
          </cell>
          <cell r="I1062">
            <v>1.049303880367797</v>
          </cell>
          <cell r="J1062">
            <v>1.0769693757972589</v>
          </cell>
        </row>
        <row r="1063">
          <cell r="A1063" t="str">
            <v>RHES-SHCONBR</v>
          </cell>
          <cell r="B1063" t="str">
            <v>VAR_fout</v>
          </cell>
          <cell r="C1063" t="str">
            <v>RHES-SHCON</v>
          </cell>
          <cell r="H1063">
            <v>9.3472309324998113E-5</v>
          </cell>
          <cell r="I1063">
            <v>1.0056452594015678E-4</v>
          </cell>
          <cell r="J1063">
            <v>1.1224122547400729E-4</v>
          </cell>
        </row>
        <row r="1064">
          <cell r="A1064" t="str">
            <v>RHES-SHCONBR</v>
          </cell>
          <cell r="B1064" t="str">
            <v>VAR_fin</v>
          </cell>
          <cell r="C1064" t="str">
            <v>CON</v>
          </cell>
          <cell r="H1064">
            <v>9.3472309324998113E-5</v>
          </cell>
          <cell r="I1064">
            <v>1.0056452594015678E-4</v>
          </cell>
          <cell r="J1064">
            <v>1.1224122547400729E-4</v>
          </cell>
        </row>
        <row r="1065">
          <cell r="A1065" t="str">
            <v>RHES-SHCONBR</v>
          </cell>
          <cell r="B1065" t="str">
            <v>VAR_ncap</v>
          </cell>
          <cell r="C1065" t="str">
            <v>-</v>
          </cell>
          <cell r="H1065">
            <v>2.3301177079970102E-6</v>
          </cell>
          <cell r="I1065">
            <v>8.1272498246893402E-7</v>
          </cell>
          <cell r="J1065">
            <v>1.20644467722644E-6</v>
          </cell>
        </row>
        <row r="1066">
          <cell r="A1066" t="str">
            <v>RHES-SHCONBR</v>
          </cell>
          <cell r="B1066" t="str">
            <v>VAR_cap</v>
          </cell>
          <cell r="C1066" t="str">
            <v>-</v>
          </cell>
          <cell r="H1066">
            <v>5.8608966803627748E-6</v>
          </cell>
          <cell r="I1066">
            <v>6.6629387904527388E-6</v>
          </cell>
          <cell r="J1066">
            <v>7.9237606170233095E-6</v>
          </cell>
        </row>
        <row r="1067">
          <cell r="A1067" t="str">
            <v>RHSA-WHSOLBR</v>
          </cell>
          <cell r="B1067" t="str">
            <v>VAR_fout</v>
          </cell>
          <cell r="C1067" t="str">
            <v>RHSA-WHASOL</v>
          </cell>
          <cell r="H1067">
            <v>1.1233195005603271</v>
          </cell>
          <cell r="I1067">
            <v>1.2090635175245539</v>
          </cell>
          <cell r="J1067">
            <v>1.2000062461016361</v>
          </cell>
        </row>
        <row r="1068">
          <cell r="A1068" t="str">
            <v>RHSA-WHSOLBR</v>
          </cell>
          <cell r="B1068" t="str">
            <v>VAR_fin</v>
          </cell>
          <cell r="C1068" t="str">
            <v>SOL</v>
          </cell>
          <cell r="H1068">
            <v>1.1233195005603271</v>
          </cell>
          <cell r="I1068">
            <v>1.2090635175245539</v>
          </cell>
          <cell r="J1068">
            <v>1.2000062461016361</v>
          </cell>
        </row>
        <row r="1069">
          <cell r="A1069" t="str">
            <v>RHSA-WHSOLBR</v>
          </cell>
          <cell r="B1069" t="str">
            <v>VAR_fin</v>
          </cell>
          <cell r="C1069" t="str">
            <v>RHSASOLBRC</v>
          </cell>
          <cell r="H1069">
            <v>1.1233195005603271</v>
          </cell>
          <cell r="I1069">
            <v>1.2090635175245539</v>
          </cell>
          <cell r="J1069">
            <v>1.2000062461016361</v>
          </cell>
        </row>
        <row r="1070">
          <cell r="A1070" t="str">
            <v>RHSA-WHSOLBR</v>
          </cell>
          <cell r="B1070" t="str">
            <v>VAR_ncap</v>
          </cell>
          <cell r="C1070" t="str">
            <v>-</v>
          </cell>
          <cell r="H1070">
            <v>0.136980645271918</v>
          </cell>
          <cell r="I1070">
            <v>0.13323408532741601</v>
          </cell>
          <cell r="J1070">
            <v>0.101981260144534</v>
          </cell>
        </row>
        <row r="1071">
          <cell r="A1071" t="str">
            <v>RHSA-WHSOLBR</v>
          </cell>
          <cell r="B1071" t="str">
            <v>VAR_cap</v>
          </cell>
          <cell r="C1071" t="str">
            <v>-</v>
          </cell>
          <cell r="H1071">
            <v>0.24406867417634284</v>
          </cell>
          <cell r="I1071">
            <v>0.27021477877976519</v>
          </cell>
          <cell r="J1071">
            <v>0.25661555185552759</v>
          </cell>
        </row>
        <row r="1072">
          <cell r="A1072" t="str">
            <v>SCOM-SHCONBR</v>
          </cell>
          <cell r="B1072" t="str">
            <v>VAR_ncap</v>
          </cell>
          <cell r="C1072" t="str">
            <v>-</v>
          </cell>
          <cell r="H1072">
            <v>3.2273675083621899E-7</v>
          </cell>
        </row>
        <row r="1073">
          <cell r="A1073" t="str">
            <v>SCOM-SHCONBR</v>
          </cell>
          <cell r="B1073" t="str">
            <v>VAR_cap</v>
          </cell>
          <cell r="C1073" t="str">
            <v>-</v>
          </cell>
          <cell r="H1073">
            <v>3.7084302885285702E-7</v>
          </cell>
          <cell r="I1073">
            <v>3.7084302885285702E-7</v>
          </cell>
          <cell r="J1073">
            <v>3.7084302885285702E-7</v>
          </cell>
        </row>
        <row r="1074">
          <cell r="A1074" t="str">
            <v>RHNM-SHNGABR</v>
          </cell>
          <cell r="B1074" t="str">
            <v>VAR_fout</v>
          </cell>
          <cell r="C1074" t="str">
            <v>CO2_R</v>
          </cell>
          <cell r="H1074">
            <v>8.6046166512266993</v>
          </cell>
          <cell r="I1074">
            <v>5.2222313304467196</v>
          </cell>
        </row>
        <row r="1075">
          <cell r="A1075" t="str">
            <v>RHNM-SHNGABR</v>
          </cell>
          <cell r="B1075" t="str">
            <v>VAR_fout</v>
          </cell>
          <cell r="C1075" t="str">
            <v>RHNM-SHNGA</v>
          </cell>
          <cell r="H1075">
            <v>0.14642248977501773</v>
          </cell>
          <cell r="I1075">
            <v>8.8865331783967647E-2</v>
          </cell>
        </row>
        <row r="1076">
          <cell r="A1076" t="str">
            <v>RHNM-SHNGABR</v>
          </cell>
          <cell r="B1076" t="str">
            <v>VAR_fin</v>
          </cell>
          <cell r="C1076" t="str">
            <v>RNGA</v>
          </cell>
          <cell r="H1076">
            <v>0.15256412502174985</v>
          </cell>
          <cell r="I1076">
            <v>9.2592754085934842E-2</v>
          </cell>
        </row>
        <row r="1077">
          <cell r="A1077" t="str">
            <v>RHNM-SHNGABR</v>
          </cell>
          <cell r="B1077" t="str">
            <v>VAR_ncap</v>
          </cell>
          <cell r="C1077" t="str">
            <v>-</v>
          </cell>
          <cell r="H1077">
            <v>1.34102439651014E-5</v>
          </cell>
          <cell r="I1077">
            <v>7.0342006548189196E-3</v>
          </cell>
          <cell r="J1077">
            <v>1.96359865534173E-7</v>
          </cell>
        </row>
        <row r="1078">
          <cell r="A1078" t="str">
            <v>RHNM-SHNGABR</v>
          </cell>
          <cell r="B1078" t="str">
            <v>VAR_cap</v>
          </cell>
          <cell r="C1078" t="str">
            <v>-</v>
          </cell>
          <cell r="H1078">
            <v>1.19903934670899E-2</v>
          </cell>
          <cell r="I1078">
            <v>7.0478136127111388E-3</v>
          </cell>
          <cell r="J1078">
            <v>8.1813874439704698E-6</v>
          </cell>
        </row>
        <row r="1079">
          <cell r="A1079" t="str">
            <v>RHES-SHSOLBR</v>
          </cell>
          <cell r="B1079" t="str">
            <v>VAR_fout</v>
          </cell>
          <cell r="C1079" t="str">
            <v>RHES-SHASOL</v>
          </cell>
          <cell r="H1079">
            <v>2.2596665135283051E-2</v>
          </cell>
          <cell r="I1079">
            <v>2.1935196941061039E-2</v>
          </cell>
          <cell r="J1079">
            <v>1.9792680921152942E-2</v>
          </cell>
        </row>
        <row r="1080">
          <cell r="A1080" t="str">
            <v>RHES-SHSOLBR</v>
          </cell>
          <cell r="B1080" t="str">
            <v>VAR_fin</v>
          </cell>
          <cell r="C1080" t="str">
            <v>SOL</v>
          </cell>
          <cell r="H1080">
            <v>2.2596665135283051E-2</v>
          </cell>
          <cell r="I1080">
            <v>2.1935196941061039E-2</v>
          </cell>
          <cell r="J1080">
            <v>1.9792680921152942E-2</v>
          </cell>
        </row>
        <row r="1081">
          <cell r="A1081" t="str">
            <v>RHES-SHSOLBR</v>
          </cell>
          <cell r="B1081" t="str">
            <v>VAR_ncap</v>
          </cell>
          <cell r="C1081" t="str">
            <v>-</v>
          </cell>
          <cell r="H1081">
            <v>5.1959074161930395E-7</v>
          </cell>
          <cell r="I1081">
            <v>3.2117837540549601E-3</v>
          </cell>
          <cell r="J1081">
            <v>5.5934307669598703E-4</v>
          </cell>
        </row>
        <row r="1082">
          <cell r="A1082" t="str">
            <v>RHES-SHSOLBR</v>
          </cell>
          <cell r="B1082" t="str">
            <v>VAR_cap</v>
          </cell>
          <cell r="C1082" t="str">
            <v>-</v>
          </cell>
          <cell r="H1082">
            <v>1.8316170860619901E-2</v>
          </cell>
          <cell r="I1082">
            <v>3.2122123845319019E-3</v>
          </cell>
          <cell r="J1082">
            <v>2.8903513405199102E-3</v>
          </cell>
        </row>
        <row r="1083">
          <cell r="A1083" t="str">
            <v>SCOM-SHSOLBR</v>
          </cell>
          <cell r="B1083" t="str">
            <v>VAR_fout</v>
          </cell>
          <cell r="C1083" t="str">
            <v>SCOM-SHASOL</v>
          </cell>
          <cell r="H1083">
            <v>0.66055031787157714</v>
          </cell>
          <cell r="I1083">
            <v>0.73653508444957427</v>
          </cell>
          <cell r="J1083">
            <v>0.77782081985134044</v>
          </cell>
        </row>
        <row r="1084">
          <cell r="A1084" t="str">
            <v>SCOM-SHSOLBR</v>
          </cell>
          <cell r="B1084" t="str">
            <v>VAR_fin</v>
          </cell>
          <cell r="C1084" t="str">
            <v>SOL</v>
          </cell>
          <cell r="H1084">
            <v>0.66055031787157714</v>
          </cell>
          <cell r="I1084">
            <v>0.73653508444957427</v>
          </cell>
          <cell r="J1084">
            <v>0.77782081985134044</v>
          </cell>
        </row>
        <row r="1085">
          <cell r="A1085" t="str">
            <v>SCOM-SHSOLBR</v>
          </cell>
          <cell r="B1085" t="str">
            <v>VAR_ncap</v>
          </cell>
          <cell r="C1085" t="str">
            <v>-</v>
          </cell>
          <cell r="H1085">
            <v>6.7861968315478596E-2</v>
          </cell>
          <cell r="I1085">
            <v>4.2195404035875697E-2</v>
          </cell>
          <cell r="J1085">
            <v>6.3136582806379807E-2</v>
          </cell>
        </row>
        <row r="1086">
          <cell r="A1086" t="str">
            <v>SCOM-SHSOLBR</v>
          </cell>
          <cell r="B1086" t="str">
            <v>VAR_cap</v>
          </cell>
          <cell r="C1086" t="str">
            <v>-</v>
          </cell>
          <cell r="H1086">
            <v>9.5967259434961552E-2</v>
          </cell>
          <cell r="I1086">
            <v>0.11005751319698548</v>
          </cell>
          <cell r="J1086">
            <v>0.12246422754537661</v>
          </cell>
        </row>
        <row r="1087">
          <cell r="A1087" t="str">
            <v>RHEM-SHSTG-ELCHP</v>
          </cell>
          <cell r="B1087" t="str">
            <v>VAR_fout</v>
          </cell>
          <cell r="C1087" t="str">
            <v>RHEM-SHAELCH</v>
          </cell>
          <cell r="H1087">
            <v>2.7436710104100182</v>
          </cell>
          <cell r="I1087">
            <v>3.3082326941103686</v>
          </cell>
          <cell r="J1087">
            <v>3.6262935293476861</v>
          </cell>
        </row>
        <row r="1088">
          <cell r="A1088" t="str">
            <v>RHEM-SHSTG-ELCHP</v>
          </cell>
          <cell r="B1088" t="str">
            <v>VAR_fout</v>
          </cell>
          <cell r="C1088" t="str">
            <v>AUX_RHEM-SHSTG-ELCHP_OUT</v>
          </cell>
          <cell r="H1088">
            <v>2.7464146814204287</v>
          </cell>
          <cell r="I1088">
            <v>3.3115409268044824</v>
          </cell>
          <cell r="J1088">
            <v>3.6299198228770289</v>
          </cell>
        </row>
        <row r="1089">
          <cell r="A1089" t="str">
            <v>RHEM-SHSTG-ELCHP</v>
          </cell>
          <cell r="B1089" t="str">
            <v>VAR_fin</v>
          </cell>
          <cell r="C1089" t="str">
            <v>RHEM-SHAELCH</v>
          </cell>
          <cell r="H1089">
            <v>2.7436779039745622</v>
          </cell>
          <cell r="I1089">
            <v>3.3082393226044449</v>
          </cell>
          <cell r="J1089">
            <v>3.6263005399157771</v>
          </cell>
        </row>
        <row r="1090">
          <cell r="A1090" t="str">
            <v>RHEM-SHSTG-ELCHP</v>
          </cell>
          <cell r="B1090" t="str">
            <v>VAR_ncap</v>
          </cell>
          <cell r="C1090" t="str">
            <v>-</v>
          </cell>
          <cell r="H1090">
            <v>0.19694288757227299</v>
          </cell>
          <cell r="I1090">
            <v>0.13488858245478699</v>
          </cell>
          <cell r="J1090">
            <v>0.18734884930109399</v>
          </cell>
        </row>
        <row r="1091">
          <cell r="A1091" t="str">
            <v>RHEM-SHSTG-ELCHP</v>
          </cell>
          <cell r="B1091" t="str">
            <v>VAR_cap</v>
          </cell>
          <cell r="C1091" t="str">
            <v>-</v>
          </cell>
          <cell r="H1091">
            <v>0.30154258691996461</v>
          </cell>
          <cell r="I1091">
            <v>0.36893212361885158</v>
          </cell>
          <cell r="J1091">
            <v>0.36850427048479772</v>
          </cell>
        </row>
        <row r="1092">
          <cell r="A1092" t="str">
            <v>ITOT-SWHELCBR</v>
          </cell>
          <cell r="B1092" t="str">
            <v>VAR_fout</v>
          </cell>
          <cell r="C1092" t="str">
            <v>ITOT-SWHAELC</v>
          </cell>
          <cell r="H1092">
            <v>17.765730998459905</v>
          </cell>
          <cell r="I1092">
            <v>17.765730373832334</v>
          </cell>
          <cell r="J1092">
            <v>17.765730562674278</v>
          </cell>
        </row>
        <row r="1093">
          <cell r="A1093" t="str">
            <v>ITOT-SWHELCBR</v>
          </cell>
          <cell r="B1093" t="str">
            <v>VAR_fin</v>
          </cell>
          <cell r="C1093" t="str">
            <v>ITOT_ELC</v>
          </cell>
          <cell r="H1093">
            <v>21.000490094326391</v>
          </cell>
          <cell r="I1093">
            <v>20.9727888556274</v>
          </cell>
          <cell r="J1093">
            <v>20.917606728996486</v>
          </cell>
        </row>
        <row r="1094">
          <cell r="A1094" t="str">
            <v>ITOT-SWHELCBR</v>
          </cell>
          <cell r="B1094" t="str">
            <v>VAR_ncap</v>
          </cell>
          <cell r="C1094" t="str">
            <v>-</v>
          </cell>
          <cell r="H1094">
            <v>0.71246247480262803</v>
          </cell>
          <cell r="I1094">
            <v>0.36029754210210602</v>
          </cell>
          <cell r="J1094">
            <v>1.0303307796146199</v>
          </cell>
        </row>
        <row r="1095">
          <cell r="A1095" t="str">
            <v>ITOT-SWHELCBR</v>
          </cell>
          <cell r="B1095" t="str">
            <v>VAR_cap</v>
          </cell>
          <cell r="C1095" t="str">
            <v>-</v>
          </cell>
          <cell r="H1095">
            <v>1.5811461712764616</v>
          </cell>
          <cell r="I1095">
            <v>1.4427100306982825</v>
          </cell>
          <cell r="J1095">
            <v>1.5931678992494651</v>
          </cell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  <cell r="J4">
            <v>1129.1250333041655</v>
          </cell>
          <cell r="K4">
            <v>1214.1596355248303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  <cell r="J5">
            <v>985.01032570541565</v>
          </cell>
          <cell r="K5">
            <v>1055.2837179025205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  <cell r="J6">
            <v>122.90348284942495</v>
          </cell>
          <cell r="K6">
            <v>62.05694345304336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  <cell r="J7">
            <v>21.211224749323819</v>
          </cell>
          <cell r="K7">
            <v>96.818974169267264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J8">
            <v>-39.105147871479694</v>
          </cell>
          <cell r="K8">
            <v>-45.739741859325129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  <cell r="J9">
            <v>728.39297976032844</v>
          </cell>
          <cell r="K9">
            <v>2395.868938103969</v>
          </cell>
        </row>
        <row r="10">
          <cell r="B10" t="str">
            <v>CO2_O</v>
          </cell>
          <cell r="C10" t="str">
            <v>VAR_fout</v>
          </cell>
          <cell r="D10" t="str">
            <v>CHPWSTCCS</v>
          </cell>
          <cell r="J10">
            <v>812.50746495932844</v>
          </cell>
          <cell r="K10">
            <v>2286.0123862451564</v>
          </cell>
        </row>
        <row r="11">
          <cell r="B11" t="str">
            <v>CO2_O</v>
          </cell>
          <cell r="C11" t="str">
            <v>VAR_fout</v>
          </cell>
          <cell r="D11" t="str">
            <v>ITOT-CHPWSTCCS</v>
          </cell>
          <cell r="J11">
            <v>142.86171892022534</v>
          </cell>
          <cell r="K11">
            <v>387.60569958171226</v>
          </cell>
        </row>
        <row r="12">
          <cell r="B12" t="str">
            <v>CO2_O</v>
          </cell>
          <cell r="C12" t="str">
            <v>VAR_fout</v>
          </cell>
          <cell r="D12" t="str">
            <v>ITOT-CHPNGACCS</v>
          </cell>
          <cell r="J12">
            <v>2.0394712881543509</v>
          </cell>
          <cell r="K12">
            <v>38.009953900870975</v>
          </cell>
        </row>
        <row r="13">
          <cell r="B13" t="str">
            <v>CO2_O</v>
          </cell>
          <cell r="C13" t="str">
            <v>VAR_fout</v>
          </cell>
          <cell r="D13" t="str">
            <v>ITOT-CHPWODCCS</v>
          </cell>
          <cell r="J13">
            <v>167.1949506046646</v>
          </cell>
          <cell r="K13">
            <v>437.18381783367494</v>
          </cell>
        </row>
        <row r="14">
          <cell r="B14" t="str">
            <v>CO2_O</v>
          </cell>
          <cell r="C14" t="str">
            <v>VAR_fout</v>
          </cell>
          <cell r="D14" t="str">
            <v>EWOD-CCS</v>
          </cell>
          <cell r="J14">
            <v>0.46038320002174843</v>
          </cell>
          <cell r="K14">
            <v>412.56170579650586</v>
          </cell>
        </row>
        <row r="15">
          <cell r="B15" t="str">
            <v>CO2_O</v>
          </cell>
          <cell r="C15" t="str">
            <v>VAR_fout</v>
          </cell>
          <cell r="D15" t="str">
            <v>ITOT-PROCESSCO2CCS</v>
          </cell>
          <cell r="J15">
            <v>8.0750042500253458E-2</v>
          </cell>
          <cell r="K15">
            <v>956.58291811530285</v>
          </cell>
        </row>
        <row r="16">
          <cell r="B16" t="str">
            <v>CO2_O</v>
          </cell>
          <cell r="C16" t="str">
            <v>VAR_fout</v>
          </cell>
          <cell r="D16" t="str">
            <v>SUP_NGAH2CCS</v>
          </cell>
          <cell r="K16">
            <v>1.4210538791761611E-2</v>
          </cell>
        </row>
        <row r="17">
          <cell r="B17" t="str">
            <v>CO2_O</v>
          </cell>
          <cell r="C17" t="str">
            <v>VAR_fout</v>
          </cell>
          <cell r="D17" t="str">
            <v>SUP_DAC</v>
          </cell>
          <cell r="J17">
            <v>3.2815633244499824E-3</v>
          </cell>
          <cell r="K17">
            <v>8.8840290407978164E-3</v>
          </cell>
        </row>
        <row r="18">
          <cell r="B18" t="str">
            <v>CO2_O</v>
          </cell>
          <cell r="C18" t="str">
            <v>VAR_fin</v>
          </cell>
          <cell r="D18" t="str">
            <v>D-CO2_O</v>
          </cell>
          <cell r="J18">
            <v>1853.5214591502133</v>
          </cell>
          <cell r="K18">
            <v>6913.8266985993978</v>
          </cell>
        </row>
        <row r="19">
          <cell r="B19" t="str">
            <v>CO2_O</v>
          </cell>
          <cell r="C19" t="str">
            <v>EQ_combalM</v>
          </cell>
          <cell r="D19" t="str">
            <v>-</v>
          </cell>
          <cell r="J19">
            <v>-40.109168425134676</v>
          </cell>
          <cell r="K19">
            <v>-46.634035141804404</v>
          </cell>
        </row>
        <row r="20">
          <cell r="B20" t="str">
            <v>CO2_Q</v>
          </cell>
          <cell r="C20" t="str">
            <v>VAR_fout</v>
          </cell>
          <cell r="D20" t="str">
            <v>D-CO2_O</v>
          </cell>
          <cell r="J20">
            <v>724.39642584604712</v>
          </cell>
          <cell r="K20">
            <v>3511.8171545936943</v>
          </cell>
        </row>
        <row r="21">
          <cell r="B21" t="str">
            <v>CO2_Q</v>
          </cell>
          <cell r="C21" t="str">
            <v>VAR_fin</v>
          </cell>
          <cell r="D21" t="str">
            <v>CO2SINK</v>
          </cell>
          <cell r="J21">
            <v>724.39642584604712</v>
          </cell>
          <cell r="K21">
            <v>3511.8171545936943</v>
          </cell>
        </row>
        <row r="22">
          <cell r="B22" t="str">
            <v>CO2_Q</v>
          </cell>
          <cell r="C22" t="str">
            <v>EQ_combalM</v>
          </cell>
          <cell r="D22" t="str">
            <v>-</v>
          </cell>
          <cell r="J22">
            <v>-39.105147871479694</v>
          </cell>
          <cell r="K22">
            <v>-45.739741859325129</v>
          </cell>
        </row>
        <row r="23">
          <cell r="B23" t="str">
            <v>CO2_R</v>
          </cell>
          <cell r="C23" t="str">
            <v>VAR_fout</v>
          </cell>
          <cell r="D23" t="str">
            <v>RHNM-SHLFOBR</v>
          </cell>
          <cell r="I23">
            <v>7.3534128954994502</v>
          </cell>
          <cell r="J23">
            <v>5.0544496686081901</v>
          </cell>
        </row>
        <row r="24">
          <cell r="B24" t="str">
            <v>CO2_R</v>
          </cell>
          <cell r="C24" t="str">
            <v>VAR_fout</v>
          </cell>
          <cell r="D24" t="str">
            <v>RHNS-SHNGAHP</v>
          </cell>
          <cell r="I24">
            <v>21.426034186911298</v>
          </cell>
          <cell r="J24">
            <v>26.215497176823099</v>
          </cell>
          <cell r="K24">
            <v>30.716328410382101</v>
          </cell>
        </row>
        <row r="25">
          <cell r="B25" t="str">
            <v>CO2_R</v>
          </cell>
          <cell r="C25" t="str">
            <v>VAR_fout</v>
          </cell>
          <cell r="D25" t="str">
            <v>RHES-CHPNGA</v>
          </cell>
          <cell r="I25">
            <v>0.90718413463779601</v>
          </cell>
          <cell r="J25">
            <v>0.15583705046633101</v>
          </cell>
        </row>
        <row r="26">
          <cell r="B26" t="str">
            <v>CO2_R</v>
          </cell>
          <cell r="C26" t="str">
            <v>VAR_fout</v>
          </cell>
          <cell r="D26" t="str">
            <v>RHEM-SHNGABR</v>
          </cell>
          <cell r="I26">
            <v>566.40479010687102</v>
          </cell>
          <cell r="J26">
            <v>230.78971723848801</v>
          </cell>
          <cell r="K26">
            <v>85.861722217784902</v>
          </cell>
        </row>
        <row r="27">
          <cell r="B27" t="str">
            <v>CO2_R</v>
          </cell>
          <cell r="C27" t="str">
            <v>VAR_fout</v>
          </cell>
          <cell r="D27" t="str">
            <v>RHSA-WHNGAHP</v>
          </cell>
          <cell r="I27">
            <v>105.87550391076</v>
          </cell>
          <cell r="J27">
            <v>130.886004791288</v>
          </cell>
          <cell r="K27">
            <v>120.990618224884</v>
          </cell>
        </row>
        <row r="28">
          <cell r="B28" t="str">
            <v>CO2_R</v>
          </cell>
          <cell r="C28" t="str">
            <v>VAR_fout</v>
          </cell>
          <cell r="D28" t="str">
            <v>RHEM-SHLFOBR</v>
          </cell>
          <cell r="I28">
            <v>594.89816279671902</v>
          </cell>
          <cell r="J28">
            <v>221.62487307459401</v>
          </cell>
          <cell r="K28">
            <v>24.000382244848598</v>
          </cell>
        </row>
        <row r="29">
          <cell r="B29" t="str">
            <v>CO2_R</v>
          </cell>
          <cell r="C29" t="str">
            <v>VAR_fout</v>
          </cell>
          <cell r="D29" t="str">
            <v>RHES-SHNGAHP</v>
          </cell>
          <cell r="I29">
            <v>192.29663868704299</v>
          </cell>
          <cell r="J29">
            <v>219.94477728054099</v>
          </cell>
          <cell r="K29">
            <v>191.39089063755699</v>
          </cell>
        </row>
        <row r="30">
          <cell r="B30" t="str">
            <v>CO2_R</v>
          </cell>
          <cell r="C30" t="str">
            <v>VAR_fout</v>
          </cell>
          <cell r="D30" t="str">
            <v>RHNS-SHNGABR</v>
          </cell>
          <cell r="I30">
            <v>5.1074474162222803</v>
          </cell>
          <cell r="J30">
            <v>4.7808287499787703</v>
          </cell>
          <cell r="K30">
            <v>2.0636478141188199</v>
          </cell>
        </row>
        <row r="31">
          <cell r="B31" t="str">
            <v>CO2_R</v>
          </cell>
          <cell r="C31" t="str">
            <v>VAR_fout</v>
          </cell>
          <cell r="D31" t="str">
            <v>RHNS-SHLFOBR</v>
          </cell>
          <cell r="I31">
            <v>3.84766143970168</v>
          </cell>
          <cell r="J31">
            <v>3.3719589316054299</v>
          </cell>
        </row>
        <row r="32">
          <cell r="B32" t="str">
            <v>CO2_R</v>
          </cell>
          <cell r="C32" t="str">
            <v>VAR_fout</v>
          </cell>
          <cell r="D32" t="str">
            <v>RHNM-CHPNGA</v>
          </cell>
          <cell r="I32">
            <v>0.51867985066210198</v>
          </cell>
          <cell r="J32">
            <v>0.16339419824031901</v>
          </cell>
        </row>
        <row r="33">
          <cell r="B33" t="str">
            <v>CO2_R</v>
          </cell>
          <cell r="C33" t="str">
            <v>VAR_fout</v>
          </cell>
          <cell r="D33" t="str">
            <v>RHNM-SHNGAHP</v>
          </cell>
          <cell r="I33">
            <v>27.871730151981801</v>
          </cell>
          <cell r="J33">
            <v>34.250790449770001</v>
          </cell>
          <cell r="K33">
            <v>39.483731430082301</v>
          </cell>
        </row>
        <row r="34">
          <cell r="B34" t="str">
            <v>CO2_R</v>
          </cell>
          <cell r="C34" t="str">
            <v>VAR_fout</v>
          </cell>
          <cell r="D34" t="str">
            <v>RHES-SHNGABR</v>
          </cell>
          <cell r="I34">
            <v>298.71437728951298</v>
          </cell>
          <cell r="J34">
            <v>141.70891178123401</v>
          </cell>
          <cell r="K34">
            <v>57.031477167753003</v>
          </cell>
        </row>
        <row r="35">
          <cell r="B35" t="str">
            <v>CO2_R</v>
          </cell>
          <cell r="C35" t="str">
            <v>VAR_fout</v>
          </cell>
          <cell r="D35" t="str">
            <v>RHSA-WHNGABR</v>
          </cell>
          <cell r="I35">
            <v>239.617158841308</v>
          </cell>
          <cell r="J35">
            <v>143.707502829112</v>
          </cell>
          <cell r="K35">
            <v>63.618127784341901</v>
          </cell>
        </row>
        <row r="36">
          <cell r="B36" t="str">
            <v>CO2_R</v>
          </cell>
          <cell r="C36" t="str">
            <v>VAR_fout</v>
          </cell>
          <cell r="D36" t="str">
            <v>RHSA-WHLFOBR</v>
          </cell>
          <cell r="I36">
            <v>194.81342052030499</v>
          </cell>
          <cell r="J36">
            <v>96.602327947271107</v>
          </cell>
          <cell r="K36">
            <v>7.2525971533710498</v>
          </cell>
        </row>
        <row r="37">
          <cell r="B37" t="str">
            <v>CO2_R</v>
          </cell>
          <cell r="C37" t="str">
            <v>VAR_fout</v>
          </cell>
          <cell r="D37" t="str">
            <v>RHES-SHLFOBR</v>
          </cell>
          <cell r="I37">
            <v>349.24179562006498</v>
          </cell>
          <cell r="J37">
            <v>114.615242125297</v>
          </cell>
          <cell r="K37">
            <v>11.299608968518299</v>
          </cell>
        </row>
        <row r="38">
          <cell r="B38" t="str">
            <v>CO2_R</v>
          </cell>
          <cell r="C38" t="str">
            <v>VAR_fout</v>
          </cell>
          <cell r="D38" t="str">
            <v>RHNS-CHPNGA</v>
          </cell>
          <cell r="I38">
            <v>0.22452494802894299</v>
          </cell>
          <cell r="J38">
            <v>8.3373572862207201E-2</v>
          </cell>
        </row>
        <row r="39">
          <cell r="B39" t="str">
            <v>CO2_R</v>
          </cell>
          <cell r="C39" t="str">
            <v>VAR_fout</v>
          </cell>
          <cell r="D39" t="str">
            <v>RHEM-CHPNGA</v>
          </cell>
          <cell r="I39">
            <v>1.4461871064816401</v>
          </cell>
          <cell r="J39">
            <v>0.21200951684313199</v>
          </cell>
        </row>
        <row r="40">
          <cell r="B40" t="str">
            <v>CO2_R</v>
          </cell>
          <cell r="C40" t="str">
            <v>VAR_fout</v>
          </cell>
          <cell r="D40" t="str">
            <v>RHES-SHCOABR</v>
          </cell>
        </row>
        <row r="41">
          <cell r="B41" t="str">
            <v>CO2_R</v>
          </cell>
          <cell r="C41" t="str">
            <v>VAR_fout</v>
          </cell>
          <cell r="D41" t="str">
            <v>RHEM-SHNGAHP</v>
          </cell>
          <cell r="I41">
            <v>243.06753139154199</v>
          </cell>
          <cell r="J41">
            <v>292.37944595583298</v>
          </cell>
          <cell r="K41">
            <v>245.75538740881001</v>
          </cell>
        </row>
        <row r="42">
          <cell r="B42" t="str">
            <v>CO2_R</v>
          </cell>
          <cell r="C42" t="str">
            <v>VAR_fout</v>
          </cell>
          <cell r="D42" t="str">
            <v>RHNM-SHNGABR</v>
          </cell>
          <cell r="I42">
            <v>8.6046166512266993</v>
          </cell>
          <cell r="J42">
            <v>5.2222313304467196</v>
          </cell>
        </row>
        <row r="43">
          <cell r="B43" t="str">
            <v>CO2_R</v>
          </cell>
          <cell r="C43" t="str">
            <v>VAR_comnet</v>
          </cell>
          <cell r="D43" t="str">
            <v>-</v>
          </cell>
          <cell r="I43">
            <v>2862.2368579454801</v>
          </cell>
          <cell r="J43">
            <v>1671.7691736693</v>
          </cell>
          <cell r="K43">
            <v>879.46451946245202</v>
          </cell>
        </row>
        <row r="44">
          <cell r="B44" t="str">
            <v>CO2_S</v>
          </cell>
          <cell r="C44" t="str">
            <v>VAR_fout</v>
          </cell>
          <cell r="D44" t="str">
            <v>SCOM-SHNGAHP</v>
          </cell>
          <cell r="I44">
            <v>236.76705832116801</v>
          </cell>
          <cell r="J44">
            <v>295.81645115587799</v>
          </cell>
          <cell r="K44">
            <v>279.62003975944901</v>
          </cell>
        </row>
        <row r="45">
          <cell r="B45" t="str">
            <v>CO2_S</v>
          </cell>
          <cell r="C45" t="str">
            <v>VAR_fout</v>
          </cell>
          <cell r="D45" t="str">
            <v>SCOM-CHPNGA</v>
          </cell>
          <cell r="I45">
            <v>0.55542710542460005</v>
          </cell>
          <cell r="J45">
            <v>9.9829190076021299E-2</v>
          </cell>
        </row>
        <row r="46">
          <cell r="B46" t="str">
            <v>CO2_S</v>
          </cell>
          <cell r="C46" t="str">
            <v>VAR_fout</v>
          </cell>
          <cell r="D46" t="str">
            <v>SCOM-SHNGABR</v>
          </cell>
          <cell r="I46">
            <v>635.32642969547499</v>
          </cell>
          <cell r="J46">
            <v>338.22520471191098</v>
          </cell>
          <cell r="K46">
            <v>126.818555177322</v>
          </cell>
        </row>
        <row r="47">
          <cell r="B47" t="str">
            <v>CO2_S</v>
          </cell>
          <cell r="C47" t="str">
            <v>VAR_fout</v>
          </cell>
          <cell r="D47" t="str">
            <v>SCOM-SHLFOBR</v>
          </cell>
          <cell r="I47">
            <v>821.83593004517502</v>
          </cell>
          <cell r="J47">
            <v>400.54035236174002</v>
          </cell>
          <cell r="K47">
            <v>31.126568868348301</v>
          </cell>
        </row>
        <row r="48">
          <cell r="B48" t="str">
            <v>CO2_S</v>
          </cell>
          <cell r="C48" t="str">
            <v>VAR_comnet</v>
          </cell>
          <cell r="D48" t="str">
            <v>-</v>
          </cell>
          <cell r="I48">
            <v>1694.4848451672401</v>
          </cell>
          <cell r="J48">
            <v>1034.68183741961</v>
          </cell>
          <cell r="K48">
            <v>437.56516380511903</v>
          </cell>
        </row>
        <row r="49">
          <cell r="B49" t="str">
            <v>CO2_T</v>
          </cell>
          <cell r="C49" t="str">
            <v>VAR_fout</v>
          </cell>
          <cell r="D49" t="str">
            <v>T_B_u-ICENGAEXT</v>
          </cell>
        </row>
        <row r="50">
          <cell r="B50" t="str">
            <v>CO2_T</v>
          </cell>
          <cell r="C50" t="str">
            <v>VAR_fout</v>
          </cell>
          <cell r="D50" t="str">
            <v>TFHGV-ICENGA</v>
          </cell>
          <cell r="I50">
            <v>0.32150083881543245</v>
          </cell>
          <cell r="J50">
            <v>0.18045723233849781</v>
          </cell>
          <cell r="K50">
            <v>7.6097849831011297E-3</v>
          </cell>
        </row>
        <row r="51">
          <cell r="B51" t="str">
            <v>CO2_T</v>
          </cell>
          <cell r="C51" t="str">
            <v>VAR_fout</v>
          </cell>
          <cell r="D51" t="str">
            <v>T-Plg-GSL-mix_S1</v>
          </cell>
          <cell r="I51">
            <v>0.15555903519591069</v>
          </cell>
          <cell r="J51">
            <v>7.6936211327611706E-2</v>
          </cell>
          <cell r="K51">
            <v>1.0220479204663981E-2</v>
          </cell>
        </row>
        <row r="52">
          <cell r="B52" t="str">
            <v>CO2_T</v>
          </cell>
          <cell r="C52" t="str">
            <v>VAR_fout</v>
          </cell>
          <cell r="D52" t="str">
            <v>T-Plg-GSL-mix_S2</v>
          </cell>
          <cell r="I52">
            <v>1.6050255489464988</v>
          </cell>
          <cell r="J52">
            <v>0.51724833965888528</v>
          </cell>
          <cell r="K52">
            <v>9.2779707702964495E-2</v>
          </cell>
        </row>
        <row r="53">
          <cell r="B53" t="str">
            <v>CO2_T</v>
          </cell>
          <cell r="C53" t="str">
            <v>VAR_fout</v>
          </cell>
          <cell r="D53" t="str">
            <v>T-Plg-GSL-mix_S3</v>
          </cell>
          <cell r="I53">
            <v>858.63350927155375</v>
          </cell>
          <cell r="J53">
            <v>373.60417324483564</v>
          </cell>
          <cell r="K53">
            <v>62.450635325407823</v>
          </cell>
        </row>
        <row r="54">
          <cell r="B54" t="str">
            <v>CO2_T</v>
          </cell>
          <cell r="C54" t="str">
            <v>VAR_fout</v>
          </cell>
          <cell r="D54" t="str">
            <v>T-Plg-GSL-mix_S4</v>
          </cell>
          <cell r="I54">
            <v>2.2172600956775907</v>
          </cell>
          <cell r="J54">
            <v>0.29710852988569997</v>
          </cell>
          <cell r="K54">
            <v>4.4840238871580396E-2</v>
          </cell>
        </row>
        <row r="55">
          <cell r="B55" t="str">
            <v>CO2_T</v>
          </cell>
          <cell r="C55" t="str">
            <v>VAR_fout</v>
          </cell>
          <cell r="D55" t="str">
            <v>TFLGV-HYBDSL</v>
          </cell>
          <cell r="I55">
            <v>41.596679171253619</v>
          </cell>
          <cell r="J55">
            <v>5.4039168024710297E-3</v>
          </cell>
        </row>
        <row r="56">
          <cell r="B56" t="str">
            <v>CO2_T</v>
          </cell>
          <cell r="C56" t="str">
            <v>VAR_fout</v>
          </cell>
          <cell r="D56" t="str">
            <v>TFLGV-ICEGSLExt</v>
          </cell>
        </row>
        <row r="57">
          <cell r="B57" t="str">
            <v>CO2_T</v>
          </cell>
          <cell r="C57" t="str">
            <v>VAR_fout</v>
          </cell>
          <cell r="D57" t="str">
            <v>TFLGV-ICEDSLExt</v>
          </cell>
        </row>
        <row r="58">
          <cell r="B58" t="str">
            <v>CO2_T</v>
          </cell>
          <cell r="C58" t="str">
            <v>VAR_fout</v>
          </cell>
          <cell r="D58" t="str">
            <v>T_C-ICE-NGA-S1</v>
          </cell>
          <cell r="I58">
            <v>2.5617933777939686E-3</v>
          </cell>
          <cell r="J58">
            <v>1.8855563842519999E-4</v>
          </cell>
        </row>
        <row r="59">
          <cell r="B59" t="str">
            <v>CO2_T</v>
          </cell>
          <cell r="C59" t="str">
            <v>VAR_fout</v>
          </cell>
          <cell r="D59" t="str">
            <v>T_C-ICE-NGA-S2</v>
          </cell>
          <cell r="I59">
            <v>3.4190455142637417E-3</v>
          </cell>
          <cell r="J59">
            <v>3.7568999088532801E-4</v>
          </cell>
        </row>
        <row r="60">
          <cell r="B60" t="str">
            <v>CO2_T</v>
          </cell>
          <cell r="C60" t="str">
            <v>VAR_fout</v>
          </cell>
          <cell r="D60" t="str">
            <v>TFLGV-ICEDSL</v>
          </cell>
          <cell r="I60">
            <v>0.17992956102762081</v>
          </cell>
          <cell r="J60">
            <v>4.8542084452248401E-3</v>
          </cell>
        </row>
        <row r="61">
          <cell r="B61" t="str">
            <v>CO2_T</v>
          </cell>
          <cell r="C61" t="str">
            <v>VAR_fout</v>
          </cell>
          <cell r="D61" t="str">
            <v>T_C-ICE-NGA-S3</v>
          </cell>
          <cell r="I61">
            <v>6.1937897849565268E-3</v>
          </cell>
          <cell r="J61">
            <v>5.4609187772254803E-4</v>
          </cell>
        </row>
        <row r="62">
          <cell r="B62" t="str">
            <v>CO2_T</v>
          </cell>
          <cell r="C62" t="str">
            <v>VAR_fout</v>
          </cell>
          <cell r="D62" t="str">
            <v>T_C-ICE-NGA-S4</v>
          </cell>
          <cell r="I62">
            <v>3.1588789875500144E-3</v>
          </cell>
          <cell r="J62">
            <v>4.1584029088239196E-4</v>
          </cell>
        </row>
        <row r="63">
          <cell r="B63" t="str">
            <v>CO2_T</v>
          </cell>
          <cell r="C63" t="str">
            <v>VAR_fout</v>
          </cell>
          <cell r="D63" t="str">
            <v>T_C-MHY-GSL-S1</v>
          </cell>
          <cell r="I63">
            <v>3.259340152965156E-2</v>
          </cell>
          <cell r="J63">
            <v>9.685780070055959E-3</v>
          </cell>
        </row>
        <row r="64">
          <cell r="B64" t="str">
            <v>CO2_T</v>
          </cell>
          <cell r="C64" t="str">
            <v>VAR_fout</v>
          </cell>
          <cell r="D64" t="str">
            <v>T_C-MHY-GSL-S2</v>
          </cell>
          <cell r="I64">
            <v>3.2312416085649678E-2</v>
          </cell>
          <cell r="J64">
            <v>8.4515303253330995E-3</v>
          </cell>
        </row>
        <row r="65">
          <cell r="B65" t="str">
            <v>CO2_T</v>
          </cell>
          <cell r="C65" t="str">
            <v>VAR_fout</v>
          </cell>
          <cell r="D65" t="str">
            <v>T_C-MHY-DSL-S1</v>
          </cell>
          <cell r="I65">
            <v>2.4290288896881979E-2</v>
          </cell>
          <cell r="J65">
            <v>7.0567914445534199E-3</v>
          </cell>
        </row>
        <row r="66">
          <cell r="B66" t="str">
            <v>CO2_T</v>
          </cell>
          <cell r="C66" t="str">
            <v>VAR_fout</v>
          </cell>
          <cell r="D66" t="str">
            <v>T_C-MHY-GSL-S3</v>
          </cell>
          <cell r="I66">
            <v>3.4682043815485689E-2</v>
          </cell>
          <cell r="J66">
            <v>8.3453048603929301E-3</v>
          </cell>
        </row>
        <row r="67">
          <cell r="B67" t="str">
            <v>CO2_T</v>
          </cell>
          <cell r="C67" t="str">
            <v>VAR_fout</v>
          </cell>
          <cell r="D67" t="str">
            <v>T_C-MHY-DSL-S2</v>
          </cell>
          <cell r="I67">
            <v>2.4532374763227852E-2</v>
          </cell>
          <cell r="J67">
            <v>6.40137054995324E-3</v>
          </cell>
        </row>
        <row r="68">
          <cell r="B68" t="str">
            <v>CO2_T</v>
          </cell>
          <cell r="C68" t="str">
            <v>VAR_fout</v>
          </cell>
          <cell r="D68" t="str">
            <v>T_C-MHY-GSL-S4</v>
          </cell>
          <cell r="I68">
            <v>4.1244038229328948E-2</v>
          </cell>
          <cell r="J68">
            <v>9.8928575268245611E-3</v>
          </cell>
        </row>
        <row r="69">
          <cell r="B69" t="str">
            <v>CO2_T</v>
          </cell>
          <cell r="C69" t="str">
            <v>VAR_fout</v>
          </cell>
          <cell r="D69" t="str">
            <v>T_C-MHY-DSL-S3</v>
          </cell>
          <cell r="I69">
            <v>2.5332118516614991E-2</v>
          </cell>
          <cell r="J69">
            <v>6.1987708188526603E-3</v>
          </cell>
        </row>
        <row r="70">
          <cell r="B70" t="str">
            <v>CO2_T</v>
          </cell>
          <cell r="C70" t="str">
            <v>VAR_fout</v>
          </cell>
          <cell r="D70" t="str">
            <v>T_B_c-HYBDSL-S1</v>
          </cell>
          <cell r="I70">
            <v>1.10939484806749E-3</v>
          </cell>
          <cell r="J70">
            <v>2.0490873948046402E-3</v>
          </cell>
          <cell r="K70">
            <v>7.8768039705035301E-4</v>
          </cell>
        </row>
        <row r="71">
          <cell r="B71" t="str">
            <v>CO2_T</v>
          </cell>
          <cell r="C71" t="str">
            <v>VAR_fout</v>
          </cell>
          <cell r="D71" t="str">
            <v>T_C-MHY-DSL-S4</v>
          </cell>
          <cell r="I71">
            <v>1.8389960313396132E-2</v>
          </cell>
          <cell r="J71">
            <v>4.6218195493606404E-3</v>
          </cell>
        </row>
        <row r="72">
          <cell r="B72" t="str">
            <v>CO2_T</v>
          </cell>
          <cell r="C72" t="str">
            <v>VAR_fout</v>
          </cell>
          <cell r="D72" t="str">
            <v>T_B_c-HYBDSL-S2</v>
          </cell>
          <cell r="I72">
            <v>4.5944108463594403E-4</v>
          </cell>
          <cell r="J72">
            <v>2.46238854236071E-3</v>
          </cell>
          <cell r="K72">
            <v>1.1859916113021E-3</v>
          </cell>
        </row>
        <row r="73">
          <cell r="B73" t="str">
            <v>CO2_T</v>
          </cell>
          <cell r="C73" t="str">
            <v>VAR_fout</v>
          </cell>
          <cell r="D73" t="str">
            <v>T_B_c-HYBDSL-S3</v>
          </cell>
        </row>
        <row r="74">
          <cell r="B74" t="str">
            <v>CO2_T</v>
          </cell>
          <cell r="C74" t="str">
            <v>VAR_fout</v>
          </cell>
          <cell r="D74" t="str">
            <v>T_B_c-HYBDSL-S4</v>
          </cell>
        </row>
        <row r="75">
          <cell r="B75" t="str">
            <v>CO2_T</v>
          </cell>
          <cell r="C75" t="str">
            <v>VAR_fout</v>
          </cell>
          <cell r="D75" t="str">
            <v>TFHGV-ICEDSLExt</v>
          </cell>
        </row>
        <row r="76">
          <cell r="B76" t="str">
            <v>CO2_T</v>
          </cell>
          <cell r="C76" t="str">
            <v>VAR_fout</v>
          </cell>
          <cell r="D76" t="str">
            <v>TPSHPGSLEXT</v>
          </cell>
          <cell r="I76">
            <v>0.28923619504231701</v>
          </cell>
          <cell r="J76">
            <v>9.4109901532427802</v>
          </cell>
        </row>
        <row r="77">
          <cell r="B77" t="str">
            <v>CO2_T</v>
          </cell>
          <cell r="C77" t="str">
            <v>VAR_fout</v>
          </cell>
          <cell r="D77" t="str">
            <v>T_TW-ICEGSL-S1</v>
          </cell>
          <cell r="I77">
            <v>63.719693580576816</v>
          </cell>
          <cell r="J77">
            <v>32.976090190858237</v>
          </cell>
          <cell r="K77">
            <v>5.2444398126636047</v>
          </cell>
        </row>
        <row r="78">
          <cell r="B78" t="str">
            <v>CO2_T</v>
          </cell>
          <cell r="C78" t="str">
            <v>VAR_fout</v>
          </cell>
          <cell r="D78" t="str">
            <v>TPSHPDSLEXT</v>
          </cell>
          <cell r="I78">
            <v>978.46767522733796</v>
          </cell>
          <cell r="J78">
            <v>543.68473371396703</v>
          </cell>
          <cell r="K78">
            <v>149.743661081478</v>
          </cell>
        </row>
        <row r="79">
          <cell r="B79" t="str">
            <v>CO2_T</v>
          </cell>
          <cell r="C79" t="str">
            <v>VAR_fout</v>
          </cell>
          <cell r="D79" t="str">
            <v>T_TW-ICEGSL-S2</v>
          </cell>
          <cell r="I79">
            <v>0.73246320907401097</v>
          </cell>
          <cell r="J79">
            <v>2.3528139356963958E-2</v>
          </cell>
          <cell r="K79">
            <v>1.3613417483261569E-2</v>
          </cell>
        </row>
        <row r="80">
          <cell r="B80" t="str">
            <v>CO2_T</v>
          </cell>
          <cell r="C80" t="str">
            <v>VAR_fout</v>
          </cell>
          <cell r="D80" t="str">
            <v>T_TW-ICEGSL-S3</v>
          </cell>
          <cell r="I80">
            <v>0.99463167592553758</v>
          </cell>
          <cell r="J80">
            <v>0.10879586578170851</v>
          </cell>
          <cell r="K80">
            <v>1.324236136854306E-2</v>
          </cell>
        </row>
        <row r="81">
          <cell r="B81" t="str">
            <v>CO2_T</v>
          </cell>
          <cell r="C81" t="str">
            <v>VAR_fout</v>
          </cell>
          <cell r="D81" t="str">
            <v>T_C-ICEGSLEXT</v>
          </cell>
        </row>
        <row r="82">
          <cell r="B82" t="str">
            <v>CO2_T</v>
          </cell>
          <cell r="C82" t="str">
            <v>VAR_fout</v>
          </cell>
          <cell r="D82" t="str">
            <v>T_TW-ICEGSL-S4</v>
          </cell>
          <cell r="I82">
            <v>0.19511745871080896</v>
          </cell>
          <cell r="J82">
            <v>0.16011732297167805</v>
          </cell>
          <cell r="K82">
            <v>2.6881169711566923E-2</v>
          </cell>
        </row>
        <row r="83">
          <cell r="B83" t="str">
            <v>CO2_T</v>
          </cell>
          <cell r="C83" t="str">
            <v>VAR_fout</v>
          </cell>
          <cell r="D83" t="str">
            <v>T_C-ICEDSLEXT</v>
          </cell>
        </row>
        <row r="84">
          <cell r="B84" t="str">
            <v>CO2_T</v>
          </cell>
          <cell r="C84" t="str">
            <v>VAR_fout</v>
          </cell>
          <cell r="D84" t="str">
            <v>T_TW-ICEGSLEXT</v>
          </cell>
        </row>
        <row r="85">
          <cell r="B85" t="str">
            <v>CO2_T</v>
          </cell>
          <cell r="C85" t="str">
            <v>VAR_fout</v>
          </cell>
          <cell r="D85" t="str">
            <v>TFLGV-ICENGA</v>
          </cell>
          <cell r="I85">
            <v>2.7234122942910149E-3</v>
          </cell>
          <cell r="J85">
            <v>3.3880256397302998E-4</v>
          </cell>
        </row>
        <row r="86">
          <cell r="B86" t="str">
            <v>CO2_T</v>
          </cell>
          <cell r="C86" t="str">
            <v>VAR_fout</v>
          </cell>
          <cell r="D86" t="str">
            <v>T_B_c-ICENGA-S1</v>
          </cell>
          <cell r="I86">
            <v>1.4719945723078501E-4</v>
          </cell>
        </row>
        <row r="87">
          <cell r="B87" t="str">
            <v>CO2_T</v>
          </cell>
          <cell r="C87" t="str">
            <v>VAR_fout</v>
          </cell>
          <cell r="D87" t="str">
            <v>T_B_c-ICENGA-S2</v>
          </cell>
          <cell r="I87">
            <v>9.77240931403784E-5</v>
          </cell>
        </row>
        <row r="88">
          <cell r="B88" t="str">
            <v>CO2_T</v>
          </cell>
          <cell r="C88" t="str">
            <v>VAR_fout</v>
          </cell>
          <cell r="D88" t="str">
            <v>T_B_u-ICEDSL-S1</v>
          </cell>
        </row>
        <row r="89">
          <cell r="B89" t="str">
            <v>CO2_T</v>
          </cell>
          <cell r="C89" t="str">
            <v>VAR_fout</v>
          </cell>
          <cell r="D89" t="str">
            <v>T_B_c-ICENGA-S3</v>
          </cell>
        </row>
        <row r="90">
          <cell r="B90" t="str">
            <v>CO2_T</v>
          </cell>
          <cell r="C90" t="str">
            <v>VAR_fout</v>
          </cell>
          <cell r="D90" t="str">
            <v>T_B_u-ICEDSL-S2</v>
          </cell>
        </row>
        <row r="91">
          <cell r="B91" t="str">
            <v>CO2_T</v>
          </cell>
          <cell r="C91" t="str">
            <v>VAR_fout</v>
          </cell>
          <cell r="D91" t="str">
            <v>T_B_c-ICENGA-S4</v>
          </cell>
        </row>
        <row r="92">
          <cell r="B92" t="str">
            <v>CO2_T</v>
          </cell>
          <cell r="C92" t="str">
            <v>VAR_fout</v>
          </cell>
          <cell r="D92" t="str">
            <v>T_B_u-ICEDSL-S3</v>
          </cell>
        </row>
        <row r="93">
          <cell r="B93" t="str">
            <v>CO2_T</v>
          </cell>
          <cell r="C93" t="str">
            <v>VAR_fout</v>
          </cell>
          <cell r="D93" t="str">
            <v>T_B_u-ICEDSL-S4</v>
          </cell>
        </row>
        <row r="94">
          <cell r="B94" t="str">
            <v>CO2_T</v>
          </cell>
          <cell r="C94" t="str">
            <v>VAR_fout</v>
          </cell>
          <cell r="D94" t="str">
            <v>T_B_c-ICENGAEXT</v>
          </cell>
        </row>
        <row r="95">
          <cell r="B95" t="str">
            <v>CO2_T</v>
          </cell>
          <cell r="C95" t="str">
            <v>VAR_fout</v>
          </cell>
          <cell r="D95" t="str">
            <v>T_B_u-ICEDSLEXT</v>
          </cell>
        </row>
        <row r="96">
          <cell r="B96" t="str">
            <v>CO2_T</v>
          </cell>
          <cell r="C96" t="str">
            <v>VAR_fout</v>
          </cell>
          <cell r="D96" t="str">
            <v>T_C-HYBGSLEXT</v>
          </cell>
        </row>
        <row r="97">
          <cell r="B97" t="str">
            <v>CO2_T</v>
          </cell>
          <cell r="C97" t="str">
            <v>VAR_fout</v>
          </cell>
          <cell r="D97" t="str">
            <v>TPAVDKEREXT</v>
          </cell>
          <cell r="I97">
            <v>185.675788544743</v>
          </cell>
          <cell r="J97">
            <v>154.38211110512901</v>
          </cell>
          <cell r="K97">
            <v>123.088433665514</v>
          </cell>
        </row>
        <row r="98">
          <cell r="B98" t="str">
            <v>CO2_T</v>
          </cell>
          <cell r="C98" t="str">
            <v>VAR_fout</v>
          </cell>
          <cell r="D98" t="str">
            <v>T_C-ICE-GSL-S1</v>
          </cell>
          <cell r="I98">
            <v>47.98068824174522</v>
          </cell>
          <cell r="J98">
            <v>6.3339872663969317</v>
          </cell>
        </row>
        <row r="99">
          <cell r="B99" t="str">
            <v>CO2_T</v>
          </cell>
          <cell r="C99" t="str">
            <v>VAR_fout</v>
          </cell>
          <cell r="D99" t="str">
            <v>TFLGV-ICEGSL</v>
          </cell>
          <cell r="I99">
            <v>59.957556712494195</v>
          </cell>
          <cell r="J99">
            <v>4.9406550306292799E-3</v>
          </cell>
        </row>
        <row r="100">
          <cell r="B100" t="str">
            <v>CO2_T</v>
          </cell>
          <cell r="C100" t="str">
            <v>VAR_fout</v>
          </cell>
          <cell r="D100" t="str">
            <v>T_C-ICE-GSL-S2</v>
          </cell>
          <cell r="I100">
            <v>43.186890730919835</v>
          </cell>
          <cell r="J100">
            <v>4.2423733474845067</v>
          </cell>
        </row>
        <row r="101">
          <cell r="B101" t="str">
            <v>CO2_T</v>
          </cell>
          <cell r="C101" t="str">
            <v>VAR_fout</v>
          </cell>
          <cell r="D101" t="str">
            <v>T_C-ICE-DSL-S1</v>
          </cell>
          <cell r="I101">
            <v>4.3688106836361332E-2</v>
          </cell>
          <cell r="J101">
            <v>7.4068126756943898E-3</v>
          </cell>
        </row>
        <row r="102">
          <cell r="B102" t="str">
            <v>CO2_T</v>
          </cell>
          <cell r="C102" t="str">
            <v>VAR_fout</v>
          </cell>
          <cell r="D102" t="str">
            <v>T_C-ICE-GSL-S3</v>
          </cell>
          <cell r="I102">
            <v>70.997853531901157</v>
          </cell>
          <cell r="J102">
            <v>4.9300447253440058</v>
          </cell>
        </row>
        <row r="103">
          <cell r="B103" t="str">
            <v>CO2_T</v>
          </cell>
          <cell r="C103" t="str">
            <v>VAR_fout</v>
          </cell>
          <cell r="D103" t="str">
            <v>T_C-ICE-DSL-S2</v>
          </cell>
          <cell r="I103">
            <v>1.5267505101889378</v>
          </cell>
          <cell r="J103">
            <v>6.62664955084717E-3</v>
          </cell>
        </row>
        <row r="104">
          <cell r="B104" t="str">
            <v>CO2_T</v>
          </cell>
          <cell r="C104" t="str">
            <v>VAR_fout</v>
          </cell>
          <cell r="D104" t="str">
            <v>T_C-ICE-GSL-S4</v>
          </cell>
          <cell r="I104">
            <v>141.66696970313686</v>
          </cell>
          <cell r="J104">
            <v>17.312836247533827</v>
          </cell>
        </row>
        <row r="105">
          <cell r="B105" t="str">
            <v>CO2_T</v>
          </cell>
          <cell r="C105" t="str">
            <v>VAR_fout</v>
          </cell>
          <cell r="D105" t="str">
            <v>T_C-ICE-DSL-S3</v>
          </cell>
          <cell r="I105">
            <v>10.123135641022845</v>
          </cell>
          <cell r="J105">
            <v>6.2756931440217205E-3</v>
          </cell>
        </row>
        <row r="106">
          <cell r="B106" t="str">
            <v>CO2_T</v>
          </cell>
          <cell r="C106" t="str">
            <v>VAR_fout</v>
          </cell>
          <cell r="D106" t="str">
            <v>T_C-ICE-DSL-S4</v>
          </cell>
          <cell r="I106">
            <v>5.67061496073861</v>
          </cell>
          <cell r="J106">
            <v>4.5720989760897196E-3</v>
          </cell>
        </row>
        <row r="107">
          <cell r="B107" t="str">
            <v>CO2_T</v>
          </cell>
          <cell r="C107" t="str">
            <v>VAR_fout</v>
          </cell>
          <cell r="D107" t="str">
            <v>TFLGV-ICENGAExt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T_B_u-HYBDSL-S1</v>
          </cell>
          <cell r="I108">
            <v>9.2260607333721604E-4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T_B_u-HYBDSL-S2</v>
          </cell>
          <cell r="I109">
            <v>2.9365023910901997E-4</v>
          </cell>
        </row>
        <row r="110">
          <cell r="B110" t="str">
            <v>CO2_T</v>
          </cell>
          <cell r="C110" t="str">
            <v>VAR_fout</v>
          </cell>
          <cell r="D110" t="str">
            <v>T_B_u-HYBDSL-S3</v>
          </cell>
          <cell r="K110">
            <v>1.4284019112286499E-4</v>
          </cell>
        </row>
        <row r="111">
          <cell r="B111" t="str">
            <v>CO2_T</v>
          </cell>
          <cell r="C111" t="str">
            <v>VAR_fout</v>
          </cell>
          <cell r="D111" t="str">
            <v>T_C-HY-GSL-S1</v>
          </cell>
          <cell r="I111">
            <v>0.1628148736372689</v>
          </cell>
          <cell r="J111">
            <v>1.180369148938782E-2</v>
          </cell>
        </row>
        <row r="112">
          <cell r="B112" t="str">
            <v>CO2_T</v>
          </cell>
          <cell r="C112" t="str">
            <v>VAR_fout</v>
          </cell>
          <cell r="D112" t="str">
            <v>TFRLFDSLEXT</v>
          </cell>
        </row>
        <row r="113">
          <cell r="B113" t="str">
            <v>CO2_T</v>
          </cell>
          <cell r="C113" t="str">
            <v>VAR_fout</v>
          </cell>
          <cell r="D113" t="str">
            <v>T_C-HY-GSL-S2</v>
          </cell>
          <cell r="I113">
            <v>29.556399697401222</v>
          </cell>
          <cell r="J113">
            <v>3.3259150546101894</v>
          </cell>
        </row>
        <row r="114">
          <cell r="B114" t="str">
            <v>CO2_T</v>
          </cell>
          <cell r="C114" t="str">
            <v>VAR_fout</v>
          </cell>
          <cell r="D114" t="str">
            <v>T_C-HY-DSL-S1</v>
          </cell>
          <cell r="I114">
            <v>2.2858985532537477</v>
          </cell>
          <cell r="J114">
            <v>6.9846628647947497E-3</v>
          </cell>
        </row>
        <row r="115">
          <cell r="B115" t="str">
            <v>CO2_T</v>
          </cell>
          <cell r="C115" t="str">
            <v>VAR_fout</v>
          </cell>
          <cell r="D115" t="str">
            <v>T_C-HY-GSL-S3</v>
          </cell>
          <cell r="I115">
            <v>20.357537880481438</v>
          </cell>
          <cell r="J115">
            <v>6.2051046276661703E-3</v>
          </cell>
        </row>
        <row r="116">
          <cell r="B116" t="str">
            <v>CO2_T</v>
          </cell>
          <cell r="C116" t="str">
            <v>VAR_fout</v>
          </cell>
          <cell r="D116" t="str">
            <v>T_C-HY-DSL-S2</v>
          </cell>
          <cell r="I116">
            <v>43.69819886472353</v>
          </cell>
          <cell r="J116">
            <v>3.1261663164736309</v>
          </cell>
        </row>
        <row r="117">
          <cell r="B117" t="str">
            <v>CO2_T</v>
          </cell>
          <cell r="C117" t="str">
            <v>VAR_fout</v>
          </cell>
          <cell r="D117" t="str">
            <v>T_C-HY-GSL-S4</v>
          </cell>
          <cell r="I117">
            <v>1.1646815471602607</v>
          </cell>
          <cell r="J117">
            <v>6.0865933779886399E-3</v>
          </cell>
        </row>
        <row r="118">
          <cell r="B118" t="str">
            <v>CO2_T</v>
          </cell>
          <cell r="C118" t="str">
            <v>VAR_fout</v>
          </cell>
          <cell r="D118" t="str">
            <v>T_C-HY-DSL-S3</v>
          </cell>
          <cell r="I118">
            <v>0.46076799596616719</v>
          </cell>
          <cell r="J118">
            <v>4.7508180947601402E-3</v>
          </cell>
        </row>
        <row r="119">
          <cell r="B119" t="str">
            <v>CO2_T</v>
          </cell>
          <cell r="C119" t="str">
            <v>VAR_fout</v>
          </cell>
          <cell r="D119" t="str">
            <v>T_C-HY-DSL-S4</v>
          </cell>
          <cell r="I119">
            <v>0.91311495689136568</v>
          </cell>
          <cell r="J119">
            <v>4.8905477333510104E-3</v>
          </cell>
        </row>
        <row r="120">
          <cell r="B120" t="str">
            <v>CO2_T</v>
          </cell>
          <cell r="C120" t="str">
            <v>VAR_fout</v>
          </cell>
          <cell r="D120" t="str">
            <v>TFHGV-HYBDSL</v>
          </cell>
          <cell r="I120">
            <v>861.62142429264804</v>
          </cell>
          <cell r="J120">
            <v>474.28611288228439</v>
          </cell>
          <cell r="K120">
            <v>4.1859635969225002E-3</v>
          </cell>
        </row>
        <row r="121">
          <cell r="B121" t="str">
            <v>CO2_T</v>
          </cell>
          <cell r="C121" t="str">
            <v>VAR_fout</v>
          </cell>
          <cell r="D121" t="str">
            <v>TFHGV-ICEDSL</v>
          </cell>
          <cell r="I121">
            <v>4.4707222789789537E-2</v>
          </cell>
          <cell r="J121">
            <v>3.7814476529594798E-2</v>
          </cell>
          <cell r="K121">
            <v>2.45796774706307E-3</v>
          </cell>
        </row>
        <row r="122">
          <cell r="B122" t="str">
            <v>CO2_T</v>
          </cell>
          <cell r="C122" t="str">
            <v>VAR_fout</v>
          </cell>
          <cell r="D122" t="str">
            <v>T-Plg-DSL-mix_S1</v>
          </cell>
          <cell r="I122">
            <v>0.15501820618320999</v>
          </cell>
          <cell r="J122">
            <v>7.6763373695734702E-2</v>
          </cell>
          <cell r="K122">
            <v>1.018708283593917E-2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T-Plg-DSL-mix_S2</v>
          </cell>
          <cell r="I123">
            <v>0.950461985846072</v>
          </cell>
          <cell r="J123">
            <v>0.5943843175579584</v>
          </cell>
          <cell r="K123">
            <v>0.10709674142367481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T-Plg-DSL-mix_S3</v>
          </cell>
          <cell r="I124">
            <v>607.26246064120505</v>
          </cell>
          <cell r="J124">
            <v>263.24730619102809</v>
          </cell>
          <cell r="K124">
            <v>42.65285330101198</v>
          </cell>
        </row>
        <row r="125">
          <cell r="B125" t="str">
            <v>CO2_T</v>
          </cell>
          <cell r="C125" t="str">
            <v>VAR_fout</v>
          </cell>
          <cell r="D125" t="str">
            <v>T_B_c-ICEDSL-S1</v>
          </cell>
          <cell r="I125">
            <v>2.5131060626387502E-4</v>
          </cell>
          <cell r="J125">
            <v>8.6939168536360502E-4</v>
          </cell>
          <cell r="K125">
            <v>2.6850214589236801E-4</v>
          </cell>
        </row>
        <row r="126">
          <cell r="B126" t="str">
            <v>CO2_T</v>
          </cell>
          <cell r="C126" t="str">
            <v>VAR_fout</v>
          </cell>
          <cell r="D126" t="str">
            <v>T-Plg-DSL-mix_S4</v>
          </cell>
          <cell r="I126">
            <v>0.84750625662257617</v>
          </cell>
          <cell r="J126">
            <v>0.31607237097051266</v>
          </cell>
          <cell r="K126">
            <v>4.7440520884833998E-2</v>
          </cell>
        </row>
        <row r="127">
          <cell r="B127" t="str">
            <v>CO2_T</v>
          </cell>
          <cell r="C127" t="str">
            <v>VAR_fout</v>
          </cell>
          <cell r="D127" t="str">
            <v>T_B_c-ICEDSL-S2</v>
          </cell>
          <cell r="I127">
            <v>1.3817122976404899E-4</v>
          </cell>
          <cell r="J127">
            <v>9.0385382745073297E-4</v>
          </cell>
          <cell r="K127">
            <v>2.9983429373884598E-4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T_B_c-ICEDSL-S3</v>
          </cell>
          <cell r="J128">
            <v>3.6561386709840001E-4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T_B_c-ICEDSL-S4</v>
          </cell>
        </row>
        <row r="130">
          <cell r="B130" t="str">
            <v>CO2_T</v>
          </cell>
          <cell r="C130" t="str">
            <v>VAR_fout</v>
          </cell>
          <cell r="D130" t="str">
            <v>T_B_u-ICENGA-S1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T_B_u-ICENGA-S2</v>
          </cell>
        </row>
        <row r="132">
          <cell r="B132" t="str">
            <v>CO2_T</v>
          </cell>
          <cell r="C132" t="str">
            <v>VAR_fout</v>
          </cell>
          <cell r="D132" t="str">
            <v>T_B_c-ICEDSLEXT</v>
          </cell>
        </row>
        <row r="133">
          <cell r="B133" t="str">
            <v>CO2_T</v>
          </cell>
          <cell r="C133" t="str">
            <v>VAR_fout</v>
          </cell>
          <cell r="D133" t="str">
            <v>T_B_u-ICENGA-S3</v>
          </cell>
        </row>
        <row r="134">
          <cell r="B134" t="str">
            <v>CO2_T</v>
          </cell>
          <cell r="C134" t="str">
            <v>VAR_comnet</v>
          </cell>
          <cell r="D134" t="str">
            <v>-</v>
          </cell>
          <cell r="I134">
            <v>4085.6740635874198</v>
          </cell>
          <cell r="J134">
            <v>1893.4020376128999</v>
          </cell>
          <cell r="K134">
            <v>383.563263470528</v>
          </cell>
        </row>
        <row r="135">
          <cell r="B135" t="str">
            <v>CO2</v>
          </cell>
          <cell r="C135" t="str">
            <v>VAR_fout</v>
          </cell>
          <cell r="D135" t="str">
            <v>EWSTINCCS</v>
          </cell>
          <cell r="J135">
            <v>-728.39297976032901</v>
          </cell>
          <cell r="K135">
            <v>-2395.8689381039699</v>
          </cell>
        </row>
        <row r="136">
          <cell r="B136" t="str">
            <v>CO2</v>
          </cell>
          <cell r="C136" t="str">
            <v>VAR_fout</v>
          </cell>
          <cell r="D136" t="str">
            <v>othGHG</v>
          </cell>
          <cell r="I136">
            <v>7035.5480966088999</v>
          </cell>
          <cell r="J136">
            <v>6221.8343241653201</v>
          </cell>
          <cell r="K136">
            <v>4012.9682331213799</v>
          </cell>
        </row>
        <row r="137">
          <cell r="B137" t="str">
            <v>CO2</v>
          </cell>
          <cell r="C137" t="str">
            <v>VAR_fout</v>
          </cell>
          <cell r="D137" t="str">
            <v>D-ICOA</v>
          </cell>
          <cell r="I137">
            <v>0.208904851595719</v>
          </cell>
          <cell r="J137">
            <v>2.40360521701482E-2</v>
          </cell>
        </row>
        <row r="138">
          <cell r="B138" t="str">
            <v>CO2</v>
          </cell>
          <cell r="C138" t="str">
            <v>VAR_fout</v>
          </cell>
          <cell r="D138" t="str">
            <v>CHPWSTCCS</v>
          </cell>
          <cell r="J138">
            <v>-812.50746495932799</v>
          </cell>
          <cell r="K138">
            <v>-2286.0123862451601</v>
          </cell>
        </row>
        <row r="139">
          <cell r="B139" t="str">
            <v>CO2</v>
          </cell>
          <cell r="C139" t="str">
            <v>VAR_fout</v>
          </cell>
          <cell r="D139" t="str">
            <v>D-ENGA</v>
          </cell>
        </row>
        <row r="140">
          <cell r="B140" t="str">
            <v>CO2</v>
          </cell>
          <cell r="C140" t="str">
            <v>VAR_fout</v>
          </cell>
          <cell r="D140" t="str">
            <v>D-ILFO</v>
          </cell>
          <cell r="I140">
            <v>452.91007803125598</v>
          </cell>
          <cell r="J140">
            <v>239.29763546799001</v>
          </cell>
          <cell r="K140">
            <v>3.1408589016429002E-4</v>
          </cell>
        </row>
        <row r="141">
          <cell r="B141" t="str">
            <v>CO2</v>
          </cell>
          <cell r="C141" t="str">
            <v>VAR_fout</v>
          </cell>
          <cell r="D141" t="str">
            <v>ITOT-CHPWSTCCS</v>
          </cell>
          <cell r="J141">
            <v>-142.861718920225</v>
          </cell>
          <cell r="K141">
            <v>-387.60569958171197</v>
          </cell>
        </row>
        <row r="142">
          <cell r="B142" t="str">
            <v>CO2</v>
          </cell>
          <cell r="C142" t="str">
            <v>VAR_fout</v>
          </cell>
          <cell r="D142" t="str">
            <v>ITOT-CHPNGACCS</v>
          </cell>
          <cell r="J142">
            <v>-2.03947128815435</v>
          </cell>
          <cell r="K142">
            <v>-38.009953900870997</v>
          </cell>
        </row>
        <row r="143">
          <cell r="B143" t="str">
            <v>CO2</v>
          </cell>
          <cell r="C143" t="str">
            <v>VAR_fout</v>
          </cell>
          <cell r="D143" t="str">
            <v>D-TDSL</v>
          </cell>
          <cell r="I143">
            <v>2373.7075870457202</v>
          </cell>
          <cell r="J143">
            <v>1080.8482764425601</v>
          </cell>
          <cell r="K143">
            <v>96.818954743823895</v>
          </cell>
        </row>
        <row r="144">
          <cell r="B144" t="str">
            <v>CO2</v>
          </cell>
          <cell r="C144" t="str">
            <v>VAR_fout</v>
          </cell>
          <cell r="D144" t="str">
            <v>ITOT-PROCESSCO2</v>
          </cell>
          <cell r="I144">
            <v>2085.5355245577598</v>
          </cell>
          <cell r="J144">
            <v>2077.42312387845</v>
          </cell>
          <cell r="K144">
            <v>2063.7497085211498</v>
          </cell>
        </row>
        <row r="145">
          <cell r="B145" t="str">
            <v>CO2</v>
          </cell>
          <cell r="C145" t="str">
            <v>VAR_fout</v>
          </cell>
          <cell r="D145" t="str">
            <v>D-ELFO</v>
          </cell>
          <cell r="I145">
            <v>1.4604235951765301</v>
          </cell>
          <cell r="J145">
            <v>1.4248521892053601</v>
          </cell>
          <cell r="K145">
            <v>1.10942239659985E-2</v>
          </cell>
        </row>
        <row r="146">
          <cell r="B146" t="str">
            <v>CO2</v>
          </cell>
          <cell r="C146" t="str">
            <v>VAR_fout</v>
          </cell>
          <cell r="D146" t="str">
            <v>D-TNGA</v>
          </cell>
          <cell r="I146">
            <v>0.27266588983599399</v>
          </cell>
          <cell r="J146">
            <v>0.14148138739418101</v>
          </cell>
          <cell r="K146">
            <v>6.5220087669542398E-3</v>
          </cell>
        </row>
        <row r="147">
          <cell r="B147" t="str">
            <v>CO2</v>
          </cell>
          <cell r="C147" t="str">
            <v>VAR_fout</v>
          </cell>
          <cell r="D147" t="str">
            <v>D-SNGA</v>
          </cell>
          <cell r="I147">
            <v>807.92215062063497</v>
          </cell>
          <cell r="J147">
            <v>544.43389110656199</v>
          </cell>
          <cell r="K147">
            <v>291.73514939539098</v>
          </cell>
        </row>
        <row r="148">
          <cell r="B148" t="str">
            <v>CO2</v>
          </cell>
          <cell r="C148" t="str">
            <v>VAR_fout</v>
          </cell>
          <cell r="D148" t="str">
            <v>CO2compabroad</v>
          </cell>
          <cell r="I148">
            <v>-2354.78091591558</v>
          </cell>
          <cell r="J148">
            <v>-501.13089781750699</v>
          </cell>
          <cell r="K148">
            <v>-4012.9681197632799</v>
          </cell>
        </row>
        <row r="149">
          <cell r="B149" t="str">
            <v>CO2</v>
          </cell>
          <cell r="C149" t="str">
            <v>VAR_fout</v>
          </cell>
          <cell r="D149" t="str">
            <v>D-RNGA</v>
          </cell>
          <cell r="I149">
            <v>1614.6933325263401</v>
          </cell>
          <cell r="J149">
            <v>1066.0525624834399</v>
          </cell>
          <cell r="K149">
            <v>678.56599038914999</v>
          </cell>
        </row>
        <row r="150">
          <cell r="B150" t="str">
            <v>CO2</v>
          </cell>
          <cell r="C150" t="str">
            <v>VAR_fout</v>
          </cell>
          <cell r="D150" t="str">
            <v>D-IHFO</v>
          </cell>
          <cell r="I150">
            <v>0.25273370308519699</v>
          </cell>
          <cell r="J150">
            <v>2.0091062863888599E-2</v>
          </cell>
        </row>
        <row r="151">
          <cell r="B151" t="str">
            <v>CO2</v>
          </cell>
          <cell r="C151" t="str">
            <v>VAR_fout</v>
          </cell>
          <cell r="D151" t="str">
            <v>D-SLFO</v>
          </cell>
          <cell r="I151">
            <v>835.75510987990901</v>
          </cell>
          <cell r="J151">
            <v>407.31705505986099</v>
          </cell>
          <cell r="K151">
            <v>3.1630317907914798E-4</v>
          </cell>
        </row>
        <row r="152">
          <cell r="B152" t="str">
            <v>CO2</v>
          </cell>
          <cell r="C152" t="str">
            <v>VAR_fout</v>
          </cell>
          <cell r="D152" t="str">
            <v>D-RCOA</v>
          </cell>
        </row>
        <row r="153">
          <cell r="B153" t="str">
            <v>CO2</v>
          </cell>
          <cell r="C153" t="str">
            <v>VAR_fout</v>
          </cell>
          <cell r="D153" t="str">
            <v>ITOT-CHPWODCCS</v>
          </cell>
          <cell r="J153">
            <v>-167.194950604665</v>
          </cell>
          <cell r="K153">
            <v>-437.18381783367499</v>
          </cell>
        </row>
        <row r="154">
          <cell r="B154" t="str">
            <v>CO2</v>
          </cell>
          <cell r="C154" t="str">
            <v>VAR_fout</v>
          </cell>
          <cell r="D154" t="str">
            <v>D-RLFO</v>
          </cell>
          <cell r="I154">
            <v>1169.6490851850399</v>
          </cell>
          <cell r="J154">
            <v>448.73677621223601</v>
          </cell>
          <cell r="K154">
            <v>3.8244108659159302E-4</v>
          </cell>
        </row>
        <row r="155">
          <cell r="B155" t="str">
            <v>CO2</v>
          </cell>
          <cell r="C155" t="str">
            <v>VAR_fout</v>
          </cell>
          <cell r="D155" t="str">
            <v>D-TGSL</v>
          </cell>
          <cell r="I155">
            <v>1260.1232688012601</v>
          </cell>
          <cell r="J155">
            <v>357.77439184649802</v>
          </cell>
          <cell r="K155">
            <v>62.056943453043402</v>
          </cell>
        </row>
        <row r="156">
          <cell r="B156" t="str">
            <v>CO2</v>
          </cell>
          <cell r="C156" t="str">
            <v>VAR_fout</v>
          </cell>
          <cell r="D156" t="str">
            <v>EWOD-CCS</v>
          </cell>
          <cell r="J156">
            <v>-0.46038320002174898</v>
          </cell>
          <cell r="K156">
            <v>-412.56170579650598</v>
          </cell>
        </row>
        <row r="157">
          <cell r="B157" t="str">
            <v>CO2</v>
          </cell>
          <cell r="C157" t="str">
            <v>VAR_fout</v>
          </cell>
          <cell r="D157" t="str">
            <v>ITOT-PROCESSCO2CCS</v>
          </cell>
          <cell r="J157">
            <v>-8.0750042500253499E-2</v>
          </cell>
          <cell r="K157">
            <v>-956.58291811530296</v>
          </cell>
        </row>
        <row r="158">
          <cell r="B158" t="str">
            <v>CO2</v>
          </cell>
          <cell r="C158" t="str">
            <v>VAR_fout</v>
          </cell>
          <cell r="D158" t="str">
            <v>D-IWST</v>
          </cell>
          <cell r="I158">
            <v>1001.75496742351</v>
          </cell>
          <cell r="J158">
            <v>1073.77951968704</v>
          </cell>
          <cell r="K158">
            <v>1086.85423226783</v>
          </cell>
        </row>
        <row r="159">
          <cell r="B159" t="str">
            <v>CO2</v>
          </cell>
          <cell r="C159" t="str">
            <v>VAR_fout</v>
          </cell>
          <cell r="D159" t="str">
            <v>SUP_NGAH2CCS</v>
          </cell>
          <cell r="K159">
            <v>-1.4210538791761601E-2</v>
          </cell>
        </row>
        <row r="160">
          <cell r="B160" t="str">
            <v>CO2</v>
          </cell>
          <cell r="C160" t="str">
            <v>VAR_fout</v>
          </cell>
          <cell r="D160" t="str">
            <v>D-TKER</v>
          </cell>
          <cell r="I160">
            <v>188.334049257288</v>
          </cell>
          <cell r="J160">
            <v>156.60425533432601</v>
          </cell>
          <cell r="K160">
            <v>1.92929370912855E-5</v>
          </cell>
        </row>
        <row r="161">
          <cell r="B161" t="str">
            <v>CO2</v>
          </cell>
          <cell r="C161" t="str">
            <v>VAR_fout</v>
          </cell>
          <cell r="D161" t="str">
            <v>D-INGA</v>
          </cell>
          <cell r="I161">
            <v>556.45550566288</v>
          </cell>
          <cell r="J161">
            <v>189.61715029556601</v>
          </cell>
          <cell r="K161">
            <v>81.136958148393404</v>
          </cell>
        </row>
        <row r="162">
          <cell r="B162" t="str">
            <v>CO2</v>
          </cell>
          <cell r="C162" t="str">
            <v>VAR_fout</v>
          </cell>
          <cell r="D162" t="str">
            <v>SUP_DAC</v>
          </cell>
          <cell r="J162">
            <v>-3.2815633244499798E-3</v>
          </cell>
          <cell r="K162">
            <v>-8.8840290407978199E-3</v>
          </cell>
        </row>
        <row r="163">
          <cell r="B163" t="str">
            <v>CO2</v>
          </cell>
          <cell r="C163" t="str">
            <v>VAR_fout</v>
          </cell>
          <cell r="D163" t="str">
            <v>D-EWST</v>
          </cell>
          <cell r="I163">
            <v>2240.4529986656898</v>
          </cell>
          <cell r="J163">
            <v>2460.2760161187002</v>
          </cell>
          <cell r="K163">
            <v>2552.91259028181</v>
          </cell>
        </row>
        <row r="164">
          <cell r="B164" t="str">
            <v>CO2</v>
          </cell>
          <cell r="C164" t="str">
            <v>VAR_comnet</v>
          </cell>
          <cell r="D164" t="str">
            <v>-</v>
          </cell>
          <cell r="I164">
            <v>19270.2555663903</v>
          </cell>
          <cell r="J164">
            <v>13970.922217085899</v>
          </cell>
          <cell r="K164">
            <v>-2.88508937939338E-5</v>
          </cell>
        </row>
        <row r="165">
          <cell r="B165" t="str">
            <v>CO2</v>
          </cell>
          <cell r="C165" t="str">
            <v>EQ_combalM</v>
          </cell>
          <cell r="D165" t="str">
            <v>-</v>
          </cell>
          <cell r="I165">
            <v>-0.13789486848513799</v>
          </cell>
          <cell r="J165">
            <v>-0.206532779577594</v>
          </cell>
          <cell r="K165">
            <v>-0.44252011852872702</v>
          </cell>
        </row>
        <row r="166">
          <cell r="B166" t="str">
            <v>CO2_X</v>
          </cell>
          <cell r="C166" t="str">
            <v>VAR_fout</v>
          </cell>
          <cell r="D166" t="str">
            <v>D-CO2_O</v>
          </cell>
          <cell r="K166">
            <v>2187.8499084808836</v>
          </cell>
        </row>
        <row r="167">
          <cell r="B167" t="str">
            <v>CO2_X</v>
          </cell>
          <cell r="C167" t="str">
            <v>VAR_fin</v>
          </cell>
          <cell r="D167" t="str">
            <v>CO2EXP</v>
          </cell>
          <cell r="K167">
            <v>2187.8499084808836</v>
          </cell>
        </row>
        <row r="168">
          <cell r="B168" t="str">
            <v>CO2_X</v>
          </cell>
          <cell r="C168" t="str">
            <v>EQ_combalM</v>
          </cell>
          <cell r="D168" t="str">
            <v>-</v>
          </cell>
          <cell r="J168">
            <v>-48.284353734758469</v>
          </cell>
          <cell r="K168">
            <v>11.860774548935581</v>
          </cell>
        </row>
        <row r="169">
          <cell r="B169" t="str">
            <v>CO2seq</v>
          </cell>
          <cell r="C169" t="str">
            <v>VAR_fout</v>
          </cell>
          <cell r="D169" t="str">
            <v>CO2SINK</v>
          </cell>
          <cell r="J169">
            <v>724.39642584604712</v>
          </cell>
          <cell r="K169">
            <v>3511.8171545936943</v>
          </cell>
        </row>
        <row r="170">
          <cell r="B170" t="str">
            <v>CO2seq</v>
          </cell>
          <cell r="C170" t="str">
            <v>VAR_comnet</v>
          </cell>
          <cell r="D170" t="str">
            <v>-</v>
          </cell>
          <cell r="J170">
            <v>724.39642584604712</v>
          </cell>
          <cell r="K170">
            <v>3511.8171545936943</v>
          </cell>
        </row>
        <row r="171">
          <cell r="B171" t="str">
            <v>CO2_SECTOR</v>
          </cell>
          <cell r="C171" t="str">
            <v>VAR_fout</v>
          </cell>
          <cell r="D171" t="str">
            <v>CO2_IND</v>
          </cell>
          <cell r="I171">
            <v>4097.1177142300803</v>
          </cell>
          <cell r="J171">
            <v>3580.1615564440785</v>
          </cell>
          <cell r="K171">
            <v>3231.7413052234056</v>
          </cell>
        </row>
        <row r="172">
          <cell r="B172" t="str">
            <v>CO2_SECTOR</v>
          </cell>
          <cell r="C172" t="str">
            <v>VAR_fout</v>
          </cell>
          <cell r="D172" t="str">
            <v>CO2_RES</v>
          </cell>
          <cell r="I172">
            <v>2784.3424177113775</v>
          </cell>
          <cell r="J172">
            <v>1514.789338695675</v>
          </cell>
          <cell r="K172">
            <v>678.56637283023656</v>
          </cell>
        </row>
        <row r="173">
          <cell r="B173" t="str">
            <v>CO2_SECTOR</v>
          </cell>
          <cell r="C173" t="str">
            <v>VAR_fout</v>
          </cell>
          <cell r="D173" t="str">
            <v>CO2_TRA</v>
          </cell>
          <cell r="I173">
            <v>3819.6697940820404</v>
          </cell>
          <cell r="J173">
            <v>1593.0669324732482</v>
          </cell>
          <cell r="K173">
            <v>158.88243921504034</v>
          </cell>
        </row>
        <row r="174">
          <cell r="B174" t="str">
            <v>CO2_SECTOR</v>
          </cell>
          <cell r="C174" t="str">
            <v>VAR_fout</v>
          </cell>
          <cell r="D174" t="str">
            <v>CO2_ELC</v>
          </cell>
          <cell r="I174">
            <v>2241.9134222608704</v>
          </cell>
          <cell r="J174">
            <v>2461.7008683079039</v>
          </cell>
          <cell r="K174">
            <v>2552.9236845057726</v>
          </cell>
        </row>
        <row r="175">
          <cell r="B175" t="str">
            <v>CO2_SECTOR</v>
          </cell>
          <cell r="C175" t="str">
            <v>VAR_fout</v>
          </cell>
          <cell r="D175" t="str">
            <v>CO2_SER</v>
          </cell>
          <cell r="I175">
            <v>1643.6772605005453</v>
          </cell>
          <cell r="J175">
            <v>951.75094616642252</v>
          </cell>
          <cell r="K175">
            <v>291.73546569856967</v>
          </cell>
        </row>
        <row r="176">
          <cell r="B176" t="str">
            <v>CO2_SECTOR</v>
          </cell>
          <cell r="C176" t="str">
            <v>VAR_fout</v>
          </cell>
          <cell r="D176" t="str">
            <v>CO2_ELCCCS</v>
          </cell>
          <cell r="I176">
            <v>2241.9134222608704</v>
          </cell>
          <cell r="J176">
            <v>920.3340808086989</v>
          </cell>
          <cell r="K176">
            <v>-2541.5259078337631</v>
          </cell>
        </row>
        <row r="177">
          <cell r="B177" t="str">
            <v>CO2_SECTOR</v>
          </cell>
          <cell r="C177" t="str">
            <v>VAR_fout</v>
          </cell>
          <cell r="D177" t="str">
            <v>CO2_H2CCS</v>
          </cell>
          <cell r="K177">
            <v>-1.4210538791761611E-2</v>
          </cell>
        </row>
        <row r="178">
          <cell r="B178" t="str">
            <v>CO2_SECTOR</v>
          </cell>
          <cell r="C178" t="str">
            <v>VAR_fout</v>
          </cell>
          <cell r="D178" t="str">
            <v>CO2_INDCCS</v>
          </cell>
          <cell r="I178">
            <v>4097.1095153114302</v>
          </cell>
          <cell r="J178">
            <v>3267.9779795062159</v>
          </cell>
          <cell r="K178">
            <v>1412.359576067752</v>
          </cell>
        </row>
        <row r="179">
          <cell r="B179" t="str">
            <v>CO2_SECTOR</v>
          </cell>
          <cell r="C179" t="str">
            <v>VAR_comnet</v>
          </cell>
          <cell r="D179" t="str">
            <v>-</v>
          </cell>
          <cell r="I179">
            <v>20925.743546357215</v>
          </cell>
          <cell r="J179">
            <v>14289.781702402248</v>
          </cell>
          <cell r="K179">
            <v>5784.6687251682242</v>
          </cell>
        </row>
        <row r="180">
          <cell r="B180" t="str">
            <v>CO2SC</v>
          </cell>
          <cell r="C180" t="str">
            <v>VAR_fout</v>
          </cell>
          <cell r="D180" t="str">
            <v>CO2S1</v>
          </cell>
          <cell r="I180">
            <v>6307.1990227535098</v>
          </cell>
          <cell r="J180">
            <v>6307.1990227535098</v>
          </cell>
          <cell r="K180">
            <v>6307.1990227535098</v>
          </cell>
        </row>
        <row r="181">
          <cell r="B181" t="str">
            <v>CO2SC</v>
          </cell>
          <cell r="C181" t="str">
            <v>VAR_fout</v>
          </cell>
          <cell r="D181" t="str">
            <v>CO2S2</v>
          </cell>
          <cell r="K181">
            <v>2.7490665387934902E-5</v>
          </cell>
        </row>
        <row r="182">
          <cell r="B182" t="str">
            <v>CO2SC</v>
          </cell>
          <cell r="C182" t="str">
            <v>VAR_fin</v>
          </cell>
          <cell r="D182" t="str">
            <v>CO2EXP</v>
          </cell>
          <cell r="K182">
            <v>2187.84990848088</v>
          </cell>
        </row>
        <row r="183">
          <cell r="B183" t="str">
            <v>CO2SC</v>
          </cell>
          <cell r="C183" t="str">
            <v>EQ_combalM</v>
          </cell>
          <cell r="D183" t="str">
            <v>-</v>
          </cell>
          <cell r="K183">
            <v>-3.5541943821664002E-7</v>
          </cell>
        </row>
        <row r="184">
          <cell r="B184" t="str">
            <v>CO2P</v>
          </cell>
          <cell r="C184" t="str">
            <v>VAR_fout</v>
          </cell>
          <cell r="D184" t="str">
            <v>ITOT-PROCESSCO2</v>
          </cell>
          <cell r="I184">
            <v>2085.535524557758</v>
          </cell>
          <cell r="J184">
            <v>2077.4231238784519</v>
          </cell>
          <cell r="K184">
            <v>2063.749708521153</v>
          </cell>
        </row>
        <row r="185">
          <cell r="B185" t="str">
            <v>CO2P</v>
          </cell>
          <cell r="C185" t="str">
            <v>VAR_comnet</v>
          </cell>
          <cell r="D185" t="str">
            <v>-</v>
          </cell>
          <cell r="I185">
            <v>2085.535524557758</v>
          </cell>
          <cell r="J185">
            <v>2077.4231238784519</v>
          </cell>
          <cell r="K185">
            <v>2063.749708521153</v>
          </cell>
        </row>
        <row r="186">
          <cell r="B186" t="str">
            <v>CO2_E</v>
          </cell>
          <cell r="C186" t="str">
            <v>VAR_fout</v>
          </cell>
          <cell r="D186" t="str">
            <v>EWSTINCCS</v>
          </cell>
          <cell r="J186">
            <v>786.63886811071905</v>
          </cell>
          <cell r="K186">
            <v>2536.7200123852599</v>
          </cell>
        </row>
        <row r="187">
          <cell r="B187" t="str">
            <v>CO2_E</v>
          </cell>
          <cell r="C187" t="str">
            <v>VAR_fout</v>
          </cell>
          <cell r="D187" t="str">
            <v>CHPWSTCCS</v>
          </cell>
          <cell r="J187">
            <v>912.92973590935799</v>
          </cell>
          <cell r="K187">
            <v>2568.5532429720902</v>
          </cell>
        </row>
        <row r="188">
          <cell r="B188" t="str">
            <v>CO2_E</v>
          </cell>
          <cell r="C188" t="str">
            <v>VAR_fout</v>
          </cell>
          <cell r="D188" t="str">
            <v>HPLNGA</v>
          </cell>
        </row>
        <row r="189">
          <cell r="B189" t="str">
            <v>CO2_E</v>
          </cell>
          <cell r="C189" t="str">
            <v>VAR_fout</v>
          </cell>
          <cell r="D189" t="str">
            <v>CHPWST</v>
          </cell>
          <cell r="I189">
            <v>2535.93287203931</v>
          </cell>
          <cell r="J189">
            <v>1806.2107927536299</v>
          </cell>
          <cell r="K189">
            <v>0.30407524735458502</v>
          </cell>
        </row>
        <row r="190">
          <cell r="B190" t="str">
            <v>CO2_E</v>
          </cell>
          <cell r="C190" t="str">
            <v>VAR_fout</v>
          </cell>
          <cell r="D190" t="str">
            <v>CHPNGA</v>
          </cell>
        </row>
        <row r="191">
          <cell r="B191" t="str">
            <v>CO2_E</v>
          </cell>
          <cell r="C191" t="str">
            <v>VAR_fout</v>
          </cell>
          <cell r="D191" t="str">
            <v>EWSTINC</v>
          </cell>
          <cell r="I191">
            <v>1944.97469675875</v>
          </cell>
          <cell r="J191">
            <v>1414.77636413249</v>
          </cell>
          <cell r="K191">
            <v>0.25002176648914098</v>
          </cell>
        </row>
        <row r="192">
          <cell r="B192" t="str">
            <v>CO2_E</v>
          </cell>
          <cell r="C192" t="str">
            <v>VAR_fout</v>
          </cell>
          <cell r="D192" t="str">
            <v>ENGA-GTCC</v>
          </cell>
          <cell r="J192">
            <v>8.6899899580074097E-4</v>
          </cell>
          <cell r="K192">
            <v>0.19901553876275099</v>
          </cell>
        </row>
        <row r="193">
          <cell r="B193" t="str">
            <v>CO2_E</v>
          </cell>
          <cell r="C193" t="str">
            <v>VAR_fout</v>
          </cell>
          <cell r="D193" t="str">
            <v>HPLOIL</v>
          </cell>
          <cell r="I193">
            <v>3.71894100040696E-3</v>
          </cell>
          <cell r="J193">
            <v>9.9722841647832405E-3</v>
          </cell>
          <cell r="K193">
            <v>2.9179485062589899E-4</v>
          </cell>
        </row>
        <row r="194">
          <cell r="B194" t="str">
            <v>CO2_E</v>
          </cell>
          <cell r="C194" t="str">
            <v>VAR_fout</v>
          </cell>
          <cell r="D194" t="str">
            <v>EOIL-ENG</v>
          </cell>
          <cell r="I194">
            <v>0.99504510107909006</v>
          </cell>
          <cell r="J194">
            <v>1.2184266745547501</v>
          </cell>
          <cell r="K194">
            <v>6.5928225610902098E-3</v>
          </cell>
        </row>
        <row r="195">
          <cell r="B195" t="str">
            <v>CO2_E</v>
          </cell>
          <cell r="C195" t="str">
            <v>VAR_fout</v>
          </cell>
          <cell r="D195" t="str">
            <v>ENGA-GTOC</v>
          </cell>
          <cell r="J195">
            <v>7.40327177418924E-4</v>
          </cell>
          <cell r="K195">
            <v>6.1556629201491404</v>
          </cell>
        </row>
        <row r="196">
          <cell r="B196" t="str">
            <v>CO2_E</v>
          </cell>
          <cell r="C196" t="str">
            <v>VAR_fout</v>
          </cell>
          <cell r="D196" t="str">
            <v>CHPOIL</v>
          </cell>
          <cell r="I196">
            <v>0.43743849936304402</v>
          </cell>
          <cell r="J196">
            <v>0.17282143011165099</v>
          </cell>
          <cell r="K196">
            <v>4.0755748805215803E-3</v>
          </cell>
        </row>
        <row r="197">
          <cell r="B197" t="str">
            <v>CO2_E</v>
          </cell>
          <cell r="C197" t="str">
            <v>VAR_comnet</v>
          </cell>
          <cell r="D197" t="str">
            <v>-</v>
          </cell>
          <cell r="I197">
            <v>4482.3437713394997</v>
          </cell>
          <cell r="J197">
            <v>4921.9585906211996</v>
          </cell>
          <cell r="K197">
            <v>5112.1929910223898</v>
          </cell>
        </row>
        <row r="198">
          <cell r="B198" t="str">
            <v>CO2_I</v>
          </cell>
          <cell r="C198" t="str">
            <v>VAR_fout</v>
          </cell>
          <cell r="D198" t="str">
            <v>ITOT-CHPNGA</v>
          </cell>
          <cell r="I198">
            <v>95.3387450231088</v>
          </cell>
          <cell r="J198">
            <v>13.839035357596</v>
          </cell>
          <cell r="K198">
            <v>85.305369454875404</v>
          </cell>
        </row>
        <row r="199">
          <cell r="B199" t="str">
            <v>CO2_I</v>
          </cell>
          <cell r="C199" t="str">
            <v>VAR_fout</v>
          </cell>
          <cell r="D199" t="str">
            <v>ITOT-SWHNGABR</v>
          </cell>
          <cell r="I199">
            <v>591.627226640647</v>
          </cell>
          <cell r="J199">
            <v>305.22383211457799</v>
          </cell>
          <cell r="K199">
            <v>68.396350835381199</v>
          </cell>
        </row>
        <row r="200">
          <cell r="B200" t="str">
            <v>CO2_I</v>
          </cell>
          <cell r="C200" t="str">
            <v>VAR_fout</v>
          </cell>
          <cell r="D200" t="str">
            <v>ITOT-CHPWSTCCS</v>
          </cell>
          <cell r="J200">
            <v>186.98502683674201</v>
          </cell>
          <cell r="K200">
            <v>534.66673548634003</v>
          </cell>
        </row>
        <row r="201">
          <cell r="B201" t="str">
            <v>CO2_I</v>
          </cell>
          <cell r="C201" t="str">
            <v>VAR_fout</v>
          </cell>
          <cell r="D201" t="str">
            <v>ITOT-SWHLFOBR</v>
          </cell>
          <cell r="I201">
            <v>408.960113702321</v>
          </cell>
          <cell r="J201">
            <v>245.62432132371799</v>
          </cell>
          <cell r="K201">
            <v>18.6809874749373</v>
          </cell>
        </row>
        <row r="202">
          <cell r="B202" t="str">
            <v>CO2_I</v>
          </cell>
          <cell r="C202" t="str">
            <v>VAR_fout</v>
          </cell>
          <cell r="D202" t="str">
            <v>ITOT-CHPNGACCS</v>
          </cell>
          <cell r="J202">
            <v>2.3403730686828101</v>
          </cell>
          <cell r="K202">
            <v>60.673025040011403</v>
          </cell>
        </row>
        <row r="203">
          <cell r="B203" t="str">
            <v>CO2_I</v>
          </cell>
          <cell r="C203" t="str">
            <v>VAR_fout</v>
          </cell>
          <cell r="D203" t="str">
            <v>ITOT-CHPGFC</v>
          </cell>
          <cell r="I203">
            <v>0.198640739823567</v>
          </cell>
          <cell r="J203">
            <v>0.145973266782258</v>
          </cell>
          <cell r="K203">
            <v>3.4574825483147303E-2</v>
          </cell>
        </row>
        <row r="204">
          <cell r="B204" t="str">
            <v>CO2_I</v>
          </cell>
          <cell r="C204" t="str">
            <v>VAR_fout</v>
          </cell>
          <cell r="D204" t="str">
            <v>ITOT-SWHCOABR</v>
          </cell>
          <cell r="I204">
            <v>0.208904851595719</v>
          </cell>
          <cell r="J204">
            <v>2.40360521701482E-2</v>
          </cell>
        </row>
        <row r="205">
          <cell r="B205" t="str">
            <v>CO2_I</v>
          </cell>
          <cell r="C205" t="str">
            <v>VAR_fout</v>
          </cell>
          <cell r="D205" t="str">
            <v>ITOT-CHPOIL</v>
          </cell>
          <cell r="I205">
            <v>46.710592643791401</v>
          </cell>
        </row>
        <row r="206">
          <cell r="B206" t="str">
            <v>CO2_I</v>
          </cell>
          <cell r="C206" t="str">
            <v>VAR_fout</v>
          </cell>
          <cell r="D206" t="str">
            <v>ITOT-SWHWSTBR</v>
          </cell>
          <cell r="I206">
            <v>1000.23632878939</v>
          </cell>
          <cell r="J206">
            <v>886.08226935233199</v>
          </cell>
          <cell r="K206">
            <v>552.04726375858399</v>
          </cell>
        </row>
        <row r="207">
          <cell r="B207" t="str">
            <v>CO2_I</v>
          </cell>
          <cell r="C207" t="str">
            <v>VAR_fout</v>
          </cell>
          <cell r="D207" t="str">
            <v>ITOT-SWHNGAHP</v>
          </cell>
          <cell r="I207">
            <v>7.9799128651485696E-2</v>
          </cell>
          <cell r="J207">
            <v>5.7121273291661702E-2</v>
          </cell>
          <cell r="K207">
            <v>2.3445587181621302E-2</v>
          </cell>
        </row>
        <row r="208">
          <cell r="B208" t="str">
            <v>CO2_I</v>
          </cell>
          <cell r="C208" t="str">
            <v>VAR_fout</v>
          </cell>
          <cell r="D208" t="str">
            <v>ITOT-CHPWST</v>
          </cell>
          <cell r="I208">
            <v>1.52759944381135</v>
          </cell>
          <cell r="J208">
            <v>0.72415640021112504</v>
          </cell>
          <cell r="K208">
            <v>0.14668992184652399</v>
          </cell>
        </row>
        <row r="209">
          <cell r="B209" t="str">
            <v>CO2_I</v>
          </cell>
          <cell r="C209" t="str">
            <v>VAR_fout</v>
          </cell>
          <cell r="D209" t="str">
            <v>ITOT-SWHHFOBR</v>
          </cell>
          <cell r="I209">
            <v>0.24851275570897599</v>
          </cell>
          <cell r="J209">
            <v>1.9755518700029201E-2</v>
          </cell>
        </row>
        <row r="210">
          <cell r="B210" t="str">
            <v>CO2_I</v>
          </cell>
          <cell r="C210" t="str">
            <v>VAR_comnet</v>
          </cell>
          <cell r="D210" t="str">
            <v>-</v>
          </cell>
          <cell r="I210">
            <v>2145.1364637188499</v>
          </cell>
          <cell r="J210">
            <v>1641.0659005647999</v>
          </cell>
          <cell r="K210">
            <v>1319.97444238464</v>
          </cell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I3" t="str">
            <v>2035</v>
          </cell>
          <cell r="J3" t="str">
            <v>2040</v>
          </cell>
          <cell r="K3" t="str">
            <v>2050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I4">
            <v>7.7541492114400496E-7</v>
          </cell>
          <cell r="J4">
            <v>8.3070668794422495E-7</v>
          </cell>
          <cell r="K4">
            <v>7.1531254549918406E-5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3.73176286755829E-3</v>
          </cell>
          <cell r="K5">
            <v>6.3688976198217405E-4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I6">
            <v>5.2034773327928802E-6</v>
          </cell>
          <cell r="J6">
            <v>6.8717834525479199E-6</v>
          </cell>
          <cell r="K6">
            <v>0.51981470264377305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I7">
            <v>1.65099349077456E-6</v>
          </cell>
          <cell r="J7">
            <v>1.83458455601362</v>
          </cell>
          <cell r="K7">
            <v>0.5452095646724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I8">
            <v>6.47371349082359E-7</v>
          </cell>
          <cell r="J8">
            <v>1.10774873640543E-6</v>
          </cell>
          <cell r="K8">
            <v>1.74327575277488E-6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2.58783971606433E-3</v>
          </cell>
          <cell r="K9">
            <v>1.0016494002288199E-6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I10">
            <v>0.145149061196964</v>
          </cell>
          <cell r="J10">
            <v>6.01367309992299E-2</v>
          </cell>
          <cell r="K10">
            <v>0.17047878567642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I11">
            <v>6.4867136531131195E-7</v>
          </cell>
          <cell r="J11">
            <v>1.19633783617551E-6</v>
          </cell>
          <cell r="K11">
            <v>2.27992781234033E-4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I12">
            <v>1.8678376042252299E-2</v>
          </cell>
          <cell r="J12">
            <v>0.108431552931135</v>
          </cell>
          <cell r="K12">
            <v>0.105615016748335</v>
          </cell>
        </row>
        <row r="13">
          <cell r="A13" t="str">
            <v>-</v>
          </cell>
          <cell r="B13" t="str">
            <v>VAR_ncap</v>
          </cell>
          <cell r="C13" t="str">
            <v>SUP_WODH2</v>
          </cell>
          <cell r="I13">
            <v>3.2987459061723297E-2</v>
          </cell>
          <cell r="J13">
            <v>3.8614452940831802E-2</v>
          </cell>
          <cell r="K13">
            <v>1.1551381271561101E-3</v>
          </cell>
        </row>
        <row r="14">
          <cell r="A14" t="str">
            <v>-</v>
          </cell>
          <cell r="B14" t="str">
            <v>VAR_ncap</v>
          </cell>
          <cell r="C14" t="str">
            <v>ESOL-PV_A</v>
          </cell>
          <cell r="I14">
            <v>8.9937346180302302E-7</v>
          </cell>
          <cell r="J14">
            <v>4.7635676317765301E-7</v>
          </cell>
          <cell r="K14">
            <v>2.78836344855304</v>
          </cell>
        </row>
        <row r="15">
          <cell r="A15" t="str">
            <v>-</v>
          </cell>
          <cell r="B15" t="str">
            <v>VAR_ncap</v>
          </cell>
          <cell r="C15" t="str">
            <v>D-TNGA</v>
          </cell>
          <cell r="I15">
            <v>1.2612280968162501E-7</v>
          </cell>
          <cell r="J15">
            <v>1.53425838739667E-7</v>
          </cell>
          <cell r="K15">
            <v>2.8865078482954999E-7</v>
          </cell>
        </row>
        <row r="16">
          <cell r="A16" t="str">
            <v>-</v>
          </cell>
          <cell r="B16" t="str">
            <v>VAR_ncap</v>
          </cell>
          <cell r="C16" t="str">
            <v>SUP_ELCH2_D</v>
          </cell>
          <cell r="I16">
            <v>3.4656353762867599E-6</v>
          </cell>
          <cell r="J16">
            <v>2.36531859750438</v>
          </cell>
          <cell r="K16">
            <v>0.137380573600034</v>
          </cell>
        </row>
        <row r="17">
          <cell r="A17" t="str">
            <v>-</v>
          </cell>
          <cell r="B17" t="str">
            <v>VAR_ncap</v>
          </cell>
          <cell r="C17" t="str">
            <v>SUP_H2GSL</v>
          </cell>
          <cell r="I17">
            <v>4.6937016038383801E-6</v>
          </cell>
          <cell r="J17">
            <v>0.124307905991099</v>
          </cell>
          <cell r="K17">
            <v>3.7310250259630701E-7</v>
          </cell>
        </row>
        <row r="18">
          <cell r="A18" t="str">
            <v>-</v>
          </cell>
          <cell r="B18" t="str">
            <v>VAR_ncap</v>
          </cell>
          <cell r="C18" t="str">
            <v>ESOL-PV_E</v>
          </cell>
          <cell r="I18">
            <v>2.87917643031542E-6</v>
          </cell>
          <cell r="J18">
            <v>6.5514570599206001</v>
          </cell>
          <cell r="K18">
            <v>1.1934264358605299E-6</v>
          </cell>
        </row>
        <row r="19">
          <cell r="A19" t="str">
            <v>-</v>
          </cell>
          <cell r="B19" t="str">
            <v>VAR_ncap</v>
          </cell>
          <cell r="C19" t="str">
            <v>D-SNGA</v>
          </cell>
          <cell r="I19">
            <v>2.4778387924361001E-7</v>
          </cell>
          <cell r="J19">
            <v>2.6962176344550099E-7</v>
          </cell>
          <cell r="K19">
            <v>5.8385844717343801E-7</v>
          </cell>
        </row>
        <row r="20">
          <cell r="A20" t="str">
            <v>-</v>
          </cell>
          <cell r="B20" t="str">
            <v>VAR_ncap</v>
          </cell>
          <cell r="C20" t="str">
            <v>SUP_MNRBIO</v>
          </cell>
          <cell r="I20">
            <v>3.7497021029981001E-6</v>
          </cell>
          <cell r="J20">
            <v>0.113649906431273</v>
          </cell>
          <cell r="K20">
            <v>7.5839571685806295E-2</v>
          </cell>
        </row>
        <row r="21">
          <cell r="A21" t="str">
            <v>-</v>
          </cell>
          <cell r="B21" t="str">
            <v>VAR_ncap</v>
          </cell>
          <cell r="C21" t="str">
            <v>D-RNGA</v>
          </cell>
          <cell r="I21">
            <v>9.4975143233556396E-8</v>
          </cell>
          <cell r="J21">
            <v>1.21433830265381E-7</v>
          </cell>
          <cell r="K21">
            <v>2.1495233918032399E-7</v>
          </cell>
        </row>
        <row r="22">
          <cell r="A22" t="str">
            <v>-</v>
          </cell>
          <cell r="B22" t="str">
            <v>VAR_ncap</v>
          </cell>
          <cell r="C22" t="str">
            <v>SUP_WODBIO</v>
          </cell>
          <cell r="I22">
            <v>8.7519600737498297E-6</v>
          </cell>
          <cell r="J22">
            <v>3.3539792686367397E-5</v>
          </cell>
          <cell r="K22">
            <v>8.2277046241019496E-6</v>
          </cell>
        </row>
        <row r="23">
          <cell r="A23" t="str">
            <v>-</v>
          </cell>
          <cell r="B23" t="str">
            <v>VAR_ncap</v>
          </cell>
          <cell r="C23" t="str">
            <v>SUP_ELCH2_SOEC</v>
          </cell>
          <cell r="J23">
            <v>6.2780626725909502E-4</v>
          </cell>
          <cell r="K23">
            <v>5.3273718395278197E-4</v>
          </cell>
        </row>
        <row r="24">
          <cell r="A24" t="str">
            <v>-</v>
          </cell>
          <cell r="B24" t="str">
            <v>VAR_ncap</v>
          </cell>
          <cell r="C24" t="str">
            <v>SUP_NGAH2CCS</v>
          </cell>
          <cell r="J24">
            <v>2.3660055554224401E-7</v>
          </cell>
          <cell r="K24">
            <v>3.2728067395391299E-5</v>
          </cell>
        </row>
        <row r="25">
          <cell r="A25" t="str">
            <v>-</v>
          </cell>
          <cell r="B25" t="str">
            <v>VAR_ncap</v>
          </cell>
          <cell r="C25" t="str">
            <v>SUP_ELCH2</v>
          </cell>
          <cell r="I25">
            <v>0.336442481401313</v>
          </cell>
          <cell r="J25">
            <v>2.09322646240232</v>
          </cell>
          <cell r="K25">
            <v>0.659276715598754</v>
          </cell>
        </row>
        <row r="26">
          <cell r="A26" t="str">
            <v>-</v>
          </cell>
          <cell r="B26" t="str">
            <v>VAR_ncap</v>
          </cell>
          <cell r="C26" t="str">
            <v>CT_CWODBDS</v>
          </cell>
          <cell r="I26">
            <v>7.5227310608593401E-5</v>
          </cell>
          <cell r="J26">
            <v>7.4474385496893405E-4</v>
          </cell>
          <cell r="K26">
            <v>2.4245317867465898E-7</v>
          </cell>
        </row>
        <row r="27">
          <cell r="A27" t="str">
            <v>-</v>
          </cell>
          <cell r="B27" t="str">
            <v>VAR_ncap</v>
          </cell>
          <cell r="C27" t="str">
            <v>CT_CWODPLT</v>
          </cell>
          <cell r="I27">
            <v>3.8744936335743603E-6</v>
          </cell>
          <cell r="J27">
            <v>8.3777109367537697E-2</v>
          </cell>
          <cell r="K27">
            <v>4.3765409518704002E-2</v>
          </cell>
        </row>
        <row r="28">
          <cell r="A28" t="str">
            <v>-</v>
          </cell>
          <cell r="B28" t="str">
            <v>VAR_ncap</v>
          </cell>
          <cell r="C28" t="str">
            <v>D-DH2</v>
          </cell>
          <cell r="I28">
            <v>2.5498409879423E-5</v>
          </cell>
          <cell r="J28">
            <v>2.34164557701077</v>
          </cell>
          <cell r="K28">
            <v>0.13596800869410999</v>
          </cell>
        </row>
        <row r="29">
          <cell r="A29" t="str">
            <v>-</v>
          </cell>
          <cell r="B29" t="str">
            <v>VAR_ncap</v>
          </cell>
          <cell r="C29" t="str">
            <v>CT_CWODETH</v>
          </cell>
          <cell r="I29">
            <v>2.4662369748026698E-7</v>
          </cell>
          <cell r="J29">
            <v>4.40056253579931E-7</v>
          </cell>
          <cell r="K29">
            <v>1.46760351041868E-5</v>
          </cell>
        </row>
        <row r="30">
          <cell r="A30" t="str">
            <v>-</v>
          </cell>
          <cell r="B30" t="str">
            <v>VAR_ncap</v>
          </cell>
          <cell r="C30" t="str">
            <v>D-INGA</v>
          </cell>
          <cell r="I30">
            <v>1.0763881687035299E-6</v>
          </cell>
          <cell r="J30">
            <v>1.4836407879167699E-6</v>
          </cell>
          <cell r="K30">
            <v>3.1152095247024102E-6</v>
          </cell>
        </row>
        <row r="31">
          <cell r="A31" t="str">
            <v>-</v>
          </cell>
          <cell r="B31" t="str">
            <v>VAR_ncap</v>
          </cell>
          <cell r="C31" t="str">
            <v>SUP_H2DSL</v>
          </cell>
          <cell r="I31">
            <v>2.4757449386334299E-6</v>
          </cell>
          <cell r="J31">
            <v>9.49458271033113E-2</v>
          </cell>
          <cell r="K31">
            <v>6.4254718428418997E-2</v>
          </cell>
        </row>
        <row r="32">
          <cell r="A32" t="str">
            <v>-</v>
          </cell>
          <cell r="B32" t="str">
            <v>VAR_ncap</v>
          </cell>
          <cell r="C32" t="str">
            <v>SUP_DAC</v>
          </cell>
          <cell r="J32">
            <v>1.02727890690578E-3</v>
          </cell>
          <cell r="K32">
            <v>9.4194212673920504E-4</v>
          </cell>
        </row>
        <row r="33">
          <cell r="A33" t="str">
            <v>-</v>
          </cell>
          <cell r="B33" t="str">
            <v>VAR_cap</v>
          </cell>
          <cell r="C33" t="str">
            <v>SUP_NGAH2</v>
          </cell>
          <cell r="I33">
            <v>7.1526349069427402E-7</v>
          </cell>
          <cell r="J33">
            <v>8.5431288212212198E-7</v>
          </cell>
          <cell r="K33">
            <v>7.2581270142506104E-5</v>
          </cell>
        </row>
        <row r="34">
          <cell r="A34" t="str">
            <v>-</v>
          </cell>
          <cell r="B34" t="str">
            <v>VAR_cap</v>
          </cell>
          <cell r="C34" t="str">
            <v>SUP_WSTHTGBIO</v>
          </cell>
          <cell r="J34">
            <v>3.73176286755829E-3</v>
          </cell>
          <cell r="K34">
            <v>4.3686141515724879E-3</v>
          </cell>
        </row>
        <row r="35">
          <cell r="A35" t="str">
            <v>-</v>
          </cell>
          <cell r="B35" t="str">
            <v>VAR_cap</v>
          </cell>
          <cell r="C35" t="str">
            <v>STG-H2</v>
          </cell>
          <cell r="I35">
            <v>6.6993835140710287E-6</v>
          </cell>
          <cell r="J35">
            <v>1.3356054803577094E-5</v>
          </cell>
          <cell r="K35">
            <v>0.51982573596232429</v>
          </cell>
        </row>
        <row r="36">
          <cell r="A36" t="str">
            <v>-</v>
          </cell>
          <cell r="B36" t="str">
            <v>VAR_cap</v>
          </cell>
          <cell r="C36" t="str">
            <v>SUP_H2NGA</v>
          </cell>
          <cell r="I36">
            <v>1.532656862594039E-6</v>
          </cell>
          <cell r="J36">
            <v>1.8345859759191174</v>
          </cell>
          <cell r="K36">
            <v>2.3797946718175003</v>
          </cell>
        </row>
        <row r="37">
          <cell r="A37" t="str">
            <v>-</v>
          </cell>
          <cell r="B37" t="str">
            <v>VAR_cap</v>
          </cell>
          <cell r="C37" t="str">
            <v>D-ENGA</v>
          </cell>
          <cell r="I37">
            <v>1.0275144356833117</v>
          </cell>
          <cell r="J37">
            <v>1.0275155434320482</v>
          </cell>
          <cell r="K37">
            <v>0.72468197348158092</v>
          </cell>
        </row>
        <row r="38">
          <cell r="A38" t="str">
            <v>-</v>
          </cell>
          <cell r="B38" t="str">
            <v>VAR_cap</v>
          </cell>
          <cell r="C38" t="str">
            <v>D-CHEAT</v>
          </cell>
          <cell r="J38">
            <v>2.58783971606433E-3</v>
          </cell>
          <cell r="K38">
            <v>2.5888413654645598E-3</v>
          </cell>
        </row>
        <row r="39">
          <cell r="A39" t="str">
            <v>-</v>
          </cell>
          <cell r="B39" t="str">
            <v>VAR_cap</v>
          </cell>
          <cell r="C39" t="str">
            <v>SUP_WSTBIO</v>
          </cell>
          <cell r="I39">
            <v>0.28930163153007965</v>
          </cell>
          <cell r="J39">
            <v>0.31763756364616913</v>
          </cell>
          <cell r="K39">
            <v>0.37191092855412833</v>
          </cell>
        </row>
        <row r="40">
          <cell r="A40" t="str">
            <v>-</v>
          </cell>
          <cell r="B40" t="str">
            <v>VAR_cap</v>
          </cell>
          <cell r="C40" t="str">
            <v>D-CNGA</v>
          </cell>
          <cell r="I40">
            <v>1.77845141361052E-6</v>
          </cell>
          <cell r="J40">
            <v>2.9747892497860298E-6</v>
          </cell>
          <cell r="K40">
            <v>2.3096757048381901E-4</v>
          </cell>
        </row>
        <row r="41">
          <cell r="A41" t="str">
            <v>-</v>
          </cell>
          <cell r="B41" t="str">
            <v>VAR_cap</v>
          </cell>
          <cell r="C41" t="str">
            <v>SUP_BIONGA</v>
          </cell>
          <cell r="I41">
            <v>0.17585287881995479</v>
          </cell>
          <cell r="J41">
            <v>0.22783646728865573</v>
          </cell>
          <cell r="K41">
            <v>0.24188076011788417</v>
          </cell>
        </row>
        <row r="42">
          <cell r="A42" t="str">
            <v>-</v>
          </cell>
          <cell r="B42" t="str">
            <v>VAR_cap</v>
          </cell>
          <cell r="C42" t="str">
            <v>SUP_WODH2</v>
          </cell>
          <cell r="I42">
            <v>3.3022525404343611E-2</v>
          </cell>
          <cell r="J42">
            <v>7.1636842118520991E-2</v>
          </cell>
          <cell r="K42">
            <v>7.2779540461816755E-2</v>
          </cell>
        </row>
        <row r="43">
          <cell r="A43" t="str">
            <v>-</v>
          </cell>
          <cell r="B43" t="str">
            <v>VAR_cap</v>
          </cell>
          <cell r="C43" t="str">
            <v>ESOL-PV_A</v>
          </cell>
          <cell r="I43">
            <v>7.5754345357769801E-2</v>
          </cell>
          <cell r="J43">
            <v>7.5755160006111197E-2</v>
          </cell>
          <cell r="K43">
            <v>1.6692719410229899</v>
          </cell>
        </row>
        <row r="44">
          <cell r="A44" t="str">
            <v>-</v>
          </cell>
          <cell r="B44" t="str">
            <v>VAR_cap</v>
          </cell>
          <cell r="C44" t="str">
            <v>D-TNGA</v>
          </cell>
          <cell r="I44">
            <v>0.95961823939059898</v>
          </cell>
          <cell r="J44">
            <v>0.95961839281643768</v>
          </cell>
          <cell r="K44">
            <v>0.48125433782116656</v>
          </cell>
        </row>
        <row r="45">
          <cell r="A45" t="str">
            <v>-</v>
          </cell>
          <cell r="B45" t="str">
            <v>VAR_cap</v>
          </cell>
          <cell r="C45" t="str">
            <v>SUP_ELCH2_D</v>
          </cell>
          <cell r="I45">
            <v>5.2118798189992798E-5</v>
          </cell>
          <cell r="J45">
            <v>2.3653707163025701</v>
          </cell>
          <cell r="K45">
            <v>2.5027145843057998</v>
          </cell>
        </row>
        <row r="46">
          <cell r="A46" t="str">
            <v>-</v>
          </cell>
          <cell r="B46" t="str">
            <v>VAR_cap</v>
          </cell>
          <cell r="C46" t="str">
            <v>SUP_H2GSL</v>
          </cell>
          <cell r="I46">
            <v>5.3852474521937845E-6</v>
          </cell>
          <cell r="J46">
            <v>0.12431342252577982</v>
          </cell>
          <cell r="K46">
            <v>0.108030737189669</v>
          </cell>
        </row>
        <row r="47">
          <cell r="A47" t="str">
            <v>-</v>
          </cell>
          <cell r="B47" t="str">
            <v>VAR_cap</v>
          </cell>
          <cell r="C47" t="str">
            <v>ESOL-PV_E</v>
          </cell>
          <cell r="I47">
            <v>1.4459655132413601E-4</v>
          </cell>
          <cell r="J47">
            <v>6.5516016564719299</v>
          </cell>
          <cell r="K47">
            <v>6.5516028498983596</v>
          </cell>
        </row>
        <row r="48">
          <cell r="A48" t="str">
            <v>-</v>
          </cell>
          <cell r="B48" t="str">
            <v>VAR_cap</v>
          </cell>
          <cell r="C48" t="str">
            <v>D-SNGA</v>
          </cell>
          <cell r="I48">
            <v>2.2350534220493667</v>
          </cell>
          <cell r="J48">
            <v>2.2350536916711303</v>
          </cell>
          <cell r="K48">
            <v>1.1208925763932973</v>
          </cell>
        </row>
        <row r="49">
          <cell r="A49" t="str">
            <v>-</v>
          </cell>
          <cell r="B49" t="str">
            <v>VAR_cap</v>
          </cell>
          <cell r="C49" t="str">
            <v>SUP_MNRBIO</v>
          </cell>
          <cell r="I49">
            <v>0.16240208489759922</v>
          </cell>
          <cell r="J49">
            <v>0.18949206971291988</v>
          </cell>
          <cell r="K49">
            <v>0.18949186087249989</v>
          </cell>
        </row>
        <row r="50">
          <cell r="A50" t="str">
            <v>-</v>
          </cell>
          <cell r="B50" t="str">
            <v>VAR_cap</v>
          </cell>
          <cell r="C50" t="str">
            <v>D-RNGA</v>
          </cell>
          <cell r="I50">
            <v>3.0972404269995093</v>
          </cell>
          <cell r="J50">
            <v>3.0972405484333394</v>
          </cell>
          <cell r="K50">
            <v>1.5532830040259786</v>
          </cell>
        </row>
        <row r="51">
          <cell r="A51" t="str">
            <v>-</v>
          </cell>
          <cell r="B51" t="str">
            <v>VAR_cap</v>
          </cell>
          <cell r="C51" t="str">
            <v>SUP_WODBIO</v>
          </cell>
          <cell r="I51">
            <v>3.0766491728078452E-5</v>
          </cell>
          <cell r="J51">
            <v>5.3540140059650461E-5</v>
          </cell>
          <cell r="K51">
            <v>4.860066757608602E-5</v>
          </cell>
        </row>
        <row r="52">
          <cell r="A52" t="str">
            <v>-</v>
          </cell>
          <cell r="B52" t="str">
            <v>VAR_cap</v>
          </cell>
          <cell r="C52" t="str">
            <v>SUP_ELCH2_SOEC</v>
          </cell>
          <cell r="J52">
            <v>6.2780626725909502E-4</v>
          </cell>
          <cell r="K52">
            <v>7.4766099157717316E-4</v>
          </cell>
        </row>
        <row r="53">
          <cell r="A53" t="str">
            <v>-</v>
          </cell>
          <cell r="B53" t="str">
            <v>VAR_cap</v>
          </cell>
          <cell r="C53" t="str">
            <v>SUP_NGAH2CCS</v>
          </cell>
          <cell r="J53">
            <v>2.3660055554224401E-7</v>
          </cell>
          <cell r="K53">
            <v>3.2877606425945847E-5</v>
          </cell>
        </row>
        <row r="54">
          <cell r="A54" t="str">
            <v>-</v>
          </cell>
          <cell r="B54" t="str">
            <v>VAR_cap</v>
          </cell>
          <cell r="C54" t="str">
            <v>SUP_ELCH2</v>
          </cell>
          <cell r="I54">
            <v>0.3368218925211971</v>
          </cell>
          <cell r="J54">
            <v>2.4298363834305188</v>
          </cell>
          <cell r="K54">
            <v>3.0206074899613045</v>
          </cell>
        </row>
        <row r="55">
          <cell r="A55" t="str">
            <v>-</v>
          </cell>
          <cell r="B55" t="str">
            <v>VAR_cap</v>
          </cell>
          <cell r="C55" t="str">
            <v>CT_CWODBDS</v>
          </cell>
          <cell r="I55">
            <v>1.1347776754033236E-4</v>
          </cell>
          <cell r="J55">
            <v>8.2021877473411144E-4</v>
          </cell>
          <cell r="K55">
            <v>8.0441169878730243E-4</v>
          </cell>
        </row>
        <row r="56">
          <cell r="A56" t="str">
            <v>-</v>
          </cell>
          <cell r="B56" t="str">
            <v>VAR_cap</v>
          </cell>
          <cell r="C56" t="str">
            <v>CT_CWODPLT</v>
          </cell>
          <cell r="I56">
            <v>0.11731830053957865</v>
          </cell>
          <cell r="J56">
            <v>0.13402901498855863</v>
          </cell>
          <cell r="K56">
            <v>0.127544883677911</v>
          </cell>
        </row>
        <row r="57">
          <cell r="A57" t="str">
            <v>-</v>
          </cell>
          <cell r="B57" t="str">
            <v>VAR_cap</v>
          </cell>
          <cell r="C57" t="str">
            <v>D-DH2</v>
          </cell>
          <cell r="I57">
            <v>8.0522167355425998E-5</v>
          </cell>
          <cell r="J57">
            <v>2.3417260991781301</v>
          </cell>
          <cell r="K57">
            <v>2.4776941078722401</v>
          </cell>
        </row>
        <row r="58">
          <cell r="A58" t="str">
            <v>-</v>
          </cell>
          <cell r="B58" t="str">
            <v>VAR_cap</v>
          </cell>
          <cell r="C58" t="str">
            <v>CT_CWODETH</v>
          </cell>
          <cell r="I58">
            <v>3.9435470773098447E-5</v>
          </cell>
          <cell r="J58">
            <v>3.5915589914798512E-5</v>
          </cell>
          <cell r="K58">
            <v>1.5421497605200646E-5</v>
          </cell>
        </row>
        <row r="59">
          <cell r="A59" t="str">
            <v>-</v>
          </cell>
          <cell r="B59" t="str">
            <v>VAR_cap</v>
          </cell>
          <cell r="C59" t="str">
            <v>D-INGA</v>
          </cell>
          <cell r="I59">
            <v>1.9844859526951755</v>
          </cell>
          <cell r="J59">
            <v>1.9844874363359633</v>
          </cell>
          <cell r="K59">
            <v>1.0954666187253079</v>
          </cell>
        </row>
        <row r="60">
          <cell r="A60" t="str">
            <v>-</v>
          </cell>
          <cell r="B60" t="str">
            <v>VAR_cap</v>
          </cell>
          <cell r="C60" t="str">
            <v>SUP_H2DSL</v>
          </cell>
          <cell r="I60">
            <v>2.74270513238393E-6</v>
          </cell>
          <cell r="J60">
            <v>9.4948497503651544E-2</v>
          </cell>
          <cell r="K60">
            <v>0.15920118097536717</v>
          </cell>
        </row>
        <row r="61">
          <cell r="A61" t="str">
            <v>-</v>
          </cell>
          <cell r="B61" t="str">
            <v>VAR_cap</v>
          </cell>
          <cell r="C61" t="str">
            <v>SUP_DAC</v>
          </cell>
          <cell r="J61">
            <v>1.02727890690578E-3</v>
          </cell>
          <cell r="K61">
            <v>1.6824029281511832E-3</v>
          </cell>
        </row>
        <row r="62">
          <cell r="A62" t="str">
            <v>CO2_M</v>
          </cell>
          <cell r="B62" t="str">
            <v>VAR_fin</v>
          </cell>
          <cell r="C62" t="str">
            <v>SUP_H2NGA</v>
          </cell>
          <cell r="J62">
            <v>985.01032570541565</v>
          </cell>
          <cell r="K62">
            <v>1055.2837179025205</v>
          </cell>
        </row>
        <row r="63">
          <cell r="A63" t="str">
            <v>CO2_M</v>
          </cell>
          <cell r="B63" t="str">
            <v>VAR_fin</v>
          </cell>
          <cell r="C63" t="str">
            <v>SUP_H2GSL</v>
          </cell>
          <cell r="J63">
            <v>122.90348284942495</v>
          </cell>
          <cell r="K63">
            <v>62.05694345304336</v>
          </cell>
        </row>
        <row r="64">
          <cell r="A64" t="str">
            <v>CO2_M</v>
          </cell>
          <cell r="B64" t="str">
            <v>VAR_fin</v>
          </cell>
          <cell r="C64" t="str">
            <v>SUP_H2DSL</v>
          </cell>
          <cell r="J64">
            <v>21.211224749323819</v>
          </cell>
          <cell r="K64">
            <v>96.818974169267264</v>
          </cell>
        </row>
        <row r="65">
          <cell r="A65" t="str">
            <v>ELC35</v>
          </cell>
          <cell r="B65" t="str">
            <v>VAR_fout</v>
          </cell>
          <cell r="C65" t="str">
            <v>SUP_WSTBIO</v>
          </cell>
          <cell r="I65">
            <v>0.15315957466586558</v>
          </cell>
          <cell r="J65">
            <v>0.16816117571558836</v>
          </cell>
          <cell r="K65">
            <v>0.19689424033412653</v>
          </cell>
        </row>
        <row r="66">
          <cell r="A66" t="str">
            <v>ELC35</v>
          </cell>
          <cell r="B66" t="str">
            <v>VAR_fout</v>
          </cell>
          <cell r="C66" t="str">
            <v>ESOL-PV_A</v>
          </cell>
          <cell r="I66">
            <v>0.49011877176409713</v>
          </cell>
          <cell r="J66">
            <v>0.49011876593904707</v>
          </cell>
          <cell r="K66">
            <v>10.799990534625161</v>
          </cell>
        </row>
        <row r="67">
          <cell r="A67" t="str">
            <v>ELC35</v>
          </cell>
          <cell r="B67" t="str">
            <v>VAR_fout</v>
          </cell>
          <cell r="C67" t="str">
            <v>SUP_WODBIO</v>
          </cell>
          <cell r="I67">
            <v>9.806917281304496E-6</v>
          </cell>
          <cell r="J67">
            <v>4.2888564991665547E-5</v>
          </cell>
          <cell r="K67">
            <v>4.3165673887575995E-5</v>
          </cell>
        </row>
        <row r="68">
          <cell r="A68" t="str">
            <v>ELC35</v>
          </cell>
          <cell r="B68" t="str">
            <v>VAR_fin</v>
          </cell>
          <cell r="C68" t="str">
            <v>D-CELC</v>
          </cell>
          <cell r="I68">
            <v>11.998581169155836</v>
          </cell>
          <cell r="J68">
            <v>24.010337812840998</v>
          </cell>
          <cell r="K68">
            <v>26.62840575496687</v>
          </cell>
        </row>
        <row r="69">
          <cell r="A69" t="str">
            <v>CO2_O</v>
          </cell>
          <cell r="B69" t="str">
            <v>VAR_fout</v>
          </cell>
          <cell r="C69" t="str">
            <v>SUP_NGAH2CCS</v>
          </cell>
          <cell r="K69">
            <v>1.4210538791761611E-2</v>
          </cell>
        </row>
        <row r="70">
          <cell r="A70" t="str">
            <v>CO2_O</v>
          </cell>
          <cell r="B70" t="str">
            <v>VAR_fout</v>
          </cell>
          <cell r="C70" t="str">
            <v>SUP_DAC</v>
          </cell>
          <cell r="J70">
            <v>3.2815633244499824E-3</v>
          </cell>
          <cell r="K70">
            <v>8.8840290407978164E-3</v>
          </cell>
        </row>
        <row r="71">
          <cell r="A71" t="str">
            <v>SCH2S</v>
          </cell>
          <cell r="B71" t="str">
            <v>VAR_fin</v>
          </cell>
          <cell r="C71" t="str">
            <v>SUP_NGAH2</v>
          </cell>
          <cell r="K71">
            <v>4.1480291607165211E-4</v>
          </cell>
        </row>
        <row r="72">
          <cell r="A72" t="str">
            <v>SCH2S</v>
          </cell>
          <cell r="B72" t="str">
            <v>VAR_fin</v>
          </cell>
          <cell r="C72" t="str">
            <v>SUP_WODH2</v>
          </cell>
          <cell r="I72">
            <v>0.76145626056140103</v>
          </cell>
          <cell r="J72">
            <v>1.4448946934633879</v>
          </cell>
          <cell r="K72">
            <v>1.1496342736418388</v>
          </cell>
        </row>
        <row r="73">
          <cell r="A73" t="str">
            <v>SCH2S</v>
          </cell>
          <cell r="B73" t="str">
            <v>VAR_fin</v>
          </cell>
          <cell r="C73" t="str">
            <v>SUP_NGAH2CCS</v>
          </cell>
          <cell r="K73">
            <v>1.9533970368785386E-4</v>
          </cell>
        </row>
        <row r="74">
          <cell r="A74" t="str">
            <v>CWST</v>
          </cell>
          <cell r="B74" t="str">
            <v>VAR_fout</v>
          </cell>
          <cell r="C74" t="str">
            <v>D-CWST</v>
          </cell>
          <cell r="I74">
            <v>13.167347433416829</v>
          </cell>
          <cell r="J74">
            <v>14.601620143619916</v>
          </cell>
          <cell r="K74">
            <v>17.096519029823433</v>
          </cell>
        </row>
        <row r="75">
          <cell r="A75" t="str">
            <v>CWST</v>
          </cell>
          <cell r="B75" t="str">
            <v>VAR_fin</v>
          </cell>
          <cell r="C75" t="str">
            <v>SUP_WSTHTGBIO</v>
          </cell>
          <cell r="J75">
            <v>0.14458291894685651</v>
          </cell>
          <cell r="K75">
            <v>0.16927687111466047</v>
          </cell>
        </row>
        <row r="76">
          <cell r="A76" t="str">
            <v>CWST</v>
          </cell>
          <cell r="B76" t="str">
            <v>VAR_fin</v>
          </cell>
          <cell r="C76" t="str">
            <v>SUP_WSTBIO</v>
          </cell>
          <cell r="I76">
            <v>13.167347433416829</v>
          </cell>
          <cell r="J76">
            <v>14.457056506520173</v>
          </cell>
          <cell r="K76">
            <v>16.927279119011057</v>
          </cell>
        </row>
        <row r="77">
          <cell r="A77" t="str">
            <v>NGA</v>
          </cell>
          <cell r="B77" t="str">
            <v>VAR_fout</v>
          </cell>
          <cell r="C77" t="str">
            <v>SUP_H2NGA</v>
          </cell>
          <cell r="J77">
            <v>17.464722086975456</v>
          </cell>
          <cell r="K77">
            <v>18.710704218129802</v>
          </cell>
        </row>
        <row r="78">
          <cell r="A78" t="str">
            <v>NGA</v>
          </cell>
          <cell r="B78" t="str">
            <v>VAR_fout</v>
          </cell>
          <cell r="C78" t="str">
            <v>D-LNGA</v>
          </cell>
          <cell r="I78">
            <v>1.9334387044852906E-3</v>
          </cell>
          <cell r="J78">
            <v>1.4426594052532166E-3</v>
          </cell>
        </row>
        <row r="79">
          <cell r="A79" t="str">
            <v>NGA</v>
          </cell>
          <cell r="B79" t="str">
            <v>VAR_fin</v>
          </cell>
          <cell r="C79" t="str">
            <v>D-ENGA</v>
          </cell>
        </row>
        <row r="80">
          <cell r="A80" t="str">
            <v>NGA</v>
          </cell>
          <cell r="B80" t="str">
            <v>VAR_fin</v>
          </cell>
          <cell r="C80" t="str">
            <v>D-TNGA</v>
          </cell>
          <cell r="I80">
            <v>4.8345015928367733E-3</v>
          </cell>
          <cell r="J80">
            <v>2.5085352374854698E-3</v>
          </cell>
          <cell r="K80">
            <v>1.1563845331479147E-4</v>
          </cell>
        </row>
        <row r="81">
          <cell r="A81" t="str">
            <v>NGA</v>
          </cell>
          <cell r="B81" t="str">
            <v>VAR_fin</v>
          </cell>
          <cell r="C81" t="str">
            <v>D-SNGA</v>
          </cell>
          <cell r="I81">
            <v>14.324860826607008</v>
          </cell>
          <cell r="J81">
            <v>9.6530831756482574</v>
          </cell>
          <cell r="K81">
            <v>5.1726090318331686</v>
          </cell>
        </row>
        <row r="82">
          <cell r="A82" t="str">
            <v>NGA</v>
          </cell>
          <cell r="B82" t="str">
            <v>VAR_fin</v>
          </cell>
          <cell r="C82" t="str">
            <v>D-RNGA</v>
          </cell>
          <cell r="I82">
            <v>28.629314406495347</v>
          </cell>
          <cell r="J82">
            <v>18.901641178784327</v>
          </cell>
          <cell r="K82">
            <v>12.03131188633246</v>
          </cell>
        </row>
        <row r="83">
          <cell r="A83" t="str">
            <v>NGA</v>
          </cell>
          <cell r="B83" t="str">
            <v>VAR_fin</v>
          </cell>
          <cell r="C83" t="str">
            <v>D-INGA</v>
          </cell>
          <cell r="I83">
            <v>9.866232369909218</v>
          </cell>
          <cell r="J83">
            <v>3.3620062109142856</v>
          </cell>
          <cell r="K83">
            <v>1.4385985487303801</v>
          </cell>
        </row>
        <row r="84">
          <cell r="A84" t="str">
            <v>CO2</v>
          </cell>
          <cell r="B84" t="str">
            <v>VAR_fout</v>
          </cell>
          <cell r="C84" t="str">
            <v>D-ENGA</v>
          </cell>
        </row>
        <row r="85">
          <cell r="A85" t="str">
            <v>CO2</v>
          </cell>
          <cell r="B85" t="str">
            <v>VAR_fout</v>
          </cell>
          <cell r="C85" t="str">
            <v>D-ILFO</v>
          </cell>
          <cell r="I85">
            <v>452.91007803125598</v>
          </cell>
          <cell r="J85">
            <v>239.29763546799001</v>
          </cell>
          <cell r="K85">
            <v>3.1408589016429002E-4</v>
          </cell>
        </row>
        <row r="86">
          <cell r="A86" t="str">
            <v>CO2</v>
          </cell>
          <cell r="B86" t="str">
            <v>VAR_fout</v>
          </cell>
          <cell r="C86" t="str">
            <v>D-TNGA</v>
          </cell>
          <cell r="I86">
            <v>0.27266588983599399</v>
          </cell>
          <cell r="J86">
            <v>0.14148138739418101</v>
          </cell>
          <cell r="K86">
            <v>6.5220087669542398E-3</v>
          </cell>
        </row>
        <row r="87">
          <cell r="A87" t="str">
            <v>CO2</v>
          </cell>
          <cell r="B87" t="str">
            <v>VAR_fout</v>
          </cell>
          <cell r="C87" t="str">
            <v>D-SNGA</v>
          </cell>
          <cell r="I87">
            <v>807.92215062063497</v>
          </cell>
          <cell r="J87">
            <v>544.43389110656199</v>
          </cell>
          <cell r="K87">
            <v>291.73514939539098</v>
          </cell>
        </row>
        <row r="88">
          <cell r="A88" t="str">
            <v>CO2</v>
          </cell>
          <cell r="B88" t="str">
            <v>VAR_fout</v>
          </cell>
          <cell r="C88" t="str">
            <v>D-RNGA</v>
          </cell>
          <cell r="I88">
            <v>1614.6933325263401</v>
          </cell>
          <cell r="J88">
            <v>1066.0525624834399</v>
          </cell>
          <cell r="K88">
            <v>678.56599038914999</v>
          </cell>
        </row>
        <row r="89">
          <cell r="A89" t="str">
            <v>CO2</v>
          </cell>
          <cell r="B89" t="str">
            <v>VAR_fout</v>
          </cell>
          <cell r="C89" t="str">
            <v>D-SLFO</v>
          </cell>
          <cell r="I89">
            <v>835.75510987990901</v>
          </cell>
          <cell r="J89">
            <v>407.31705505986099</v>
          </cell>
          <cell r="K89">
            <v>3.1630317907914798E-4</v>
          </cell>
        </row>
        <row r="90">
          <cell r="A90" t="str">
            <v>CO2</v>
          </cell>
          <cell r="B90" t="str">
            <v>VAR_fout</v>
          </cell>
          <cell r="C90" t="str">
            <v>D-RLFO</v>
          </cell>
          <cell r="I90">
            <v>1169.6490851850399</v>
          </cell>
          <cell r="J90">
            <v>448.73677621223601</v>
          </cell>
          <cell r="K90">
            <v>3.8244108659159302E-4</v>
          </cell>
        </row>
        <row r="91">
          <cell r="A91" t="str">
            <v>CO2</v>
          </cell>
          <cell r="B91" t="str">
            <v>VAR_fout</v>
          </cell>
          <cell r="C91" t="str">
            <v>D-TGSL</v>
          </cell>
          <cell r="I91">
            <v>1260.1232688012601</v>
          </cell>
          <cell r="J91">
            <v>357.77439184649802</v>
          </cell>
          <cell r="K91">
            <v>62.056943453043402</v>
          </cell>
        </row>
        <row r="92">
          <cell r="A92" t="str">
            <v>CO2</v>
          </cell>
          <cell r="B92" t="str">
            <v>VAR_fout</v>
          </cell>
          <cell r="C92" t="str">
            <v>SUP_NGAH2CCS</v>
          </cell>
          <cell r="K92">
            <v>-1.4210538791761601E-2</v>
          </cell>
        </row>
        <row r="93">
          <cell r="A93" t="str">
            <v>CO2</v>
          </cell>
          <cell r="B93" t="str">
            <v>VAR_fout</v>
          </cell>
          <cell r="C93" t="str">
            <v>D-INGA</v>
          </cell>
          <cell r="I93">
            <v>556.45550566288</v>
          </cell>
          <cell r="J93">
            <v>189.61715029556601</v>
          </cell>
          <cell r="K93">
            <v>81.136958148393404</v>
          </cell>
        </row>
        <row r="94">
          <cell r="A94" t="str">
            <v>CO2</v>
          </cell>
          <cell r="B94" t="str">
            <v>VAR_fout</v>
          </cell>
          <cell r="C94" t="str">
            <v>SUP_DAC</v>
          </cell>
          <cell r="J94">
            <v>-3.2815633244499798E-3</v>
          </cell>
          <cell r="K94">
            <v>-8.8840290407978199E-3</v>
          </cell>
        </row>
        <row r="95">
          <cell r="A95" t="str">
            <v>ENGA</v>
          </cell>
          <cell r="B95" t="str">
            <v>VAR_fout</v>
          </cell>
          <cell r="C95" t="str">
            <v>D-ENGA</v>
          </cell>
          <cell r="J95">
            <v>2.6974139707962467E-5</v>
          </cell>
          <cell r="K95">
            <v>0.11267160388141641</v>
          </cell>
        </row>
        <row r="96">
          <cell r="A96" t="str">
            <v>ILFO</v>
          </cell>
          <cell r="B96" t="str">
            <v>VAR_fout</v>
          </cell>
          <cell r="C96" t="str">
            <v>D-ILFO</v>
          </cell>
          <cell r="I96">
            <v>6.1827622242518432</v>
          </cell>
          <cell r="J96">
            <v>3.3327587696569569</v>
          </cell>
          <cell r="K96">
            <v>0.25347337143741311</v>
          </cell>
        </row>
        <row r="97">
          <cell r="A97" t="str">
            <v>CHEAT</v>
          </cell>
          <cell r="B97" t="str">
            <v>VAR_fout</v>
          </cell>
          <cell r="C97" t="str">
            <v>D-CHEAT</v>
          </cell>
          <cell r="J97">
            <v>2.1753761095211158E-3</v>
          </cell>
          <cell r="K97">
            <v>1.7371728089340594E-3</v>
          </cell>
        </row>
        <row r="98">
          <cell r="A98" t="str">
            <v>CHEAT</v>
          </cell>
          <cell r="B98" t="str">
            <v>VAR_fin</v>
          </cell>
          <cell r="C98" t="str">
            <v>SUP_ELCH2_SOEC</v>
          </cell>
          <cell r="J98">
            <v>2.1535564032195264E-3</v>
          </cell>
          <cell r="K98">
            <v>1.6805480467854989E-3</v>
          </cell>
        </row>
        <row r="99">
          <cell r="A99" t="str">
            <v>CHEAT</v>
          </cell>
          <cell r="B99" t="str">
            <v>VAR_fin</v>
          </cell>
          <cell r="C99" t="str">
            <v>SUP_DAC</v>
          </cell>
          <cell r="J99">
            <v>2.1819706301588737E-5</v>
          </cell>
          <cell r="K99">
            <v>5.6624762148560522E-5</v>
          </cell>
        </row>
        <row r="100">
          <cell r="A100" t="str">
            <v>EH2</v>
          </cell>
          <cell r="B100" t="str">
            <v>VAR_fout</v>
          </cell>
          <cell r="C100" t="str">
            <v>D-ENGA</v>
          </cell>
          <cell r="J100">
            <v>9.5033682185331319E-6</v>
          </cell>
          <cell r="K100">
            <v>3.3359499729485338E-3</v>
          </cell>
        </row>
        <row r="101">
          <cell r="A101" t="str">
            <v>TDSL</v>
          </cell>
          <cell r="B101" t="str">
            <v>VAR_fout</v>
          </cell>
          <cell r="C101" t="str">
            <v>D-TBDS1</v>
          </cell>
          <cell r="I101">
            <v>2.9720613896082271</v>
          </cell>
          <cell r="J101">
            <v>2.9719844483222579</v>
          </cell>
          <cell r="K101">
            <v>1.3257874774351419</v>
          </cell>
        </row>
        <row r="102">
          <cell r="A102" t="str">
            <v>CNGA</v>
          </cell>
          <cell r="B102" t="str">
            <v>VAR_fout</v>
          </cell>
          <cell r="C102" t="str">
            <v>D-CNGA</v>
          </cell>
          <cell r="K102">
            <v>8.2889433045806396E-4</v>
          </cell>
        </row>
        <row r="103">
          <cell r="A103" t="str">
            <v>CNGA</v>
          </cell>
          <cell r="B103" t="str">
            <v>VAR_fin</v>
          </cell>
          <cell r="C103" t="str">
            <v>SUP_NGAH2</v>
          </cell>
          <cell r="K103">
            <v>5.4579331062059471E-4</v>
          </cell>
        </row>
        <row r="104">
          <cell r="A104" t="str">
            <v>CNGA</v>
          </cell>
          <cell r="B104" t="str">
            <v>VAR_fin</v>
          </cell>
          <cell r="C104" t="str">
            <v>SUP_NGAH2CCS</v>
          </cell>
          <cell r="K104">
            <v>2.831010198374693E-4</v>
          </cell>
        </row>
        <row r="105">
          <cell r="A105" t="str">
            <v>LBIO</v>
          </cell>
          <cell r="B105" t="str">
            <v>VAR_fin</v>
          </cell>
          <cell r="C105" t="str">
            <v>D-LBIO</v>
          </cell>
          <cell r="I105">
            <v>7.1147672388947988E-4</v>
          </cell>
          <cell r="J105">
            <v>3.2637580077072849E-4</v>
          </cell>
        </row>
        <row r="106">
          <cell r="A106" t="str">
            <v>H2_E</v>
          </cell>
          <cell r="B106" t="str">
            <v>VAR_fout</v>
          </cell>
          <cell r="C106" t="str">
            <v>SUP_ELCH2_D</v>
          </cell>
          <cell r="I106">
            <v>3.7744230599796164E-4</v>
          </cell>
          <cell r="J106">
            <v>17.613613604010762</v>
          </cell>
          <cell r="K106">
            <v>18.636341124510341</v>
          </cell>
        </row>
        <row r="107">
          <cell r="A107" t="str">
            <v>H2_E</v>
          </cell>
          <cell r="B107" t="str">
            <v>VAR_fin</v>
          </cell>
          <cell r="C107" t="str">
            <v>D-DH2</v>
          </cell>
          <cell r="I107">
            <v>3.7744230599796164E-4</v>
          </cell>
          <cell r="J107">
            <v>17.613613604010762</v>
          </cell>
          <cell r="K107">
            <v>18.636341124510345</v>
          </cell>
        </row>
        <row r="108">
          <cell r="A108" t="str">
            <v>BNGA</v>
          </cell>
          <cell r="B108" t="str">
            <v>VAR_fout</v>
          </cell>
          <cell r="C108" t="str">
            <v>SUP_BIONGA</v>
          </cell>
          <cell r="I108">
            <v>5.3810923887519708</v>
          </cell>
          <cell r="J108">
            <v>6.9717811879156084</v>
          </cell>
          <cell r="K108">
            <v>7.401543771666935</v>
          </cell>
        </row>
        <row r="109">
          <cell r="A109" t="str">
            <v>BNGA</v>
          </cell>
          <cell r="B109" t="str">
            <v>VAR_fin</v>
          </cell>
          <cell r="C109" t="str">
            <v>D-ENGA</v>
          </cell>
          <cell r="J109">
            <v>2.7259491509658746E-5</v>
          </cell>
          <cell r="K109">
            <v>0.11304914058098613</v>
          </cell>
        </row>
        <row r="110">
          <cell r="A110" t="str">
            <v>BNGA</v>
          </cell>
          <cell r="B110" t="str">
            <v>VAR_fin</v>
          </cell>
          <cell r="C110" t="str">
            <v>D-CNGA</v>
          </cell>
          <cell r="K110">
            <v>8.3154233252258022E-4</v>
          </cell>
        </row>
        <row r="111">
          <cell r="A111" t="str">
            <v>BNGA</v>
          </cell>
          <cell r="B111" t="str">
            <v>VAR_fin</v>
          </cell>
          <cell r="C111" t="str">
            <v>D-TNGA</v>
          </cell>
          <cell r="I111">
            <v>1.3823183228194864E-3</v>
          </cell>
          <cell r="J111">
            <v>9.4990750832960914E-4</v>
          </cell>
          <cell r="K111">
            <v>1.1372380255847746E-4</v>
          </cell>
        </row>
        <row r="112">
          <cell r="A112" t="str">
            <v>BNGA</v>
          </cell>
          <cell r="B112" t="str">
            <v>VAR_fin</v>
          </cell>
          <cell r="C112" t="str">
            <v>D-SNGA</v>
          </cell>
          <cell r="I112">
            <v>1.1970637309612313</v>
          </cell>
          <cell r="J112">
            <v>1.6264906160985544</v>
          </cell>
          <cell r="K112">
            <v>2.0568762913707648</v>
          </cell>
        </row>
        <row r="113">
          <cell r="A113" t="str">
            <v>BNGA</v>
          </cell>
          <cell r="B113" t="str">
            <v>VAR_fin</v>
          </cell>
          <cell r="C113" t="str">
            <v>D-RNGA</v>
          </cell>
          <cell r="I113">
            <v>1.8236566942450483</v>
          </cell>
          <cell r="J113">
            <v>2.9854149798255758</v>
          </cell>
          <cell r="K113">
            <v>2.8550290262963016</v>
          </cell>
        </row>
        <row r="114">
          <cell r="A114" t="str">
            <v>BNGA</v>
          </cell>
          <cell r="B114" t="str">
            <v>VAR_fin</v>
          </cell>
          <cell r="C114" t="str">
            <v>D-INGA</v>
          </cell>
          <cell r="I114">
            <v>2.3591060028574016</v>
          </cell>
          <cell r="J114">
            <v>2.3591065471461174</v>
          </cell>
          <cell r="K114">
            <v>2.3759848744216963</v>
          </cell>
        </row>
        <row r="115">
          <cell r="A115" t="str">
            <v>LFO</v>
          </cell>
          <cell r="B115" t="str">
            <v>VAR_fin</v>
          </cell>
          <cell r="C115" t="str">
            <v>D-ILFO</v>
          </cell>
          <cell r="I115">
            <v>6.1453199190129713</v>
          </cell>
          <cell r="J115">
            <v>3.2469149995656701</v>
          </cell>
          <cell r="K115">
            <v>4.2616810062997371E-6</v>
          </cell>
        </row>
        <row r="116">
          <cell r="A116" t="str">
            <v>LFO</v>
          </cell>
          <cell r="B116" t="str">
            <v>VAR_fin</v>
          </cell>
          <cell r="C116" t="str">
            <v>D-SLFO</v>
          </cell>
          <cell r="I116">
            <v>11.339960785344767</v>
          </cell>
          <cell r="J116">
            <v>5.5266900279492628</v>
          </cell>
          <cell r="K116">
            <v>4.2917663375732392E-6</v>
          </cell>
        </row>
        <row r="117">
          <cell r="A117" t="str">
            <v>LFO</v>
          </cell>
          <cell r="B117" t="str">
            <v>VAR_fin</v>
          </cell>
          <cell r="C117" t="str">
            <v>D-RLFO</v>
          </cell>
          <cell r="I117">
            <v>15.870408211465953</v>
          </cell>
          <cell r="J117">
            <v>6.0886943855120332</v>
          </cell>
          <cell r="K117">
            <v>5.1891599266159123E-6</v>
          </cell>
        </row>
        <row r="118">
          <cell r="A118" t="str">
            <v>MNR</v>
          </cell>
          <cell r="B118" t="str">
            <v>VAR_fin</v>
          </cell>
          <cell r="C118" t="str">
            <v>SUP_MNRBIO</v>
          </cell>
          <cell r="I118">
            <v>12.540430762020369</v>
          </cell>
          <cell r="J118">
            <v>14.632483806504947</v>
          </cell>
          <cell r="K118">
            <v>14.632491929063773</v>
          </cell>
        </row>
        <row r="119">
          <cell r="A119" t="str">
            <v>TNGA</v>
          </cell>
          <cell r="B119" t="str">
            <v>VAR_fout</v>
          </cell>
          <cell r="C119" t="str">
            <v>D-TNGA</v>
          </cell>
          <cell r="I119">
            <v>6.0652661344980591E-3</v>
          </cell>
          <cell r="J119">
            <v>3.253160733986933E-3</v>
          </cell>
          <cell r="K119">
            <v>1.5795744509829263E-4</v>
          </cell>
        </row>
        <row r="120">
          <cell r="A120" t="str">
            <v>WOD</v>
          </cell>
          <cell r="B120" t="str">
            <v>VAR_fin</v>
          </cell>
          <cell r="C120" t="str">
            <v>D-CWOD</v>
          </cell>
          <cell r="I120">
            <v>4.0867759536957848</v>
          </cell>
          <cell r="J120">
            <v>5.6123135534366062</v>
          </cell>
          <cell r="K120">
            <v>5.0032671220269647</v>
          </cell>
        </row>
        <row r="121">
          <cell r="A121" t="str">
            <v>GSL</v>
          </cell>
          <cell r="B121" t="str">
            <v>VAR_fout</v>
          </cell>
          <cell r="C121" t="str">
            <v>SUP_H2GSL</v>
          </cell>
          <cell r="J121">
            <v>1.6653588461981714</v>
          </cell>
          <cell r="K121">
            <v>0.84087999258866375</v>
          </cell>
        </row>
        <row r="122">
          <cell r="A122" t="str">
            <v>GSL</v>
          </cell>
          <cell r="B122" t="str">
            <v>VAR_fin</v>
          </cell>
          <cell r="C122" t="str">
            <v>D-TGSL</v>
          </cell>
          <cell r="I122">
            <v>17.074841040667547</v>
          </cell>
          <cell r="J122">
            <v>4.8478914884349331</v>
          </cell>
          <cell r="K122">
            <v>0.84087999258866375</v>
          </cell>
        </row>
        <row r="123">
          <cell r="A123" t="str">
            <v>IBIO</v>
          </cell>
          <cell r="B123" t="str">
            <v>VAR_fout</v>
          </cell>
          <cell r="C123" t="str">
            <v>D-IBIO</v>
          </cell>
          <cell r="I123">
            <v>3.2308088950196003</v>
          </cell>
          <cell r="J123">
            <v>3.2308108102816564</v>
          </cell>
          <cell r="K123">
            <v>4.3332886279920011</v>
          </cell>
        </row>
        <row r="124">
          <cell r="A124" t="str">
            <v>SNGA</v>
          </cell>
          <cell r="B124" t="str">
            <v>VAR_fout</v>
          </cell>
          <cell r="C124" t="str">
            <v>D-SNGA</v>
          </cell>
          <cell r="I124">
            <v>15.47248028442287</v>
          </cell>
          <cell r="J124">
            <v>11.243631212324901</v>
          </cell>
          <cell r="K124">
            <v>7.2063580662548041</v>
          </cell>
        </row>
        <row r="125">
          <cell r="A125" t="str">
            <v>AUX_H2STG_IN</v>
          </cell>
          <cell r="B125" t="str">
            <v>VAR_fin</v>
          </cell>
          <cell r="C125" t="str">
            <v>STG-H2</v>
          </cell>
          <cell r="I125">
            <v>1.4073314050714852E-5</v>
          </cell>
          <cell r="J125">
            <v>2.0553641384978783E-5</v>
          </cell>
          <cell r="K125">
            <v>3.788095301857362E-5</v>
          </cell>
        </row>
        <row r="126">
          <cell r="A126" t="str">
            <v>AUX_H2STG_IN</v>
          </cell>
          <cell r="B126" t="str">
            <v>VAR_fin</v>
          </cell>
          <cell r="C126" t="str">
            <v>STG-H2</v>
          </cell>
          <cell r="I126">
            <v>6.0333878934231413E-5</v>
          </cell>
          <cell r="J126">
            <v>1.0239161486327805E-4</v>
          </cell>
          <cell r="K126">
            <v>1.6394672815220692</v>
          </cell>
        </row>
        <row r="127">
          <cell r="A127" t="str">
            <v>AUX_H2STG_IN</v>
          </cell>
          <cell r="B127" t="str">
            <v>VAR_fin</v>
          </cell>
          <cell r="C127" t="str">
            <v>STG-H2</v>
          </cell>
          <cell r="I127">
            <v>9.1489073469236572E-6</v>
          </cell>
          <cell r="J127">
            <v>1.1840600269880179E-5</v>
          </cell>
          <cell r="K127">
            <v>1.4379479209622112E-5</v>
          </cell>
        </row>
        <row r="128">
          <cell r="A128" t="str">
            <v>AUX_H2STG_IN</v>
          </cell>
          <cell r="B128" t="str">
            <v>VAR_fin</v>
          </cell>
          <cell r="C128" t="str">
            <v>STG-H2</v>
          </cell>
          <cell r="I128">
            <v>1.3015997680053604E-5</v>
          </cell>
          <cell r="J128">
            <v>2.0281805989282759E-5</v>
          </cell>
          <cell r="K128">
            <v>3.5847362700233445E-5</v>
          </cell>
        </row>
        <row r="129">
          <cell r="A129" t="str">
            <v>AUX_H2STG_IN</v>
          </cell>
          <cell r="B129" t="str">
            <v>VAR_fin</v>
          </cell>
          <cell r="C129" t="str">
            <v>STG-H2</v>
          </cell>
          <cell r="I129">
            <v>2.4095659856539383E-5</v>
          </cell>
          <cell r="J129">
            <v>4.9715567219136672E-5</v>
          </cell>
          <cell r="K129">
            <v>1.6393791737271448</v>
          </cell>
        </row>
        <row r="130">
          <cell r="A130" t="str">
            <v>H2</v>
          </cell>
          <cell r="B130" t="str">
            <v>VAR_fout</v>
          </cell>
          <cell r="C130" t="str">
            <v>SUP_NGAH2</v>
          </cell>
          <cell r="K130">
            <v>4.1480291607165211E-4</v>
          </cell>
        </row>
        <row r="131">
          <cell r="A131" t="str">
            <v>H2</v>
          </cell>
          <cell r="B131" t="str">
            <v>VAR_fout</v>
          </cell>
          <cell r="C131" t="str">
            <v>STG-H2</v>
          </cell>
          <cell r="I131">
            <v>1.4035578157501531E-5</v>
          </cell>
          <cell r="J131">
            <v>2.0935717303947626E-5</v>
          </cell>
          <cell r="K131">
            <v>3.7983388243755862E-5</v>
          </cell>
        </row>
        <row r="132">
          <cell r="A132" t="str">
            <v>H2</v>
          </cell>
          <cell r="B132" t="str">
            <v>VAR_fout</v>
          </cell>
          <cell r="C132" t="str">
            <v>STG-H2</v>
          </cell>
          <cell r="I132">
            <v>5.9731140465164532E-5</v>
          </cell>
          <cell r="J132">
            <v>1.0137877019200569E-4</v>
          </cell>
          <cell r="K132">
            <v>1.6230727169163057</v>
          </cell>
        </row>
        <row r="133">
          <cell r="A133" t="str">
            <v>H2</v>
          </cell>
          <cell r="B133" t="str">
            <v>VAR_fout</v>
          </cell>
          <cell r="C133" t="str">
            <v>STG-H2</v>
          </cell>
          <cell r="I133">
            <v>2.1537076957248212E-5</v>
          </cell>
          <cell r="J133">
            <v>4.4916621830536344E-5</v>
          </cell>
          <cell r="K133">
            <v>1.6229427168928152</v>
          </cell>
        </row>
        <row r="134">
          <cell r="A134" t="str">
            <v>H2</v>
          </cell>
          <cell r="B134" t="str">
            <v>VAR_fout</v>
          </cell>
          <cell r="C134" t="str">
            <v>STG-H2</v>
          </cell>
          <cell r="I134">
            <v>1.4114557093983741E-5</v>
          </cell>
          <cell r="J134">
            <v>2.1404511080191294E-5</v>
          </cell>
          <cell r="K134">
            <v>3.6337774619635167E-5</v>
          </cell>
        </row>
        <row r="135">
          <cell r="A135" t="str">
            <v>H2</v>
          </cell>
          <cell r="B135" t="str">
            <v>VAR_fout</v>
          </cell>
          <cell r="C135" t="str">
            <v>STG-H2</v>
          </cell>
          <cell r="I135">
            <v>1.0043928256431036E-5</v>
          </cell>
          <cell r="J135">
            <v>1.4121919977330374E-5</v>
          </cell>
          <cell r="K135">
            <v>5.5678860626461106E-5</v>
          </cell>
        </row>
        <row r="136">
          <cell r="A136" t="str">
            <v>H2</v>
          </cell>
          <cell r="B136" t="str">
            <v>VAR_fout</v>
          </cell>
          <cell r="C136" t="str">
            <v>SUP_WODH2</v>
          </cell>
          <cell r="I136">
            <v>0.76145626056140103</v>
          </cell>
          <cell r="J136">
            <v>1.4448946934633879</v>
          </cell>
          <cell r="K136">
            <v>1.1496342736418388</v>
          </cell>
        </row>
        <row r="137">
          <cell r="A137" t="str">
            <v>H2</v>
          </cell>
          <cell r="B137" t="str">
            <v>VAR_fout</v>
          </cell>
          <cell r="C137" t="str">
            <v>SUP_ELCH2_SOEC</v>
          </cell>
          <cell r="J137">
            <v>1.4412262083084512E-2</v>
          </cell>
          <cell r="K137">
            <v>1.5124932421069505E-2</v>
          </cell>
        </row>
        <row r="138">
          <cell r="A138" t="str">
            <v>H2</v>
          </cell>
          <cell r="B138" t="str">
            <v>VAR_fout</v>
          </cell>
          <cell r="C138" t="str">
            <v>SUP_NGAH2CCS</v>
          </cell>
          <cell r="K138">
            <v>1.9533970368785386E-4</v>
          </cell>
        </row>
        <row r="139">
          <cell r="A139" t="str">
            <v>H2</v>
          </cell>
          <cell r="B139" t="str">
            <v>VAR_fout</v>
          </cell>
          <cell r="C139" t="str">
            <v>SUP_ELCH2</v>
          </cell>
          <cell r="I139">
            <v>9.028689190662968</v>
          </cell>
          <cell r="J139">
            <v>18.284362748617479</v>
          </cell>
          <cell r="K139">
            <v>21.469015919384603</v>
          </cell>
        </row>
        <row r="140">
          <cell r="A140" t="str">
            <v>H2</v>
          </cell>
          <cell r="B140" t="str">
            <v>VAR_fout</v>
          </cell>
          <cell r="C140" t="str">
            <v>D-DH2</v>
          </cell>
          <cell r="I140">
            <v>3.7366788293798211E-4</v>
          </cell>
          <cell r="J140">
            <v>17.437477467970638</v>
          </cell>
          <cell r="K140">
            <v>18.449977713265248</v>
          </cell>
        </row>
        <row r="141">
          <cell r="A141" t="str">
            <v>H2</v>
          </cell>
          <cell r="B141" t="str">
            <v>VAR_fin</v>
          </cell>
          <cell r="C141" t="str">
            <v>STG-H2</v>
          </cell>
          <cell r="I141">
            <v>1.4073314050714852E-5</v>
          </cell>
          <cell r="J141">
            <v>2.0553641384978783E-5</v>
          </cell>
          <cell r="K141">
            <v>3.788095301857362E-5</v>
          </cell>
        </row>
        <row r="142">
          <cell r="A142" t="str">
            <v>H2</v>
          </cell>
          <cell r="B142" t="str">
            <v>VAR_fin</v>
          </cell>
          <cell r="C142" t="str">
            <v>STG-H2</v>
          </cell>
          <cell r="I142">
            <v>6.0333878934231413E-5</v>
          </cell>
          <cell r="J142">
            <v>1.0239161486327805E-4</v>
          </cell>
          <cell r="K142">
            <v>1.6394672815220692</v>
          </cell>
        </row>
        <row r="143">
          <cell r="A143" t="str">
            <v>H2</v>
          </cell>
          <cell r="B143" t="str">
            <v>VAR_fin</v>
          </cell>
          <cell r="C143" t="str">
            <v>STG-H2</v>
          </cell>
          <cell r="I143">
            <v>9.1489073469236572E-6</v>
          </cell>
          <cell r="J143">
            <v>1.1840600269880179E-5</v>
          </cell>
          <cell r="K143">
            <v>1.4379479209622112E-5</v>
          </cell>
        </row>
        <row r="144">
          <cell r="A144" t="str">
            <v>H2</v>
          </cell>
          <cell r="B144" t="str">
            <v>VAR_fin</v>
          </cell>
          <cell r="C144" t="str">
            <v>STG-H2</v>
          </cell>
          <cell r="I144">
            <v>1.3015997680053604E-5</v>
          </cell>
          <cell r="J144">
            <v>2.0281805989282759E-5</v>
          </cell>
          <cell r="K144">
            <v>3.5847362700233445E-5</v>
          </cell>
        </row>
        <row r="145">
          <cell r="A145" t="str">
            <v>H2</v>
          </cell>
          <cell r="B145" t="str">
            <v>VAR_fin</v>
          </cell>
          <cell r="C145" t="str">
            <v>STG-H2</v>
          </cell>
          <cell r="I145">
            <v>2.4095659856539383E-5</v>
          </cell>
          <cell r="J145">
            <v>4.9715567219136672E-5</v>
          </cell>
          <cell r="K145">
            <v>1.6393791737271448</v>
          </cell>
        </row>
        <row r="146">
          <cell r="A146" t="str">
            <v>H2</v>
          </cell>
          <cell r="B146" t="str">
            <v>VAR_fin</v>
          </cell>
          <cell r="C146" t="str">
            <v>SUP_H2NGA</v>
          </cell>
          <cell r="J146">
            <v>22.681457255812326</v>
          </cell>
          <cell r="K146">
            <v>24.299615867701053</v>
          </cell>
        </row>
        <row r="147">
          <cell r="A147" t="str">
            <v>H2</v>
          </cell>
          <cell r="B147" t="str">
            <v>VAR_fin</v>
          </cell>
          <cell r="C147" t="str">
            <v>D-ENGA</v>
          </cell>
          <cell r="J147">
            <v>1.4127175512781153E-6</v>
          </cell>
          <cell r="K147">
            <v>3.3252740712625961E-3</v>
          </cell>
        </row>
        <row r="148">
          <cell r="A148" t="str">
            <v>H2</v>
          </cell>
          <cell r="B148" t="str">
            <v>VAR_fin</v>
          </cell>
          <cell r="C148" t="str">
            <v>D-TNGA</v>
          </cell>
          <cell r="I148">
            <v>5.0512774942440879E-5</v>
          </cell>
          <cell r="J148">
            <v>7.0638191307455754E-5</v>
          </cell>
          <cell r="K148">
            <v>6.2602757622482518E-6</v>
          </cell>
        </row>
        <row r="149">
          <cell r="A149" t="str">
            <v>H2</v>
          </cell>
          <cell r="B149" t="str">
            <v>VAR_fin</v>
          </cell>
          <cell r="C149" t="str">
            <v>SUP_H2GSL</v>
          </cell>
          <cell r="J149">
            <v>2.3790840659973904</v>
          </cell>
          <cell r="K149">
            <v>1.2012571322695194</v>
          </cell>
        </row>
        <row r="150">
          <cell r="A150" t="str">
            <v>H2</v>
          </cell>
          <cell r="B150" t="str">
            <v>VAR_fin</v>
          </cell>
          <cell r="C150" t="str">
            <v>D-SNGA</v>
          </cell>
          <cell r="I150">
            <v>1.9660801190036106E-3</v>
          </cell>
          <cell r="J150">
            <v>4.4961045321229107E-3</v>
          </cell>
          <cell r="K150">
            <v>2.1638432171622573E-3</v>
          </cell>
        </row>
        <row r="151">
          <cell r="A151" t="str">
            <v>H2</v>
          </cell>
          <cell r="B151" t="str">
            <v>VAR_fin</v>
          </cell>
          <cell r="C151" t="str">
            <v>D-RNGA</v>
          </cell>
          <cell r="I151">
            <v>3.4129707756844975E-3</v>
          </cell>
          <cell r="J151">
            <v>1.2300059795647375E-2</v>
          </cell>
          <cell r="K151">
            <v>7.784037337914467E-3</v>
          </cell>
        </row>
        <row r="152">
          <cell r="A152" t="str">
            <v>H2</v>
          </cell>
          <cell r="B152" t="str">
            <v>VAR_fin</v>
          </cell>
          <cell r="C152" t="str">
            <v>D-INGA</v>
          </cell>
          <cell r="I152">
            <v>0.35852534163363853</v>
          </cell>
          <cell r="J152">
            <v>0.17686817030212013</v>
          </cell>
          <cell r="K152">
            <v>0.11793967048360823</v>
          </cell>
        </row>
        <row r="153">
          <cell r="A153" t="str">
            <v>H2</v>
          </cell>
          <cell r="B153" t="str">
            <v>VAR_fin</v>
          </cell>
          <cell r="C153" t="str">
            <v>SUP_H2DSL</v>
          </cell>
          <cell r="J153">
            <v>0.49892328995916069</v>
          </cell>
          <cell r="K153">
            <v>2.2773433261811875</v>
          </cell>
        </row>
        <row r="154">
          <cell r="A154" t="str">
            <v>AUX_H2STG_OUT</v>
          </cell>
          <cell r="B154" t="str">
            <v>VAR_fout</v>
          </cell>
          <cell r="C154" t="str">
            <v>STG-H2</v>
          </cell>
          <cell r="I154">
            <v>1.4035578157501531E-5</v>
          </cell>
          <cell r="J154">
            <v>2.0935717303947626E-5</v>
          </cell>
          <cell r="K154">
            <v>3.7983388243755862E-5</v>
          </cell>
        </row>
        <row r="155">
          <cell r="A155" t="str">
            <v>AUX_H2STG_OUT</v>
          </cell>
          <cell r="B155" t="str">
            <v>VAR_fout</v>
          </cell>
          <cell r="C155" t="str">
            <v>STG-H2</v>
          </cell>
          <cell r="I155">
            <v>5.9731140465164532E-5</v>
          </cell>
          <cell r="J155">
            <v>1.0137877019200569E-4</v>
          </cell>
          <cell r="K155">
            <v>1.6230727169163071</v>
          </cell>
        </row>
        <row r="156">
          <cell r="A156" t="str">
            <v>AUX_H2STG_OUT</v>
          </cell>
          <cell r="B156" t="str">
            <v>VAR_fout</v>
          </cell>
          <cell r="C156" t="str">
            <v>STG-H2</v>
          </cell>
          <cell r="I156">
            <v>2.1537076957248212E-5</v>
          </cell>
          <cell r="J156">
            <v>4.4916621830536344E-5</v>
          </cell>
          <cell r="K156">
            <v>1.6229427168928168</v>
          </cell>
        </row>
        <row r="157">
          <cell r="A157" t="str">
            <v>AUX_H2STG_OUT</v>
          </cell>
          <cell r="B157" t="str">
            <v>VAR_fout</v>
          </cell>
          <cell r="C157" t="str">
            <v>STG-H2</v>
          </cell>
          <cell r="I157">
            <v>1.4114557093983741E-5</v>
          </cell>
          <cell r="J157">
            <v>2.1404511080191294E-5</v>
          </cell>
          <cell r="K157">
            <v>3.6337774619635167E-5</v>
          </cell>
        </row>
        <row r="158">
          <cell r="A158" t="str">
            <v>AUX_H2STG_OUT</v>
          </cell>
          <cell r="B158" t="str">
            <v>VAR_fout</v>
          </cell>
          <cell r="C158" t="str">
            <v>STG-H2</v>
          </cell>
          <cell r="I158">
            <v>1.0043928256431036E-5</v>
          </cell>
          <cell r="J158">
            <v>1.4121919977330374E-5</v>
          </cell>
          <cell r="K158">
            <v>5.5678860626461106E-5</v>
          </cell>
        </row>
        <row r="159">
          <cell r="A159" t="str">
            <v>RNGA</v>
          </cell>
          <cell r="B159" t="str">
            <v>VAR_fout</v>
          </cell>
          <cell r="C159" t="str">
            <v>D-RNGA</v>
          </cell>
          <cell r="I159">
            <v>30.355967301929955</v>
          </cell>
          <cell r="J159">
            <v>21.817306641433529</v>
          </cell>
          <cell r="K159">
            <v>14.838806570075732</v>
          </cell>
        </row>
        <row r="160">
          <cell r="A160" t="str">
            <v>CWOD</v>
          </cell>
          <cell r="B160" t="str">
            <v>VAR_fout</v>
          </cell>
          <cell r="C160" t="str">
            <v>D-CWOD</v>
          </cell>
          <cell r="I160">
            <v>4.0867759536957848</v>
          </cell>
          <cell r="J160">
            <v>5.6123135534366062</v>
          </cell>
          <cell r="K160">
            <v>5.0032671220269647</v>
          </cell>
        </row>
        <row r="161">
          <cell r="A161" t="str">
            <v>CWOD</v>
          </cell>
          <cell r="B161" t="str">
            <v>VAR_fin</v>
          </cell>
          <cell r="C161" t="str">
            <v>SUP_WODH2</v>
          </cell>
          <cell r="I161">
            <v>1.2690937676023359</v>
          </cell>
          <cell r="J161">
            <v>2.4081578224389784</v>
          </cell>
          <cell r="K161">
            <v>1.9160571227363981</v>
          </cell>
        </row>
        <row r="162">
          <cell r="A162" t="str">
            <v>CWOD</v>
          </cell>
          <cell r="B162" t="str">
            <v>VAR_fin</v>
          </cell>
          <cell r="C162" t="str">
            <v>SUP_WODBIO</v>
          </cell>
          <cell r="I162">
            <v>3.3098345824402641E-4</v>
          </cell>
          <cell r="J162">
            <v>1.4474890684687113E-3</v>
          </cell>
          <cell r="K162">
            <v>1.4568414937056889E-3</v>
          </cell>
        </row>
        <row r="163">
          <cell r="A163" t="str">
            <v>CWOD</v>
          </cell>
          <cell r="B163" t="str">
            <v>VAR_fin</v>
          </cell>
          <cell r="C163" t="str">
            <v>CT_CWODBDS</v>
          </cell>
          <cell r="I163">
            <v>6.1733866865626916E-3</v>
          </cell>
          <cell r="J163">
            <v>4.5059279937435102E-2</v>
          </cell>
          <cell r="K163">
            <v>4.0754301369062829E-2</v>
          </cell>
        </row>
        <row r="164">
          <cell r="A164" t="str">
            <v>CWOD</v>
          </cell>
          <cell r="B164" t="str">
            <v>VAR_fin</v>
          </cell>
          <cell r="C164" t="str">
            <v>CT_CWODPLT</v>
          </cell>
          <cell r="I164">
            <v>2.8109579351191285</v>
          </cell>
          <cell r="J164">
            <v>3.1571299560551003</v>
          </cell>
          <cell r="K164">
            <v>3.0447645721331691</v>
          </cell>
        </row>
        <row r="165">
          <cell r="A165" t="str">
            <v>CWOD</v>
          </cell>
          <cell r="B165" t="str">
            <v>VAR_fin</v>
          </cell>
          <cell r="C165" t="str">
            <v>CT_CWODETH</v>
          </cell>
          <cell r="I165">
            <v>2.1988082951128972E-4</v>
          </cell>
          <cell r="J165">
            <v>5.1900593662484486E-4</v>
          </cell>
          <cell r="K165">
            <v>2.6227302325831052E-4</v>
          </cell>
        </row>
        <row r="166">
          <cell r="A166" t="str">
            <v>KER</v>
          </cell>
          <cell r="B166" t="str">
            <v>VAR_fout</v>
          </cell>
          <cell r="C166" t="str">
            <v>SUP_H2DSL</v>
          </cell>
          <cell r="J166">
            <v>2.4441543785281249E-2</v>
          </cell>
        </row>
        <row r="167">
          <cell r="A167" t="str">
            <v>BDS</v>
          </cell>
          <cell r="B167" t="str">
            <v>VAR_fout</v>
          </cell>
          <cell r="C167" t="str">
            <v>IMPBDS</v>
          </cell>
          <cell r="I167">
            <v>3.1592768214523779</v>
          </cell>
          <cell r="J167">
            <v>3.1447748718929827</v>
          </cell>
          <cell r="K167">
            <v>4.3217181508357925</v>
          </cell>
        </row>
        <row r="168">
          <cell r="A168" t="str">
            <v>BDS</v>
          </cell>
          <cell r="B168" t="str">
            <v>VAR_fout</v>
          </cell>
          <cell r="C168" t="str">
            <v>CT_CWODBDS</v>
          </cell>
          <cell r="I168">
            <v>2.1664806761055246E-3</v>
          </cell>
          <cell r="J168">
            <v>1.5813047881184455E-2</v>
          </cell>
          <cell r="K168">
            <v>1.4302264035466878E-2</v>
          </cell>
        </row>
        <row r="169">
          <cell r="A169" t="str">
            <v>BDS</v>
          </cell>
          <cell r="B169" t="str">
            <v>VAR_fin</v>
          </cell>
          <cell r="C169" t="str">
            <v>D-ILFO</v>
          </cell>
          <cell r="I169">
            <v>0.1424560119553967</v>
          </cell>
          <cell r="J169">
            <v>0.14245720138500653</v>
          </cell>
          <cell r="K169">
            <v>0.2577821145806492</v>
          </cell>
        </row>
        <row r="170">
          <cell r="A170" t="str">
            <v>BDS</v>
          </cell>
          <cell r="B170" t="str">
            <v>VAR_fin</v>
          </cell>
          <cell r="C170" t="str">
            <v>D-SLFO</v>
          </cell>
          <cell r="I170">
            <v>5.3857779789268036E-4</v>
          </cell>
          <cell r="J170">
            <v>3.5943671533861249E-4</v>
          </cell>
          <cell r="K170">
            <v>0.4295118631484568</v>
          </cell>
        </row>
        <row r="171">
          <cell r="A171" t="str">
            <v>BDS</v>
          </cell>
          <cell r="B171" t="str">
            <v>VAR_fin</v>
          </cell>
          <cell r="C171" t="str">
            <v>D-RLFO</v>
          </cell>
          <cell r="I171">
            <v>5.3910282527917027E-4</v>
          </cell>
          <cell r="J171">
            <v>3.6074385461533045E-4</v>
          </cell>
          <cell r="K171">
            <v>0.58717878181186867</v>
          </cell>
        </row>
        <row r="172">
          <cell r="A172" t="str">
            <v>BDS</v>
          </cell>
          <cell r="B172" t="str">
            <v>VAR_fin</v>
          </cell>
          <cell r="C172" t="str">
            <v>D-TBDS1</v>
          </cell>
          <cell r="I172">
            <v>3.0179181753449162</v>
          </cell>
          <cell r="J172">
            <v>3.0174188519524527</v>
          </cell>
          <cell r="K172">
            <v>3.0615558605934727</v>
          </cell>
        </row>
        <row r="173">
          <cell r="A173" t="str">
            <v>BIO</v>
          </cell>
          <cell r="B173" t="str">
            <v>VAR_fout</v>
          </cell>
          <cell r="C173" t="str">
            <v>SUP_WSTHTGBIO</v>
          </cell>
          <cell r="J173">
            <v>0.10120804326279967</v>
          </cell>
          <cell r="K173">
            <v>0.11849380978026235</v>
          </cell>
        </row>
        <row r="174">
          <cell r="A174" t="str">
            <v>BIO</v>
          </cell>
          <cell r="B174" t="str">
            <v>VAR_fout</v>
          </cell>
          <cell r="C174" t="str">
            <v>SUP_WSTBIO</v>
          </cell>
          <cell r="I174">
            <v>7.6579787332932767</v>
          </cell>
          <cell r="J174">
            <v>8.4080587857794207</v>
          </cell>
          <cell r="K174">
            <v>9.8447120167063389</v>
          </cell>
        </row>
        <row r="175">
          <cell r="A175" t="str">
            <v>BIO</v>
          </cell>
          <cell r="B175" t="str">
            <v>VAR_fout</v>
          </cell>
          <cell r="C175" t="str">
            <v>D-LBIO</v>
          </cell>
          <cell r="I175">
            <v>7.1147672388947988E-4</v>
          </cell>
          <cell r="J175">
            <v>3.2637580077072849E-4</v>
          </cell>
        </row>
        <row r="176">
          <cell r="A176" t="str">
            <v>BIO</v>
          </cell>
          <cell r="B176" t="str">
            <v>VAR_fout</v>
          </cell>
          <cell r="C176" t="str">
            <v>SUP_MNRBIO</v>
          </cell>
          <cell r="I176">
            <v>4.3847660007064286</v>
          </cell>
          <cell r="J176">
            <v>5.1162530791975387</v>
          </cell>
          <cell r="K176">
            <v>5.116255919253069</v>
          </cell>
        </row>
        <row r="177">
          <cell r="A177" t="str">
            <v>BIO</v>
          </cell>
          <cell r="B177" t="str">
            <v>VAR_fout</v>
          </cell>
          <cell r="C177" t="str">
            <v>SUP_WODBIO</v>
          </cell>
          <cell r="I177">
            <v>2.4517293203261216E-4</v>
          </cell>
          <cell r="J177">
            <v>1.0722141247916372E-3</v>
          </cell>
          <cell r="K177">
            <v>1.0791418471893977E-3</v>
          </cell>
        </row>
        <row r="178">
          <cell r="A178" t="str">
            <v>BIO</v>
          </cell>
          <cell r="B178" t="str">
            <v>VAR_fin</v>
          </cell>
          <cell r="C178" t="str">
            <v>D-IBIO</v>
          </cell>
          <cell r="I178">
            <v>3.2308088950196003</v>
          </cell>
          <cell r="J178">
            <v>3.2308108102816564</v>
          </cell>
          <cell r="K178">
            <v>4.3332886279920011</v>
          </cell>
        </row>
        <row r="179">
          <cell r="A179" t="str">
            <v>BIO</v>
          </cell>
          <cell r="B179" t="str">
            <v>VAR_fin</v>
          </cell>
          <cell r="C179" t="str">
            <v>D-EBIO</v>
          </cell>
          <cell r="I179">
            <v>1.1839843476316729</v>
          </cell>
          <cell r="J179">
            <v>1.1839824122982492</v>
          </cell>
          <cell r="K179">
            <v>1.1863319308978408</v>
          </cell>
        </row>
        <row r="180">
          <cell r="A180" t="str">
            <v>BIO</v>
          </cell>
          <cell r="B180" t="str">
            <v>VAR_fin</v>
          </cell>
          <cell r="C180" t="str">
            <v>D-CBIO</v>
          </cell>
          <cell r="I180">
            <v>5.8961147794228221</v>
          </cell>
          <cell r="J180">
            <v>7.6390478236157895</v>
          </cell>
          <cell r="K180">
            <v>8.1099428275736809</v>
          </cell>
        </row>
        <row r="181">
          <cell r="A181" t="str">
            <v>BIO</v>
          </cell>
          <cell r="B181" t="str">
            <v>VAR_fin</v>
          </cell>
          <cell r="C181" t="str">
            <v>D-SBIO</v>
          </cell>
          <cell r="I181">
            <v>3.0028042014910188</v>
          </cell>
          <cell r="J181">
            <v>2.9495790756731139</v>
          </cell>
          <cell r="K181">
            <v>2.8714870700603945</v>
          </cell>
        </row>
        <row r="182">
          <cell r="A182" t="str">
            <v>TKERintl_SAF</v>
          </cell>
          <cell r="B182" t="str">
            <v>VAR_fout</v>
          </cell>
          <cell r="C182" t="str">
            <v>D-TBDS1intl</v>
          </cell>
          <cell r="I182">
            <v>16.4685843309259</v>
          </cell>
          <cell r="J182">
            <v>27.050436183173598</v>
          </cell>
          <cell r="K182">
            <v>74.082841312771805</v>
          </cell>
        </row>
        <row r="183">
          <cell r="A183" t="str">
            <v>EBIO</v>
          </cell>
          <cell r="B183" t="str">
            <v>VAR_fout</v>
          </cell>
          <cell r="C183" t="str">
            <v>D-EBIO</v>
          </cell>
          <cell r="I183">
            <v>1.1839843476316729</v>
          </cell>
          <cell r="J183">
            <v>1.1839824122982492</v>
          </cell>
          <cell r="K183">
            <v>1.1863319308978408</v>
          </cell>
        </row>
        <row r="184">
          <cell r="A184" t="str">
            <v>PLT</v>
          </cell>
          <cell r="B184" t="str">
            <v>VAR_fout</v>
          </cell>
          <cell r="C184" t="str">
            <v>CT_CWODPLT</v>
          </cell>
          <cell r="I184">
            <v>2.3612046655000709</v>
          </cell>
          <cell r="J184">
            <v>2.6519891630862831</v>
          </cell>
          <cell r="K184">
            <v>2.5576022405918613</v>
          </cell>
        </row>
        <row r="185">
          <cell r="A185" t="str">
            <v>SLFO</v>
          </cell>
          <cell r="B185" t="str">
            <v>VAR_fout</v>
          </cell>
          <cell r="C185" t="str">
            <v>D-SLFO</v>
          </cell>
          <cell r="I185">
            <v>11.151098101020022</v>
          </cell>
          <cell r="J185">
            <v>5.4347401948675751</v>
          </cell>
          <cell r="K185">
            <v>0.42234150431951573</v>
          </cell>
        </row>
        <row r="186">
          <cell r="A186" t="str">
            <v>ETH</v>
          </cell>
          <cell r="B186" t="str">
            <v>VAR_fout</v>
          </cell>
          <cell r="C186" t="str">
            <v>IMPETH</v>
          </cell>
          <cell r="I186">
            <v>1.4002000568921704</v>
          </cell>
          <cell r="J186">
            <v>1.2575291909690842</v>
          </cell>
          <cell r="K186">
            <v>9.2687702175031209E-2</v>
          </cell>
        </row>
        <row r="187">
          <cell r="A187" t="str">
            <v>ETH</v>
          </cell>
          <cell r="B187" t="str">
            <v>VAR_fout</v>
          </cell>
          <cell r="C187" t="str">
            <v>CT_CWODETH</v>
          </cell>
          <cell r="I187">
            <v>1.0520613852214823E-4</v>
          </cell>
          <cell r="J187">
            <v>2.4832819934203124E-4</v>
          </cell>
          <cell r="K187">
            <v>1.2548948481258884E-4</v>
          </cell>
        </row>
        <row r="188">
          <cell r="A188" t="str">
            <v>ETH</v>
          </cell>
          <cell r="B188" t="str">
            <v>VAR_fin</v>
          </cell>
          <cell r="C188" t="str">
            <v>D-TGSL</v>
          </cell>
          <cell r="I188">
            <v>1.4003052630306918</v>
          </cell>
          <cell r="J188">
            <v>1.2577775191684266</v>
          </cell>
          <cell r="K188">
            <v>9.2813191659843627E-2</v>
          </cell>
        </row>
        <row r="189">
          <cell r="A189" t="str">
            <v>TGSL</v>
          </cell>
          <cell r="B189" t="str">
            <v>VAR_fout</v>
          </cell>
          <cell r="C189" t="str">
            <v>D-TGSL</v>
          </cell>
          <cell r="I189">
            <v>18.203633618720591</v>
          </cell>
          <cell r="J189">
            <v>6.0159375620724598</v>
          </cell>
          <cell r="K189">
            <v>0.91997040501714322</v>
          </cell>
        </row>
        <row r="190">
          <cell r="A190" t="str">
            <v>RLFO</v>
          </cell>
          <cell r="B190" t="str">
            <v>VAR_fout</v>
          </cell>
          <cell r="C190" t="str">
            <v>D-RLFO</v>
          </cell>
          <cell r="I190">
            <v>15.6058838640565</v>
          </cell>
          <cell r="J190">
            <v>5.9873607307575076</v>
          </cell>
          <cell r="K190">
            <v>0.57737364924000012</v>
          </cell>
        </row>
        <row r="191">
          <cell r="A191" t="str">
            <v>CELC_E</v>
          </cell>
          <cell r="B191" t="str">
            <v>VAR_fout</v>
          </cell>
          <cell r="C191" t="str">
            <v>ESOL-PV_E</v>
          </cell>
          <cell r="I191">
            <v>5.015844597979558E-4</v>
          </cell>
          <cell r="J191">
            <v>22.727243360013862</v>
          </cell>
          <cell r="K191">
            <v>22.727245273793113</v>
          </cell>
        </row>
        <row r="192">
          <cell r="A192" t="str">
            <v>CELC_E</v>
          </cell>
          <cell r="B192" t="str">
            <v>VAR_fin</v>
          </cell>
          <cell r="C192" t="str">
            <v>SUP_ELCH2_D</v>
          </cell>
          <cell r="I192">
            <v>5.015844597979558E-4</v>
          </cell>
          <cell r="J192">
            <v>22.727243360013862</v>
          </cell>
          <cell r="K192">
            <v>22.727245273793109</v>
          </cell>
        </row>
        <row r="193">
          <cell r="A193" t="str">
            <v>CBIO</v>
          </cell>
          <cell r="B193" t="str">
            <v>VAR_fout</v>
          </cell>
          <cell r="C193" t="str">
            <v>D-CBIO</v>
          </cell>
          <cell r="I193">
            <v>5.8961147794228221</v>
          </cell>
          <cell r="J193">
            <v>7.6390478236157895</v>
          </cell>
          <cell r="K193">
            <v>8.1099428275736809</v>
          </cell>
        </row>
        <row r="194">
          <cell r="A194" t="str">
            <v>CBIO</v>
          </cell>
          <cell r="B194" t="str">
            <v>VAR_fin</v>
          </cell>
          <cell r="C194" t="str">
            <v>SUP_BIONGA</v>
          </cell>
          <cell r="I194">
            <v>5.8961147794228221</v>
          </cell>
          <cell r="J194">
            <v>7.6390478236157895</v>
          </cell>
          <cell r="K194">
            <v>8.1099428275736809</v>
          </cell>
        </row>
        <row r="195">
          <cell r="A195" t="str">
            <v>RSH2</v>
          </cell>
          <cell r="B195" t="str">
            <v>VAR_fout</v>
          </cell>
          <cell r="C195" t="str">
            <v>D-SNGA</v>
          </cell>
          <cell r="I195">
            <v>1.9673835599219153E-3</v>
          </cell>
          <cell r="J195">
            <v>4.5001975508082567E-3</v>
          </cell>
          <cell r="K195">
            <v>2.1673110263949274E-3</v>
          </cell>
        </row>
        <row r="196">
          <cell r="A196" t="str">
            <v>RSH2</v>
          </cell>
          <cell r="B196" t="str">
            <v>VAR_fout</v>
          </cell>
          <cell r="C196" t="str">
            <v>D-RNGA</v>
          </cell>
          <cell r="I196">
            <v>3.4142735155024227E-3</v>
          </cell>
          <cell r="J196">
            <v>1.2301108454400075E-2</v>
          </cell>
          <cell r="K196">
            <v>7.7868716919802699E-3</v>
          </cell>
        </row>
        <row r="197">
          <cell r="A197" t="str">
            <v>LTH</v>
          </cell>
          <cell r="B197" t="str">
            <v>VAR_fout</v>
          </cell>
          <cell r="C197" t="str">
            <v>SUP_WODBIO</v>
          </cell>
          <cell r="I197">
            <v>2.9420751843913464E-5</v>
          </cell>
          <cell r="J197">
            <v>1.2866569497499647E-4</v>
          </cell>
          <cell r="K197">
            <v>1.2949702166272783E-4</v>
          </cell>
        </row>
        <row r="198">
          <cell r="A198" t="str">
            <v>LTH</v>
          </cell>
          <cell r="B198" t="str">
            <v>VAR_fout</v>
          </cell>
          <cell r="C198" t="str">
            <v>CT_CWODBDS</v>
          </cell>
          <cell r="I198">
            <v>8.4492746368115346E-4</v>
          </cell>
          <cell r="J198">
            <v>6.1670886736619294E-3</v>
          </cell>
          <cell r="K198">
            <v>5.5778829738320698E-3</v>
          </cell>
        </row>
        <row r="199">
          <cell r="A199" t="str">
            <v>LTH</v>
          </cell>
          <cell r="B199" t="str">
            <v>VAR_fin</v>
          </cell>
          <cell r="C199" t="str">
            <v>D-CHEAT</v>
          </cell>
          <cell r="J199">
            <v>1.8089317522969962E-4</v>
          </cell>
          <cell r="K199">
            <v>4.6882346090123709E-4</v>
          </cell>
        </row>
        <row r="200">
          <cell r="A200" t="str">
            <v>LNGA</v>
          </cell>
          <cell r="B200" t="str">
            <v>VAR_fin</v>
          </cell>
          <cell r="C200" t="str">
            <v>D-LNGA</v>
          </cell>
          <cell r="I200">
            <v>1.9334387044852906E-3</v>
          </cell>
          <cell r="J200">
            <v>1.4426594052532166E-3</v>
          </cell>
        </row>
        <row r="201">
          <cell r="A201" t="str">
            <v>IH2</v>
          </cell>
          <cell r="B201" t="str">
            <v>VAR_fout</v>
          </cell>
          <cell r="C201" t="str">
            <v>D-INGA</v>
          </cell>
          <cell r="I201">
            <v>0.35852568494749837</v>
          </cell>
          <cell r="J201">
            <v>0.1768690695880005</v>
          </cell>
          <cell r="K201">
            <v>0.11794380675988057</v>
          </cell>
        </row>
        <row r="202">
          <cell r="A202" t="str">
            <v>WHEAT</v>
          </cell>
          <cell r="B202" t="str">
            <v>VAR_fin</v>
          </cell>
          <cell r="C202" t="str">
            <v>D-CHEAT</v>
          </cell>
          <cell r="J202">
            <v>2.0005357937820747E-3</v>
          </cell>
          <cell r="K202">
            <v>1.2716752441691028E-3</v>
          </cell>
        </row>
        <row r="203">
          <cell r="A203" t="str">
            <v>SOL</v>
          </cell>
          <cell r="B203" t="str">
            <v>VAR_fin</v>
          </cell>
          <cell r="C203" t="str">
            <v>ESOL-PV_A</v>
          </cell>
          <cell r="I203">
            <v>0.49011877176409713</v>
          </cell>
          <cell r="J203">
            <v>0.49011876593904707</v>
          </cell>
          <cell r="K203">
            <v>10.799990534625161</v>
          </cell>
        </row>
        <row r="204">
          <cell r="A204" t="str">
            <v>SOL</v>
          </cell>
          <cell r="B204" t="str">
            <v>VAR_fin</v>
          </cell>
          <cell r="C204" t="str">
            <v>ESOL-PV_E</v>
          </cell>
          <cell r="I204">
            <v>5.015844597979558E-4</v>
          </cell>
          <cell r="J204">
            <v>22.727243360013862</v>
          </cell>
          <cell r="K204">
            <v>22.727245273793113</v>
          </cell>
        </row>
        <row r="205">
          <cell r="A205" t="str">
            <v>TKER</v>
          </cell>
          <cell r="B205" t="str">
            <v>VAR_fout</v>
          </cell>
          <cell r="C205" t="str">
            <v>D-TBDS1</v>
          </cell>
          <cell r="I205">
            <v>1.5051276249236599E-3</v>
          </cell>
          <cell r="J205">
            <v>1.0923128335477001E-3</v>
          </cell>
          <cell r="K205">
            <v>1.6907774648373699</v>
          </cell>
        </row>
        <row r="206">
          <cell r="A206" t="str">
            <v>BDS1</v>
          </cell>
          <cell r="B206" t="str">
            <v>VAR_fout</v>
          </cell>
          <cell r="C206" t="str">
            <v>IMPBDS1</v>
          </cell>
          <cell r="I206">
            <v>16.4685843309259</v>
          </cell>
          <cell r="J206">
            <v>27.050436183173598</v>
          </cell>
          <cell r="K206">
            <v>74.082841312771805</v>
          </cell>
        </row>
        <row r="207">
          <cell r="A207" t="str">
            <v>BDS1</v>
          </cell>
          <cell r="B207" t="str">
            <v>VAR_fin</v>
          </cell>
          <cell r="C207" t="str">
            <v>D-TBDS1intl</v>
          </cell>
          <cell r="I207">
            <v>16.4685843309259</v>
          </cell>
          <cell r="J207">
            <v>27.050436183173598</v>
          </cell>
          <cell r="K207">
            <v>74.082841312771805</v>
          </cell>
        </row>
        <row r="208">
          <cell r="A208" t="str">
            <v>CELC</v>
          </cell>
          <cell r="B208" t="str">
            <v>VAR_fout</v>
          </cell>
          <cell r="C208" t="str">
            <v>D-CELC</v>
          </cell>
          <cell r="I208">
            <v>11.998581169155836</v>
          </cell>
          <cell r="J208">
            <v>24.010337812840998</v>
          </cell>
          <cell r="K208">
            <v>26.62840575496687</v>
          </cell>
        </row>
        <row r="209">
          <cell r="A209" t="str">
            <v>CELC</v>
          </cell>
          <cell r="B209" t="str">
            <v>VAR_fin</v>
          </cell>
          <cell r="C209" t="str">
            <v>SUP_H2NGA</v>
          </cell>
          <cell r="J209">
            <v>0.40168860800043571</v>
          </cell>
          <cell r="K209">
            <v>0.43034619701698523</v>
          </cell>
        </row>
        <row r="210">
          <cell r="A210" t="str">
            <v>CELC</v>
          </cell>
          <cell r="B210" t="str">
            <v>VAR_fin</v>
          </cell>
          <cell r="C210" t="str">
            <v>SUP_ELCH2_SOEC</v>
          </cell>
          <cell r="J210">
            <v>1.4412262083084512E-2</v>
          </cell>
          <cell r="K210">
            <v>1.5124932421069505E-2</v>
          </cell>
        </row>
        <row r="211">
          <cell r="A211" t="str">
            <v>CELC</v>
          </cell>
          <cell r="B211" t="str">
            <v>VAR_fin</v>
          </cell>
          <cell r="C211" t="str">
            <v>SUP_ELCH2</v>
          </cell>
          <cell r="I211">
            <v>11.998258060681684</v>
          </cell>
          <cell r="J211">
            <v>23.592726127248348</v>
          </cell>
          <cell r="K211">
            <v>26.181726730956818</v>
          </cell>
        </row>
        <row r="212">
          <cell r="A212" t="str">
            <v>CELC</v>
          </cell>
          <cell r="B212" t="str">
            <v>VAR_fin</v>
          </cell>
          <cell r="C212" t="str">
            <v>CT_CWODBDS</v>
          </cell>
          <cell r="I212">
            <v>1.5057040698933407E-4</v>
          </cell>
          <cell r="J212">
            <v>1.0990068277423198E-3</v>
          </cell>
          <cell r="K212">
            <v>9.9400735046494709E-4</v>
          </cell>
        </row>
        <row r="213">
          <cell r="A213" t="str">
            <v>CELC</v>
          </cell>
          <cell r="B213" t="str">
            <v>VAR_fin</v>
          </cell>
          <cell r="C213" t="str">
            <v>CT_CWODETH</v>
          </cell>
          <cell r="I213">
            <v>1.7253806717632323E-4</v>
          </cell>
          <cell r="J213">
            <v>4.0725824692093088E-4</v>
          </cell>
          <cell r="K213">
            <v>2.0580275509264571E-4</v>
          </cell>
        </row>
        <row r="214">
          <cell r="A214" t="str">
            <v>CELC</v>
          </cell>
          <cell r="B214" t="str">
            <v>VAR_fin</v>
          </cell>
          <cell r="C214" t="str">
            <v>SUP_DAC</v>
          </cell>
          <cell r="J214">
            <v>4.5504344765706374E-6</v>
          </cell>
          <cell r="K214">
            <v>8.084466427126017E-6</v>
          </cell>
        </row>
        <row r="215">
          <cell r="A215" t="str">
            <v>SBIO</v>
          </cell>
          <cell r="B215" t="str">
            <v>VAR_fout</v>
          </cell>
          <cell r="C215" t="str">
            <v>D-SBIO</v>
          </cell>
          <cell r="I215">
            <v>3.0028042014910188</v>
          </cell>
          <cell r="J215">
            <v>2.9495790756731139</v>
          </cell>
          <cell r="K215">
            <v>2.8714870700603945</v>
          </cell>
        </row>
        <row r="216">
          <cell r="A216" t="str">
            <v>INGA</v>
          </cell>
          <cell r="B216" t="str">
            <v>VAR_fout</v>
          </cell>
          <cell r="C216" t="str">
            <v>D-INGA</v>
          </cell>
          <cell r="I216">
            <v>12.185156765653545</v>
          </cell>
          <cell r="J216">
            <v>5.7021968152099705</v>
          </cell>
          <cell r="K216">
            <v>3.8019043951424334</v>
          </cell>
        </row>
        <row r="217">
          <cell r="A217" t="str">
            <v>DSL</v>
          </cell>
          <cell r="B217" t="str">
            <v>VAR_fout</v>
          </cell>
          <cell r="C217" t="str">
            <v>SUP_H2DSL</v>
          </cell>
          <cell r="J217">
            <v>0.20258031911331104</v>
          </cell>
          <cell r="K217">
            <v>1.3208588641722216</v>
          </cell>
        </row>
        <row r="218">
          <cell r="A218" t="str">
            <v>WSTREN</v>
          </cell>
          <cell r="B218" t="str">
            <v>VAR_fin</v>
          </cell>
          <cell r="C218" t="str">
            <v>D-CWST</v>
          </cell>
          <cell r="I218">
            <v>13.167347433416829</v>
          </cell>
          <cell r="J218">
            <v>14.601620143619916</v>
          </cell>
          <cell r="K218">
            <v>17.096519029823433</v>
          </cell>
        </row>
        <row r="219">
          <cell r="A219" t="str">
            <v>SOLPVC</v>
          </cell>
          <cell r="B219" t="str">
            <v>VAR_fin</v>
          </cell>
          <cell r="C219" t="str">
            <v>ESOL-PV_A</v>
          </cell>
          <cell r="I219">
            <v>0.49011877176409702</v>
          </cell>
          <cell r="J219">
            <v>0.49011876593904702</v>
          </cell>
          <cell r="K219">
            <v>10.7999905346252</v>
          </cell>
        </row>
        <row r="220">
          <cell r="A220" t="str">
            <v>SOLPVC</v>
          </cell>
          <cell r="B220" t="str">
            <v>VAR_fin</v>
          </cell>
          <cell r="C220" t="str">
            <v>ESOL-PV_E</v>
          </cell>
          <cell r="I220">
            <v>5.0158445979795504E-4</v>
          </cell>
          <cell r="J220">
            <v>22.727243360013901</v>
          </cell>
          <cell r="K220">
            <v>22.727245273793098</v>
          </cell>
        </row>
        <row r="221">
          <cell r="A221" t="str">
            <v>KERintl</v>
          </cell>
          <cell r="B221" t="str">
            <v>VAR_fout</v>
          </cell>
          <cell r="C221" t="str">
            <v>SUP_H2DSL</v>
          </cell>
          <cell r="J221">
            <v>6.23565511623057E-2</v>
          </cell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H8">
            <v>0.32150083881543245</v>
          </cell>
          <cell r="I8">
            <v>0.18045723233849781</v>
          </cell>
          <cell r="J8">
            <v>7.6097849831011297E-3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H9">
            <v>6.5759908934537618E-4</v>
          </cell>
          <cell r="I9">
            <v>3.7565951067419827E-4</v>
          </cell>
          <cell r="J9">
            <v>1.633252566973867E-5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H10">
            <v>5.7003694825431229E-3</v>
          </cell>
          <cell r="I10">
            <v>3.1995963180584727E-3</v>
          </cell>
          <cell r="J10">
            <v>1.3492526565782147E-4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H11">
            <v>1.0348977710444499E-5</v>
          </cell>
          <cell r="I11">
            <v>2.0407596750767301E-6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H12">
            <v>1.2836341555438299E-5</v>
          </cell>
          <cell r="I12">
            <v>9.0981300592716359E-6</v>
          </cell>
          <cell r="J12">
            <v>3.5813013244310299E-7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H13">
            <v>2.0157397244618958E-3</v>
          </cell>
          <cell r="I13">
            <v>1.1904003283835646E-3</v>
          </cell>
          <cell r="J13">
            <v>2.1480287730529378E-4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H14">
            <v>2.0157397244618958E-3</v>
          </cell>
          <cell r="I14">
            <v>1.1904003283835646E-3</v>
          </cell>
          <cell r="J14">
            <v>2.1480287730529378E-4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H15">
            <v>1.2803627968469499E-4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H16">
            <v>2.9981912038876276E-4</v>
          </cell>
          <cell r="I16">
            <v>1.7803967431513176E-4</v>
          </cell>
          <cell r="J16">
            <v>3.1957668874921344E-5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H17">
            <v>0.48908304896572696</v>
          </cell>
          <cell r="I17">
            <v>1.4508319969273296</v>
          </cell>
          <cell r="J17">
            <v>2.7093953480253785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H18">
            <v>1.6100693209295085</v>
          </cell>
          <cell r="I18">
            <v>4.6124200333884744</v>
          </cell>
          <cell r="J18">
            <v>8.0116856633553937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H19">
            <v>8.3514103926179903E-3</v>
          </cell>
          <cell r="I19">
            <v>2.15897829330183E-2</v>
          </cell>
          <cell r="J19">
            <v>4.9282645817089597E-2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H20">
            <v>9.2032100064299294E-3</v>
          </cell>
          <cell r="I20">
            <v>2.7293681897493399E-2</v>
          </cell>
          <cell r="J20">
            <v>5.3071407382524298E-2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H21">
            <v>1.8068455531037489E-2</v>
          </cell>
          <cell r="I21">
            <v>7.2027185645193561E-3</v>
          </cell>
          <cell r="J21">
            <v>1.9152203039999485E-3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H22">
            <v>1.8068455531037489E-2</v>
          </cell>
          <cell r="I22">
            <v>7.2027185645193561E-3</v>
          </cell>
          <cell r="J22">
            <v>1.9152203039999485E-3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H23">
            <v>8.0065617092131699E-4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H24">
            <v>1.8636575779545357E-3</v>
          </cell>
          <cell r="I24">
            <v>7.5232638745972955E-4</v>
          </cell>
          <cell r="J24">
            <v>1.9986984231500944E-4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H25">
            <v>55.851185216827012</v>
          </cell>
          <cell r="I25">
            <v>69.555387931756911</v>
          </cell>
          <cell r="J25">
            <v>75.484893019011579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5.6196362433528402E-5</v>
          </cell>
          <cell r="I26">
            <v>4.7404212680358E-2</v>
          </cell>
          <cell r="J26">
            <v>4.7356863108689203E-2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H27">
            <v>12.439890096457342</v>
          </cell>
          <cell r="I27">
            <v>23.097378749158498</v>
          </cell>
          <cell r="J27">
            <v>24.769500811536385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H28">
            <v>0.15437078943770699</v>
          </cell>
          <cell r="I28">
            <v>4.0872526434626952E-2</v>
          </cell>
          <cell r="J28">
            <v>0.44837762007204868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H29">
            <v>1.2237623357090033</v>
          </cell>
          <cell r="I29">
            <v>11.001593197767862</v>
          </cell>
          <cell r="J29">
            <v>13.74171771956386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H30">
            <v>42.033232374399937</v>
          </cell>
          <cell r="I30">
            <v>35.462966107581316</v>
          </cell>
          <cell r="J30">
            <v>36.572667764553486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H31">
            <v>9.9977074875091283</v>
          </cell>
          <cell r="I31">
            <v>5.6226626791795926</v>
          </cell>
          <cell r="J31">
            <v>1.5272821675678239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H32">
            <v>9.9977074875091283</v>
          </cell>
          <cell r="I32">
            <v>5.6226626791795926</v>
          </cell>
          <cell r="J32">
            <v>1.5272821675678239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H33">
            <v>0.42073585691122201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H34">
            <v>0.68744593973451795</v>
          </cell>
          <cell r="I34">
            <v>0.48071588113125557</v>
          </cell>
          <cell r="J34">
            <v>0.10503094742286501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H35">
            <v>2.0622430440147502E-3</v>
          </cell>
          <cell r="I35">
            <v>1.2184004137867519E-3</v>
          </cell>
          <cell r="J35">
            <v>2.1709748979267858E-4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H36">
            <v>2.0622430440147502E-3</v>
          </cell>
          <cell r="I36">
            <v>1.2184004137867519E-3</v>
          </cell>
          <cell r="J36">
            <v>2.1709748979267858E-4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H37">
            <v>1.2950055208219501E-4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H38">
            <v>3.0689673953589067E-4</v>
          </cell>
          <cell r="I38">
            <v>1.8229545634438718E-4</v>
          </cell>
          <cell r="J38">
            <v>3.2323077074964821E-5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H39">
            <v>2.375065935919568E-2</v>
          </cell>
          <cell r="I39">
            <v>4.0055383578652144E-3</v>
          </cell>
          <cell r="J39">
            <v>9.2472212019788517E-4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H40">
            <v>2.375065935919568E-2</v>
          </cell>
          <cell r="I40">
            <v>4.0055383578652144E-3</v>
          </cell>
          <cell r="J40">
            <v>9.2472212019788517E-4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H41">
            <v>3.8330902529985599E-4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H42">
            <v>2.4612928625533529E-3</v>
          </cell>
          <cell r="I42">
            <v>4.3566811583275593E-4</v>
          </cell>
          <cell r="J42">
            <v>9.5685323681271432E-5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H43">
            <v>1.0941000464709329E-2</v>
          </cell>
          <cell r="I43">
            <v>8.4646478473206915E-3</v>
          </cell>
          <cell r="J43">
            <v>2.2476325140602482E-3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H44">
            <v>1.0941000464709329E-2</v>
          </cell>
          <cell r="I44">
            <v>8.4646478473206915E-3</v>
          </cell>
          <cell r="J44">
            <v>2.2476325140602482E-3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H45">
            <v>9.4177496366593301E-4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H46">
            <v>1.1236141307784486E-3</v>
          </cell>
          <cell r="I46">
            <v>8.8532628285402793E-4</v>
          </cell>
          <cell r="J46">
            <v>2.3509813354938888E-4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H47">
            <v>0.23259804492562927</v>
          </cell>
          <cell r="I47">
            <v>0.24502456607372844</v>
          </cell>
          <cell r="J47">
            <v>0.26339941923987076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H48">
            <v>9.2102053769306007</v>
          </cell>
          <cell r="I48">
            <v>9.7092795434126415</v>
          </cell>
          <cell r="J48">
            <v>10.452522610834562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H49">
            <v>1.33437895872154E-4</v>
          </cell>
          <cell r="I49">
            <v>1.3345555273557101E-4</v>
          </cell>
          <cell r="J49">
            <v>1.2803298383661399E-3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H50">
            <v>2.4975266691144929E-3</v>
          </cell>
          <cell r="I50">
            <v>2.630982221850064E-3</v>
          </cell>
          <cell r="J50">
            <v>2.8282773226372101E-3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H51">
            <v>7.2240363372366776</v>
          </cell>
          <cell r="I51">
            <v>4.0455478816182477</v>
          </cell>
          <cell r="J51">
            <v>1.0646272009934907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H52">
            <v>7.2240363372366776</v>
          </cell>
          <cell r="I52">
            <v>4.0455478816182477</v>
          </cell>
          <cell r="J52">
            <v>1.0646272009934907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H53">
            <v>0.29511392077575699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H54">
            <v>0.49672470735959501</v>
          </cell>
          <cell r="I54">
            <v>0.33910230215458603</v>
          </cell>
          <cell r="J54">
            <v>7.3671148121883204E-2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H55">
            <v>9.2577915060815166E-3</v>
          </cell>
          <cell r="I55">
            <v>4.3452032720426607E-3</v>
          </cell>
          <cell r="J55">
            <v>9.7985937731075168E-4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H56">
            <v>9.2577915060815166E-3</v>
          </cell>
          <cell r="I56">
            <v>4.3452032720426607E-3</v>
          </cell>
          <cell r="J56">
            <v>9.7985937731075168E-4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H57">
            <v>4.1651217681543801E-4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H58">
            <v>8.6281940133461031E-4</v>
          </cell>
          <cell r="I58">
            <v>4.7388629267815837E-4</v>
          </cell>
          <cell r="J58">
            <v>1.0397395406222381E-4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H59">
            <v>1.00121603267236E-8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H60">
            <v>3.9784225954226598E-8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H61">
            <v>1.8905458400869599E-8</v>
          </cell>
          <cell r="I61">
            <v>1.1047340161084101E-8</v>
          </cell>
          <cell r="J61">
            <v>1.20389249048948E-8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H62">
            <v>3.1295104852246299E-8</v>
          </cell>
          <cell r="I62">
            <v>2.23632072375521E-8</v>
          </cell>
          <cell r="J62">
            <v>2.08969175496878E-8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H63">
            <v>1.504347470748055E-3</v>
          </cell>
          <cell r="I63">
            <v>7.7669267543794868E-4</v>
          </cell>
          <cell r="J63">
            <v>1.0771011296576685E-4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H64">
            <v>0.15555903519591069</v>
          </cell>
          <cell r="I64">
            <v>7.6936211327611706E-2</v>
          </cell>
          <cell r="J64">
            <v>1.0220479204663981E-2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H65">
            <v>2.1078460053646428E-3</v>
          </cell>
          <cell r="I65">
            <v>1.0424960884500224E-3</v>
          </cell>
          <cell r="J65">
            <v>1.3848887811197799E-4</v>
          </cell>
        </row>
        <row r="66">
          <cell r="A66" t="str">
            <v>T_B_u-FCLH2O-S2</v>
          </cell>
          <cell r="B66" t="str">
            <v>VAR_ncap</v>
          </cell>
          <cell r="C66" t="str">
            <v>-</v>
          </cell>
        </row>
        <row r="67">
          <cell r="A67" t="str">
            <v>T_B_u-FCLH2O-S2</v>
          </cell>
          <cell r="B67" t="str">
            <v>VAR_cap</v>
          </cell>
          <cell r="C67" t="str">
            <v>-</v>
          </cell>
          <cell r="H67">
            <v>1.8572593273309967E-10</v>
          </cell>
          <cell r="I67">
            <v>-2.5487303014412012E-10</v>
          </cell>
        </row>
        <row r="68">
          <cell r="A68" t="str">
            <v>T-Plg-GSL-mix_S2</v>
          </cell>
          <cell r="B68" t="str">
            <v>VAR_fout</v>
          </cell>
          <cell r="C68" t="str">
            <v>CO2_T</v>
          </cell>
          <cell r="H68">
            <v>1.6050255489464988</v>
          </cell>
          <cell r="I68">
            <v>0.51724833965888528</v>
          </cell>
          <cell r="J68">
            <v>9.2779707702964495E-2</v>
          </cell>
        </row>
        <row r="69">
          <cell r="A69" t="str">
            <v>T-Plg-GSL-mix_S2</v>
          </cell>
          <cell r="B69" t="str">
            <v>VAR_fout</v>
          </cell>
          <cell r="C69" t="str">
            <v>T-PEVmix-ELC_GSL_S2</v>
          </cell>
          <cell r="H69">
            <v>1.2744862812902781E-2</v>
          </cell>
          <cell r="I69">
            <v>4.3353380310590219E-3</v>
          </cell>
          <cell r="J69">
            <v>8.1605459281470756E-4</v>
          </cell>
        </row>
        <row r="70">
          <cell r="A70" t="str">
            <v>T-Plg-GSL-mix_S2</v>
          </cell>
          <cell r="B70" t="str">
            <v>VAR_fin</v>
          </cell>
          <cell r="C70" t="str">
            <v>TGSL</v>
          </cell>
          <cell r="H70">
            <v>2.1748313671361832E-2</v>
          </cell>
          <cell r="I70">
            <v>7.0087850902287906E-3</v>
          </cell>
          <cell r="J70">
            <v>1.2571776111512804E-3</v>
          </cell>
        </row>
        <row r="71">
          <cell r="A71" t="str">
            <v>T_B_u-FCLH2O-S3</v>
          </cell>
          <cell r="B71" t="str">
            <v>VAR_ncap</v>
          </cell>
          <cell r="C71" t="str">
            <v>-</v>
          </cell>
        </row>
        <row r="72">
          <cell r="A72" t="str">
            <v>T_B_u-FCLH2O-S3</v>
          </cell>
          <cell r="B72" t="str">
            <v>VAR_cap</v>
          </cell>
          <cell r="C72" t="str">
            <v>-</v>
          </cell>
          <cell r="H72">
            <v>8.4074509909858492E-9</v>
          </cell>
          <cell r="J72">
            <v>-5.3817118233758997E-9</v>
          </cell>
        </row>
        <row r="73">
          <cell r="A73" t="str">
            <v>T-PHEV-STG_S1</v>
          </cell>
          <cell r="B73" t="str">
            <v>VAR_fout</v>
          </cell>
          <cell r="C73" t="str">
            <v>T-ELC-car-PlgSTGAUXout_S1</v>
          </cell>
          <cell r="H73">
            <v>2.1697982159987637E-3</v>
          </cell>
          <cell r="I73">
            <v>1.706277350432203E-3</v>
          </cell>
          <cell r="J73">
            <v>4.0318538415742529E-4</v>
          </cell>
        </row>
        <row r="74">
          <cell r="A74" t="str">
            <v>T-PHEV-STG_S1</v>
          </cell>
          <cell r="B74" t="str">
            <v>VAR_fout</v>
          </cell>
          <cell r="C74" t="str">
            <v>T-ELC-car-PlgSTGOut_S1</v>
          </cell>
          <cell r="H74">
            <v>2.1697982159987637E-3</v>
          </cell>
          <cell r="I74">
            <v>1.7062773504322028E-3</v>
          </cell>
          <cell r="J74">
            <v>4.0318538415742524E-4</v>
          </cell>
        </row>
        <row r="75">
          <cell r="A75" t="str">
            <v>T-PHEV-STG_S1</v>
          </cell>
          <cell r="B75" t="str">
            <v>VAR_fin</v>
          </cell>
          <cell r="C75" t="str">
            <v>T-ELC-car-PlgSTGAUXin_S1</v>
          </cell>
          <cell r="H75">
            <v>2.1713144296486814E-3</v>
          </cell>
          <cell r="I75">
            <v>1.7082885457466283E-3</v>
          </cell>
          <cell r="J75">
            <v>4.0374539157936296E-4</v>
          </cell>
        </row>
        <row r="76">
          <cell r="A76" t="str">
            <v>T-PHEV-STG_S1</v>
          </cell>
          <cell r="B76" t="str">
            <v>VAR_fin</v>
          </cell>
          <cell r="C76" t="str">
            <v>T-ELC-car-PlgSTGin_S1</v>
          </cell>
          <cell r="H76">
            <v>2.1713144296486814E-3</v>
          </cell>
          <cell r="I76">
            <v>1.7082885457466283E-3</v>
          </cell>
          <cell r="J76">
            <v>4.0374539157936296E-4</v>
          </cell>
        </row>
        <row r="77">
          <cell r="A77" t="str">
            <v>T-PHEV-STG_S1</v>
          </cell>
          <cell r="B77" t="str">
            <v>VAR_ncap</v>
          </cell>
          <cell r="C77" t="str">
            <v>-</v>
          </cell>
          <cell r="H77">
            <v>1.13906559550363E-2</v>
          </cell>
        </row>
        <row r="78">
          <cell r="A78" t="str">
            <v>T-PHEV-STG_S1</v>
          </cell>
          <cell r="B78" t="str">
            <v>VAR_cap</v>
          </cell>
          <cell r="C78" t="str">
            <v>-</v>
          </cell>
          <cell r="H78">
            <v>3.3005665466233118E-2</v>
          </cell>
          <cell r="I78">
            <v>2.270919106841561E-2</v>
          </cell>
          <cell r="J78">
            <v>4.8115651212409056E-3</v>
          </cell>
        </row>
        <row r="79">
          <cell r="A79" t="str">
            <v>T-Plg-GSL-mix_S3</v>
          </cell>
          <cell r="B79" t="str">
            <v>VAR_fout</v>
          </cell>
          <cell r="C79" t="str">
            <v>CO2_T</v>
          </cell>
          <cell r="H79">
            <v>858.63350927155375</v>
          </cell>
          <cell r="I79">
            <v>373.60417324483564</v>
          </cell>
          <cell r="J79">
            <v>62.450635325407823</v>
          </cell>
        </row>
        <row r="80">
          <cell r="A80" t="str">
            <v>T-Plg-GSL-mix_S3</v>
          </cell>
          <cell r="B80" t="str">
            <v>VAR_fout</v>
          </cell>
          <cell r="C80" t="str">
            <v>T-PEVmix-ELC_GSL_S3</v>
          </cell>
          <cell r="H80">
            <v>6.3470996242341409</v>
          </cell>
          <cell r="I80">
            <v>2.9265188232540864</v>
          </cell>
          <cell r="J80">
            <v>0.51673158128298891</v>
          </cell>
        </row>
        <row r="81">
          <cell r="A81" t="str">
            <v>T-Plg-GSL-mix_S3</v>
          </cell>
          <cell r="B81" t="str">
            <v>VAR_fin</v>
          </cell>
          <cell r="C81" t="str">
            <v>TGSL</v>
          </cell>
          <cell r="H81">
            <v>11.63460039663352</v>
          </cell>
          <cell r="I81">
            <v>5.0623871713392301</v>
          </cell>
          <cell r="J81">
            <v>0.8462145708049853</v>
          </cell>
        </row>
        <row r="82">
          <cell r="A82" t="str">
            <v>T_B_u-FCLH2O-S4</v>
          </cell>
          <cell r="B82" t="str">
            <v>VAR_cap</v>
          </cell>
          <cell r="C82" t="str">
            <v>-</v>
          </cell>
          <cell r="J82">
            <v>-2.5863237074805898E-9</v>
          </cell>
        </row>
        <row r="83">
          <cell r="A83" t="str">
            <v>T-PHEV-STG_S2</v>
          </cell>
          <cell r="B83" t="str">
            <v>VAR_fout</v>
          </cell>
          <cell r="C83" t="str">
            <v>T-ELC-car-PlgSTGAUXout_S2</v>
          </cell>
          <cell r="H83">
            <v>5.7293359410567892E-3</v>
          </cell>
          <cell r="I83">
            <v>4.1309663729201321E-3</v>
          </cell>
          <cell r="J83">
            <v>2.0942294095812881E-3</v>
          </cell>
        </row>
        <row r="84">
          <cell r="A84" t="str">
            <v>T-PHEV-STG_S2</v>
          </cell>
          <cell r="B84" t="str">
            <v>VAR_fout</v>
          </cell>
          <cell r="C84" t="str">
            <v>T-ELC-car-PlgSTGOut_S2</v>
          </cell>
          <cell r="H84">
            <v>5.7293359410567892E-3</v>
          </cell>
          <cell r="I84">
            <v>4.1309663729201321E-3</v>
          </cell>
          <cell r="J84">
            <v>2.0942294095812877E-3</v>
          </cell>
        </row>
        <row r="85">
          <cell r="A85" t="str">
            <v>T-PHEV-STG_S2</v>
          </cell>
          <cell r="B85" t="str">
            <v>VAR_fin</v>
          </cell>
          <cell r="C85" t="str">
            <v>T-ELC-car-PlgSTGAUXin_S2</v>
          </cell>
          <cell r="H85">
            <v>5.7355821582430189E-3</v>
          </cell>
          <cell r="I85">
            <v>4.135840139177907E-3</v>
          </cell>
          <cell r="J85">
            <v>2.0983148363157007E-3</v>
          </cell>
        </row>
        <row r="86">
          <cell r="A86" t="str">
            <v>T-PHEV-STG_S2</v>
          </cell>
          <cell r="B86" t="str">
            <v>VAR_fin</v>
          </cell>
          <cell r="C86" t="str">
            <v>T-ELC-car-PlgSTGin_S2</v>
          </cell>
          <cell r="H86">
            <v>5.7355821582430189E-3</v>
          </cell>
          <cell r="I86">
            <v>4.135840139177907E-3</v>
          </cell>
          <cell r="J86">
            <v>2.0983148363157007E-3</v>
          </cell>
        </row>
        <row r="87">
          <cell r="A87" t="str">
            <v>T-PHEV-STG_S2</v>
          </cell>
          <cell r="B87" t="str">
            <v>VAR_ncap</v>
          </cell>
          <cell r="C87" t="str">
            <v>-</v>
          </cell>
          <cell r="H87">
            <v>2.35874845046622E-2</v>
          </cell>
          <cell r="I87">
            <v>1.43405307056493E-2</v>
          </cell>
          <cell r="J87">
            <v>6.77335088397995E-3</v>
          </cell>
        </row>
        <row r="88">
          <cell r="A88" t="str">
            <v>T-PHEV-STG_S2</v>
          </cell>
          <cell r="B88" t="str">
            <v>VAR_cap</v>
          </cell>
          <cell r="C88" t="str">
            <v>-</v>
          </cell>
          <cell r="H88">
            <v>8.6317658485717416E-2</v>
          </cell>
          <cell r="I88">
            <v>6.0308312297755198E-2</v>
          </cell>
          <cell r="J88">
            <v>2.7136059179684226E-2</v>
          </cell>
        </row>
        <row r="89">
          <cell r="A89" t="str">
            <v>T-Plg-GSL-mix_S4</v>
          </cell>
          <cell r="B89" t="str">
            <v>VAR_fout</v>
          </cell>
          <cell r="C89" t="str">
            <v>CO2_T</v>
          </cell>
          <cell r="H89">
            <v>2.2172600956775907</v>
          </cell>
          <cell r="I89">
            <v>0.29710852988569997</v>
          </cell>
          <cell r="J89">
            <v>4.4840238871580396E-2</v>
          </cell>
        </row>
        <row r="90">
          <cell r="A90" t="str">
            <v>T-Plg-GSL-mix_S4</v>
          </cell>
          <cell r="B90" t="str">
            <v>VAR_fout</v>
          </cell>
          <cell r="C90" t="str">
            <v>T-PEVmix-ELC_GSL_S4</v>
          </cell>
          <cell r="H90">
            <v>1.5615630613389962E-2</v>
          </cell>
          <cell r="I90">
            <v>2.1978823929984445E-3</v>
          </cell>
          <cell r="J90">
            <v>3.4612051432568263E-4</v>
          </cell>
        </row>
        <row r="91">
          <cell r="A91" t="str">
            <v>T-Plg-GSL-mix_S4</v>
          </cell>
          <cell r="B91" t="str">
            <v>VAR_fin</v>
          </cell>
          <cell r="C91" t="str">
            <v>TGSL</v>
          </cell>
          <cell r="H91">
            <v>3.0044174738178803E-2</v>
          </cell>
          <cell r="I91">
            <v>4.0258608385596219E-3</v>
          </cell>
          <cell r="J91">
            <v>6.0759131262304062E-4</v>
          </cell>
        </row>
        <row r="92">
          <cell r="A92" t="str">
            <v>T-PHEV-STG_S3</v>
          </cell>
          <cell r="B92" t="str">
            <v>VAR_fout</v>
          </cell>
          <cell r="C92" t="str">
            <v>T-ELC-car-PlgSTGAUXout_S3</v>
          </cell>
          <cell r="H92">
            <v>4.2862571378237293</v>
          </cell>
          <cell r="I92">
            <v>3.1755103349016416</v>
          </cell>
          <cell r="J92">
            <v>1.2868455118374114</v>
          </cell>
        </row>
        <row r="93">
          <cell r="A93" t="str">
            <v>T-PHEV-STG_S3</v>
          </cell>
          <cell r="B93" t="str">
            <v>VAR_fout</v>
          </cell>
          <cell r="C93" t="str">
            <v>T-ELC-car-PlgSTGOut_S3</v>
          </cell>
          <cell r="H93">
            <v>4.2862571378237293</v>
          </cell>
          <cell r="I93">
            <v>3.1755103349016407</v>
          </cell>
          <cell r="J93">
            <v>1.2868455118374114</v>
          </cell>
        </row>
        <row r="94">
          <cell r="A94" t="str">
            <v>T-PHEV-STG_S3</v>
          </cell>
          <cell r="B94" t="str">
            <v>VAR_fin</v>
          </cell>
          <cell r="C94" t="str">
            <v>T-ELC-car-PlgSTGAUXin_S3</v>
          </cell>
          <cell r="H94">
            <v>4.2866886646713933</v>
          </cell>
          <cell r="I94">
            <v>3.1758296716318051</v>
          </cell>
          <cell r="J94">
            <v>1.2869748588641094</v>
          </cell>
        </row>
        <row r="95">
          <cell r="A95" t="str">
            <v>T-PHEV-STG_S3</v>
          </cell>
          <cell r="B95" t="str">
            <v>VAR_fin</v>
          </cell>
          <cell r="C95" t="str">
            <v>T-ELC-car-PlgSTGin_S3</v>
          </cell>
          <cell r="H95">
            <v>4.2866886646713933</v>
          </cell>
          <cell r="I95">
            <v>3.1758296716318051</v>
          </cell>
          <cell r="J95">
            <v>1.2869748588641094</v>
          </cell>
        </row>
        <row r="96">
          <cell r="A96" t="str">
            <v>T-PHEV-STG_S3</v>
          </cell>
          <cell r="B96" t="str">
            <v>VAR_ncap</v>
          </cell>
          <cell r="C96" t="str">
            <v>-</v>
          </cell>
          <cell r="H96">
            <v>59.960179537611097</v>
          </cell>
        </row>
        <row r="97">
          <cell r="A97" t="str">
            <v>T-PHEV-STG_S3</v>
          </cell>
          <cell r="B97" t="str">
            <v>VAR_cap</v>
          </cell>
          <cell r="C97" t="str">
            <v>-</v>
          </cell>
          <cell r="H97">
            <v>115.28479469759597</v>
          </cell>
          <cell r="I97">
            <v>84.136542947330696</v>
          </cell>
          <cell r="J97">
            <v>22.088440616569887</v>
          </cell>
        </row>
        <row r="98">
          <cell r="A98" t="str">
            <v>TFLGV-HYBDSL</v>
          </cell>
          <cell r="B98" t="str">
            <v>VAR_fout</v>
          </cell>
          <cell r="C98" t="str">
            <v>CO2_T</v>
          </cell>
          <cell r="H98">
            <v>41.596679171253619</v>
          </cell>
          <cell r="I98">
            <v>5.4039168024710297E-3</v>
          </cell>
        </row>
        <row r="99">
          <cell r="A99" t="str">
            <v>TFLGV-HYBDSL</v>
          </cell>
          <cell r="B99" t="str">
            <v>VAR_fout</v>
          </cell>
          <cell r="C99" t="str">
            <v>TFLGV</v>
          </cell>
          <cell r="H99">
            <v>0.26147887754198768</v>
          </cell>
          <cell r="I99">
            <v>3.3969300626692939E-5</v>
          </cell>
        </row>
        <row r="100">
          <cell r="A100" t="str">
            <v>TFLGV-HYBDSL</v>
          </cell>
          <cell r="B100" t="str">
            <v>VAR_fin</v>
          </cell>
          <cell r="C100" t="str">
            <v>TDSL</v>
          </cell>
          <cell r="H100">
            <v>0.56748539114943486</v>
          </cell>
          <cell r="I100">
            <v>7.3723285163315608E-5</v>
          </cell>
        </row>
        <row r="101">
          <cell r="A101" t="str">
            <v>TFLGV-HYBDSL</v>
          </cell>
          <cell r="B101" t="str">
            <v>VAR_ncap</v>
          </cell>
          <cell r="C101" t="str">
            <v>-</v>
          </cell>
        </row>
        <row r="102">
          <cell r="A102" t="str">
            <v>TFLGV-HYBDSL</v>
          </cell>
          <cell r="B102" t="str">
            <v>VAR_cap</v>
          </cell>
          <cell r="C102" t="str">
            <v>-</v>
          </cell>
          <cell r="H102">
            <v>2.5525763130179228E-2</v>
          </cell>
          <cell r="I102">
            <v>2.9056300205397936E-6</v>
          </cell>
        </row>
        <row r="103">
          <cell r="A103" t="str">
            <v>TFHGV-FCLH2O</v>
          </cell>
          <cell r="B103" t="str">
            <v>VAR_fout</v>
          </cell>
          <cell r="C103" t="str">
            <v>TFHGV</v>
          </cell>
          <cell r="H103">
            <v>4.7738856263480756E-5</v>
          </cell>
          <cell r="I103">
            <v>4.8008649204363863E-5</v>
          </cell>
          <cell r="J103">
            <v>4.2751344159598164E-5</v>
          </cell>
        </row>
        <row r="104">
          <cell r="A104" t="str">
            <v>TFHGV-FCLH2O</v>
          </cell>
          <cell r="B104" t="str">
            <v>VAR_fin</v>
          </cell>
          <cell r="C104" t="str">
            <v>TH2O</v>
          </cell>
          <cell r="H104">
            <v>2.4562258176402034E-4</v>
          </cell>
          <cell r="I104">
            <v>2.4252316141075683E-4</v>
          </cell>
          <cell r="J104">
            <v>1.9621085287561832E-4</v>
          </cell>
        </row>
        <row r="105">
          <cell r="A105" t="str">
            <v>TFHGV-FCLH2O</v>
          </cell>
          <cell r="B105" t="str">
            <v>VAR_ncap</v>
          </cell>
          <cell r="C105" t="str">
            <v>-</v>
          </cell>
          <cell r="H105">
            <v>9.4804466238076501E-7</v>
          </cell>
          <cell r="I105">
            <v>3.6169437803607201E-7</v>
          </cell>
          <cell r="J105">
            <v>8.6559263285192899E-7</v>
          </cell>
        </row>
        <row r="106">
          <cell r="A106" t="str">
            <v>TFHGV-FCLH2O</v>
          </cell>
          <cell r="B106" t="str">
            <v>VAR_cap</v>
          </cell>
          <cell r="C106" t="str">
            <v>-</v>
          </cell>
          <cell r="H106">
            <v>1.0091225176371399E-6</v>
          </cell>
          <cell r="I106">
            <v>9.6945607254081772E-7</v>
          </cell>
          <cell r="J106">
            <v>9.2906588601933697E-7</v>
          </cell>
        </row>
        <row r="107">
          <cell r="A107" t="str">
            <v>T-PHEV-STG_S4</v>
          </cell>
          <cell r="B107" t="str">
            <v>VAR_fout</v>
          </cell>
          <cell r="C107" t="str">
            <v>T-ELC-car-PlgSTGAUXout_S4</v>
          </cell>
          <cell r="H107">
            <v>9.3378529170201671E-3</v>
          </cell>
          <cell r="I107">
            <v>5.8525079192157823E-3</v>
          </cell>
          <cell r="J107">
            <v>1.8119313089792165E-3</v>
          </cell>
        </row>
        <row r="108">
          <cell r="A108" t="str">
            <v>T-PHEV-STG_S4</v>
          </cell>
          <cell r="B108" t="str">
            <v>VAR_fout</v>
          </cell>
          <cell r="C108" t="str">
            <v>T-ELC-car-PlgSTGOut_S4</v>
          </cell>
          <cell r="H108">
            <v>9.3378529170201653E-3</v>
          </cell>
          <cell r="I108">
            <v>5.8525079192157806E-3</v>
          </cell>
          <cell r="J108">
            <v>1.8119313089792163E-3</v>
          </cell>
        </row>
        <row r="109">
          <cell r="A109" t="str">
            <v>T-PHEV-STG_S4</v>
          </cell>
          <cell r="B109" t="str">
            <v>VAR_fin</v>
          </cell>
          <cell r="C109" t="str">
            <v>T-ELC-car-PlgSTGAUXin_S4</v>
          </cell>
          <cell r="H109">
            <v>9.3416450623818263E-3</v>
          </cell>
          <cell r="I109">
            <v>5.8548904719830878E-3</v>
          </cell>
          <cell r="J109">
            <v>1.8127404727598065E-3</v>
          </cell>
        </row>
        <row r="110">
          <cell r="A110" t="str">
            <v>T-PHEV-STG_S4</v>
          </cell>
          <cell r="B110" t="str">
            <v>VAR_fin</v>
          </cell>
          <cell r="C110" t="str">
            <v>T-ELC-car-PlgSTGin_S4</v>
          </cell>
          <cell r="H110">
            <v>9.3416450623818263E-3</v>
          </cell>
          <cell r="I110">
            <v>5.8548904719830878E-3</v>
          </cell>
          <cell r="J110">
            <v>1.8127404727598065E-3</v>
          </cell>
        </row>
        <row r="111">
          <cell r="A111" t="str">
            <v>T-PHEV-STG_S4</v>
          </cell>
          <cell r="B111" t="str">
            <v>VAR_ncap</v>
          </cell>
          <cell r="C111" t="str">
            <v>-</v>
          </cell>
          <cell r="H111">
            <v>6.7528830405449103E-2</v>
          </cell>
        </row>
        <row r="112">
          <cell r="A112" t="str">
            <v>T-PHEV-STG_S4</v>
          </cell>
          <cell r="B112" t="str">
            <v>VAR_cap</v>
          </cell>
          <cell r="C112" t="str">
            <v>-</v>
          </cell>
          <cell r="H112">
            <v>0.15143088629205556</v>
          </cell>
          <cell r="I112">
            <v>0.10335330567611267</v>
          </cell>
          <cell r="J112">
            <v>2.8518842201515196E-2</v>
          </cell>
        </row>
        <row r="113">
          <cell r="A113" t="str">
            <v>TFLGV-ICEGSLExt</v>
          </cell>
          <cell r="B113" t="str">
            <v>VAR_fout</v>
          </cell>
          <cell r="C113" t="str">
            <v>CO2_T</v>
          </cell>
        </row>
        <row r="114">
          <cell r="A114" t="str">
            <v>TFLGV-ICEGSLExt</v>
          </cell>
          <cell r="B114" t="str">
            <v>VAR_fout</v>
          </cell>
          <cell r="C114" t="str">
            <v>TFLGV</v>
          </cell>
        </row>
        <row r="115">
          <cell r="A115" t="str">
            <v>TFLGV-ICEGSLExt</v>
          </cell>
          <cell r="B115" t="str">
            <v>VAR_fin</v>
          </cell>
          <cell r="C115" t="str">
            <v>TGSL</v>
          </cell>
        </row>
        <row r="116">
          <cell r="A116" t="str">
            <v>TFLGV-ICEGSLExt</v>
          </cell>
          <cell r="B116" t="str">
            <v>VAR_cap</v>
          </cell>
          <cell r="C116" t="str">
            <v>-</v>
          </cell>
        </row>
        <row r="117">
          <cell r="A117" t="str">
            <v>TFRLFELCEXT</v>
          </cell>
          <cell r="B117" t="str">
            <v>VAR_fout</v>
          </cell>
          <cell r="C117" t="str">
            <v>TFRLF</v>
          </cell>
          <cell r="H117">
            <v>3.3098683686005603E-2</v>
          </cell>
          <cell r="I117">
            <v>3.3880427735809626E-2</v>
          </cell>
          <cell r="J117">
            <v>3.642306226729488E-2</v>
          </cell>
        </row>
        <row r="118">
          <cell r="A118" t="str">
            <v>TFRLFELCEXT</v>
          </cell>
          <cell r="B118" t="str">
            <v>VAR_fin</v>
          </cell>
          <cell r="C118" t="str">
            <v>TELC</v>
          </cell>
          <cell r="H118">
            <v>1.9814786783973244</v>
          </cell>
          <cell r="I118">
            <v>2.0282783995386686</v>
          </cell>
          <cell r="J118">
            <v>2.1804952115088976</v>
          </cell>
        </row>
        <row r="119">
          <cell r="A119" t="str">
            <v>TFRLFELCEXT</v>
          </cell>
          <cell r="B119" t="str">
            <v>VAR_ncap</v>
          </cell>
          <cell r="C119" t="str">
            <v>-</v>
          </cell>
          <cell r="H119">
            <v>1.3423505898591399E-4</v>
          </cell>
          <cell r="I119">
            <v>7.2159914605351603E-5</v>
          </cell>
          <cell r="J119">
            <v>1.4957258224076199E-3</v>
          </cell>
        </row>
        <row r="120">
          <cell r="A120" t="str">
            <v>TFRLFELCEXT</v>
          </cell>
          <cell r="B120" t="str">
            <v>VAR_cap</v>
          </cell>
          <cell r="C120" t="str">
            <v>-</v>
          </cell>
          <cell r="H120">
            <v>3.0556072435208867E-3</v>
          </cell>
          <cell r="I120">
            <v>3.1277671581262387E-3</v>
          </cell>
          <cell r="J120">
            <v>3.36248783781569E-3</v>
          </cell>
        </row>
        <row r="121">
          <cell r="A121" t="str">
            <v>TFLGV-ICEDSLExt</v>
          </cell>
          <cell r="B121" t="str">
            <v>VAR_fout</v>
          </cell>
          <cell r="C121" t="str">
            <v>CO2_T</v>
          </cell>
        </row>
        <row r="122">
          <cell r="A122" t="str">
            <v>TFLGV-ICEDSLExt</v>
          </cell>
          <cell r="B122" t="str">
            <v>VAR_fout</v>
          </cell>
          <cell r="C122" t="str">
            <v>TFLGV</v>
          </cell>
        </row>
        <row r="123">
          <cell r="A123" t="str">
            <v>TFLGV-ICEDSLExt</v>
          </cell>
          <cell r="B123" t="str">
            <v>VAR_fin</v>
          </cell>
          <cell r="C123" t="str">
            <v>TDSL</v>
          </cell>
        </row>
        <row r="124">
          <cell r="A124" t="str">
            <v>TFLGV-ICEDSLExt</v>
          </cell>
          <cell r="B124" t="str">
            <v>VAR_cap</v>
          </cell>
          <cell r="C124" t="str">
            <v>-</v>
          </cell>
        </row>
        <row r="125">
          <cell r="A125" t="str">
            <v>T_C-ICE-NGA-S1</v>
          </cell>
          <cell r="B125" t="str">
            <v>VAR_fout</v>
          </cell>
          <cell r="C125" t="str">
            <v>CO2_T</v>
          </cell>
          <cell r="H125">
            <v>2.5617933777939686E-3</v>
          </cell>
          <cell r="I125">
            <v>1.8855563842519999E-4</v>
          </cell>
        </row>
        <row r="126">
          <cell r="A126" t="str">
            <v>T_C-ICE-NGA-S1</v>
          </cell>
          <cell r="B126" t="str">
            <v>VAR_fout</v>
          </cell>
          <cell r="C126" t="str">
            <v>TPCAR</v>
          </cell>
          <cell r="H126">
            <v>2.7103190406356146E-5</v>
          </cell>
          <cell r="I126">
            <v>1.8710612871769452E-6</v>
          </cell>
        </row>
        <row r="127">
          <cell r="A127" t="str">
            <v>T_C-ICE-NGA-S1</v>
          </cell>
          <cell r="B127" t="str">
            <v>VAR_fin</v>
          </cell>
          <cell r="C127" t="str">
            <v>TNGA</v>
          </cell>
          <cell r="H127">
            <v>4.5421868400602246E-5</v>
          </cell>
          <cell r="I127">
            <v>3.3431850784609946E-6</v>
          </cell>
        </row>
        <row r="128">
          <cell r="A128" t="str">
            <v>T_C-ICE-NGA-S1</v>
          </cell>
          <cell r="B128" t="str">
            <v>VAR_ncap</v>
          </cell>
          <cell r="C128" t="str">
            <v>-</v>
          </cell>
        </row>
        <row r="129">
          <cell r="A129" t="str">
            <v>T_C-ICE-NGA-S1</v>
          </cell>
          <cell r="B129" t="str">
            <v>VAR_cap</v>
          </cell>
          <cell r="C129" t="str">
            <v>-</v>
          </cell>
          <cell r="H129">
            <v>3.5193691227350498E-6</v>
          </cell>
          <cell r="I129">
            <v>3.717219487137824E-7</v>
          </cell>
        </row>
        <row r="130">
          <cell r="A130" t="str">
            <v>D-T-ELC-car</v>
          </cell>
          <cell r="B130" t="str">
            <v>VAR_fout</v>
          </cell>
          <cell r="C130" t="str">
            <v>T-ELC-car</v>
          </cell>
          <cell r="H130">
            <v>32.745240627816081</v>
          </cell>
          <cell r="I130">
            <v>39.498268108808979</v>
          </cell>
          <cell r="J130">
            <v>38.318164791256621</v>
          </cell>
        </row>
        <row r="131">
          <cell r="A131" t="str">
            <v>D-T-ELC-car</v>
          </cell>
          <cell r="B131" t="str">
            <v>VAR_fin</v>
          </cell>
          <cell r="C131" t="str">
            <v>TELC</v>
          </cell>
          <cell r="H131">
            <v>32.745240627816081</v>
          </cell>
          <cell r="I131">
            <v>39.498268108808979</v>
          </cell>
          <cell r="J131">
            <v>38.318164791256621</v>
          </cell>
        </row>
        <row r="132">
          <cell r="A132" t="str">
            <v>D-T-ELC-car</v>
          </cell>
          <cell r="B132" t="str">
            <v>VAR_ncap</v>
          </cell>
          <cell r="C132" t="str">
            <v>-</v>
          </cell>
          <cell r="H132">
            <v>14.515029746651599</v>
          </cell>
          <cell r="I132">
            <v>12.6830255668495</v>
          </cell>
          <cell r="J132">
            <v>26.1000490617343</v>
          </cell>
        </row>
        <row r="133">
          <cell r="A133" t="str">
            <v>D-T-ELC-car</v>
          </cell>
          <cell r="B133" t="str">
            <v>VAR_cap</v>
          </cell>
          <cell r="C133" t="str">
            <v>-</v>
          </cell>
          <cell r="H133">
            <v>25.075971822469107</v>
          </cell>
          <cell r="I133">
            <v>33.681374488703199</v>
          </cell>
          <cell r="J133">
            <v>41.4443258466938</v>
          </cell>
        </row>
        <row r="134">
          <cell r="A134" t="str">
            <v>T_C-ICE-NGA-S2</v>
          </cell>
          <cell r="B134" t="str">
            <v>VAR_fout</v>
          </cell>
          <cell r="C134" t="str">
            <v>CO2_T</v>
          </cell>
          <cell r="H134">
            <v>3.4190455142637417E-3</v>
          </cell>
          <cell r="I134">
            <v>3.7568999088532801E-4</v>
          </cell>
        </row>
        <row r="135">
          <cell r="A135" t="str">
            <v>T_C-ICE-NGA-S2</v>
          </cell>
          <cell r="B135" t="str">
            <v>VAR_fout</v>
          </cell>
          <cell r="C135" t="str">
            <v>TPCAR</v>
          </cell>
          <cell r="H135">
            <v>2.9368234649328143E-5</v>
          </cell>
          <cell r="I135">
            <v>2.9895549870928683E-6</v>
          </cell>
        </row>
        <row r="136">
          <cell r="A136" t="str">
            <v>T_C-ICE-NGA-S2</v>
          </cell>
          <cell r="B136" t="str">
            <v>VAR_fin</v>
          </cell>
          <cell r="C136" t="str">
            <v>TNGA</v>
          </cell>
          <cell r="H136">
            <v>6.0621374366378359E-5</v>
          </cell>
          <cell r="I136">
            <v>6.6611700511583034E-6</v>
          </cell>
        </row>
        <row r="137">
          <cell r="A137" t="str">
            <v>T_C-ICE-NGA-S2</v>
          </cell>
          <cell r="B137" t="str">
            <v>VAR_ncap</v>
          </cell>
          <cell r="C137" t="str">
            <v>-</v>
          </cell>
        </row>
        <row r="138">
          <cell r="A138" t="str">
            <v>T_C-ICE-NGA-S2</v>
          </cell>
          <cell r="B138" t="str">
            <v>VAR_cap</v>
          </cell>
          <cell r="C138" t="str">
            <v>-</v>
          </cell>
          <cell r="H138">
            <v>2.3257115980257595E-6</v>
          </cell>
          <cell r="I138">
            <v>3.1395635160803311E-7</v>
          </cell>
        </row>
        <row r="139">
          <cell r="A139" t="str">
            <v>TFLGV-ICEDSL</v>
          </cell>
          <cell r="B139" t="str">
            <v>VAR_fout</v>
          </cell>
          <cell r="C139" t="str">
            <v>CO2_T</v>
          </cell>
          <cell r="H139">
            <v>0.17992956102762081</v>
          </cell>
          <cell r="I139">
            <v>4.8542084452248401E-3</v>
          </cell>
        </row>
        <row r="140">
          <cell r="A140" t="str">
            <v>TFLGV-ICEDSL</v>
          </cell>
          <cell r="B140" t="str">
            <v>VAR_fout</v>
          </cell>
          <cell r="C140" t="str">
            <v>TFLGV</v>
          </cell>
          <cell r="H140">
            <v>8.3978873428258531E-4</v>
          </cell>
          <cell r="I140">
            <v>2.2656141341518846E-5</v>
          </cell>
        </row>
        <row r="141">
          <cell r="A141" t="str">
            <v>TFLGV-ICEDSL</v>
          </cell>
          <cell r="B141" t="str">
            <v>VAR_fin</v>
          </cell>
          <cell r="C141" t="str">
            <v>TDSL</v>
          </cell>
          <cell r="H141">
            <v>2.4547006961476176E-3</v>
          </cell>
          <cell r="I141">
            <v>6.6223853277282997E-5</v>
          </cell>
        </row>
        <row r="142">
          <cell r="A142" t="str">
            <v>TFLGV-ICEDSL</v>
          </cell>
          <cell r="B142" t="str">
            <v>VAR_ncap</v>
          </cell>
          <cell r="C142" t="str">
            <v>-</v>
          </cell>
        </row>
        <row r="143">
          <cell r="A143" t="str">
            <v>TFLGV-ICEDSL</v>
          </cell>
          <cell r="B143" t="str">
            <v>VAR_cap</v>
          </cell>
          <cell r="C143" t="str">
            <v>-</v>
          </cell>
          <cell r="H143">
            <v>7.5017130915617963E-5</v>
          </cell>
          <cell r="I143">
            <v>1.9108415802863209E-6</v>
          </cell>
        </row>
        <row r="144">
          <cell r="A144" t="str">
            <v>T_C-ICE-NGA-S3</v>
          </cell>
          <cell r="B144" t="str">
            <v>VAR_fout</v>
          </cell>
          <cell r="C144" t="str">
            <v>CO2_T</v>
          </cell>
          <cell r="H144">
            <v>6.1937897849565268E-3</v>
          </cell>
          <cell r="I144">
            <v>5.4609187772254803E-4</v>
          </cell>
        </row>
        <row r="145">
          <cell r="A145" t="str">
            <v>T_C-ICE-NGA-S3</v>
          </cell>
          <cell r="B145" t="str">
            <v>VAR_fout</v>
          </cell>
          <cell r="C145" t="str">
            <v>TPCAR</v>
          </cell>
          <cell r="H145">
            <v>5.3659151265808279E-5</v>
          </cell>
          <cell r="I145">
            <v>4.3344822026248979E-6</v>
          </cell>
        </row>
        <row r="146">
          <cell r="A146" t="str">
            <v>T_C-ICE-NGA-S3</v>
          </cell>
          <cell r="B146" t="str">
            <v>VAR_fin</v>
          </cell>
          <cell r="C146" t="str">
            <v>TNGA</v>
          </cell>
          <cell r="H146">
            <v>1.0981896781837806E-4</v>
          </cell>
          <cell r="I146">
            <v>9.6824801014636182E-6</v>
          </cell>
        </row>
        <row r="147">
          <cell r="A147" t="str">
            <v>T_C-ICE-NGA-S3</v>
          </cell>
          <cell r="B147" t="str">
            <v>VAR_ncap</v>
          </cell>
          <cell r="C147" t="str">
            <v>-</v>
          </cell>
        </row>
        <row r="148">
          <cell r="A148" t="str">
            <v>T_C-ICE-NGA-S3</v>
          </cell>
          <cell r="B148" t="str">
            <v>VAR_cap</v>
          </cell>
          <cell r="C148" t="str">
            <v>-</v>
          </cell>
          <cell r="H148">
            <v>3.8419675883236602E-6</v>
          </cell>
          <cell r="I148">
            <v>3.230959532264827E-7</v>
          </cell>
        </row>
        <row r="149">
          <cell r="A149" t="str">
            <v>T_C-ICE-NGA-S4</v>
          </cell>
          <cell r="B149" t="str">
            <v>VAR_fout</v>
          </cell>
          <cell r="C149" t="str">
            <v>CO2_T</v>
          </cell>
          <cell r="H149">
            <v>3.1588789875500144E-3</v>
          </cell>
          <cell r="I149">
            <v>4.1584029088239196E-4</v>
          </cell>
        </row>
        <row r="150">
          <cell r="A150" t="str">
            <v>T_C-ICE-NGA-S4</v>
          </cell>
          <cell r="B150" t="str">
            <v>VAR_fout</v>
          </cell>
          <cell r="C150" t="str">
            <v>TPCAR</v>
          </cell>
          <cell r="H150">
            <v>2.8220624458473582E-5</v>
          </cell>
          <cell r="I150">
            <v>3.2183637368468158E-6</v>
          </cell>
        </row>
        <row r="151">
          <cell r="A151" t="str">
            <v>T_C-ICE-NGA-S4</v>
          </cell>
          <cell r="B151" t="str">
            <v>VAR_fin</v>
          </cell>
          <cell r="C151" t="str">
            <v>TNGA</v>
          </cell>
          <cell r="H151">
            <v>5.600849268705713E-5</v>
          </cell>
          <cell r="I151">
            <v>7.373054802879304E-6</v>
          </cell>
        </row>
        <row r="152">
          <cell r="A152" t="str">
            <v>T_C-ICE-NGA-S4</v>
          </cell>
          <cell r="B152" t="str">
            <v>VAR_ncap</v>
          </cell>
          <cell r="C152" t="str">
            <v>-</v>
          </cell>
        </row>
        <row r="153">
          <cell r="A153" t="str">
            <v>T_C-ICE-NGA-S4</v>
          </cell>
          <cell r="B153" t="str">
            <v>VAR_cap</v>
          </cell>
          <cell r="C153" t="str">
            <v>-</v>
          </cell>
          <cell r="H153">
            <v>2.392935106334637E-6</v>
          </cell>
          <cell r="I153">
            <v>3.4597106719610372E-7</v>
          </cell>
        </row>
        <row r="154">
          <cell r="A154" t="str">
            <v>T_C-MHY-GSL-S1</v>
          </cell>
          <cell r="B154" t="str">
            <v>VAR_fout</v>
          </cell>
          <cell r="C154" t="str">
            <v>CO2_T</v>
          </cell>
          <cell r="H154">
            <v>3.259340152965156E-2</v>
          </cell>
          <cell r="I154">
            <v>9.685780070055959E-3</v>
          </cell>
        </row>
        <row r="155">
          <cell r="A155" t="str">
            <v>T_C-MHY-GSL-S1</v>
          </cell>
          <cell r="B155" t="str">
            <v>VAR_fout</v>
          </cell>
          <cell r="C155" t="str">
            <v>TPCAR</v>
          </cell>
          <cell r="H155">
            <v>2.5422571553274033E-4</v>
          </cell>
          <cell r="I155">
            <v>7.8620218142565104E-5</v>
          </cell>
        </row>
        <row r="156">
          <cell r="A156" t="str">
            <v>T_C-MHY-GSL-S1</v>
          </cell>
          <cell r="B156" t="str">
            <v>VAR_fin</v>
          </cell>
          <cell r="C156" t="str">
            <v>TGSL</v>
          </cell>
          <cell r="H156">
            <v>4.4164500717685026E-4</v>
          </cell>
          <cell r="I156">
            <v>1.3124363238558201E-4</v>
          </cell>
        </row>
        <row r="157">
          <cell r="A157" t="str">
            <v>T_C-MHY-GSL-S1</v>
          </cell>
          <cell r="B157" t="str">
            <v>VAR_ncap</v>
          </cell>
          <cell r="C157" t="str">
            <v>-</v>
          </cell>
        </row>
        <row r="158">
          <cell r="A158" t="str">
            <v>T_C-MHY-GSL-S1</v>
          </cell>
          <cell r="B158" t="str">
            <v>VAR_cap</v>
          </cell>
          <cell r="C158" t="str">
            <v>-</v>
          </cell>
          <cell r="H158">
            <v>3.5884907396694598E-5</v>
          </cell>
          <cell r="I158">
            <v>1.10524345872905E-5</v>
          </cell>
        </row>
        <row r="159">
          <cell r="A159" t="str">
            <v>T_TRLY_ELC</v>
          </cell>
          <cell r="B159" t="str">
            <v>VAR_fout</v>
          </cell>
          <cell r="C159" t="str">
            <v>TPTRLY</v>
          </cell>
          <cell r="H159">
            <v>3.1140487340042711E-2</v>
          </cell>
          <cell r="I159">
            <v>3.2006602244411902E-2</v>
          </cell>
          <cell r="J159">
            <v>3.3071687199031169E-2</v>
          </cell>
        </row>
        <row r="160">
          <cell r="A160" t="str">
            <v>T_TRLY_ELC</v>
          </cell>
          <cell r="B160" t="str">
            <v>VAR_fin</v>
          </cell>
          <cell r="C160" t="str">
            <v>TELC</v>
          </cell>
          <cell r="H160">
            <v>0.45958965891661224</v>
          </cell>
          <cell r="I160">
            <v>0.47237229295618205</v>
          </cell>
          <cell r="J160">
            <v>0.48809144422268363</v>
          </cell>
        </row>
        <row r="161">
          <cell r="A161" t="str">
            <v>T_C-MHY-GSL-S2</v>
          </cell>
          <cell r="B161" t="str">
            <v>VAR_fout</v>
          </cell>
          <cell r="C161" t="str">
            <v>CO2_T</v>
          </cell>
          <cell r="H161">
            <v>3.2312416085649678E-2</v>
          </cell>
          <cell r="I161">
            <v>8.4515303253330995E-3</v>
          </cell>
        </row>
        <row r="162">
          <cell r="A162" t="str">
            <v>T_C-MHY-GSL-S2</v>
          </cell>
          <cell r="B162" t="str">
            <v>VAR_fout</v>
          </cell>
          <cell r="C162" t="str">
            <v>TPCAR</v>
          </cell>
          <cell r="H162">
            <v>2.0258197683730402E-4</v>
          </cell>
          <cell r="I162">
            <v>5.520307074844306E-5</v>
          </cell>
        </row>
        <row r="163">
          <cell r="A163" t="str">
            <v>T_C-MHY-GSL-S2</v>
          </cell>
          <cell r="B163" t="str">
            <v>VAR_fin</v>
          </cell>
          <cell r="C163" t="str">
            <v>TGSL</v>
          </cell>
          <cell r="H163">
            <v>4.3783761633671664E-4</v>
          </cell>
          <cell r="I163">
            <v>1.1451938110207453E-4</v>
          </cell>
        </row>
        <row r="164">
          <cell r="A164" t="str">
            <v>T_C-MHY-GSL-S2</v>
          </cell>
          <cell r="B164" t="str">
            <v>VAR_ncap</v>
          </cell>
          <cell r="C164" t="str">
            <v>-</v>
          </cell>
        </row>
        <row r="165">
          <cell r="A165" t="str">
            <v>T_C-MHY-GSL-S2</v>
          </cell>
          <cell r="B165" t="str">
            <v>VAR_cap</v>
          </cell>
          <cell r="C165" t="str">
            <v>-</v>
          </cell>
          <cell r="H165">
            <v>1.7906911381587001E-5</v>
          </cell>
          <cell r="I165">
            <v>4.9786755806760604E-6</v>
          </cell>
        </row>
        <row r="166">
          <cell r="A166" t="str">
            <v>T_C-MHY-DSL-S1</v>
          </cell>
          <cell r="B166" t="str">
            <v>VAR_fout</v>
          </cell>
          <cell r="C166" t="str">
            <v>CO2_T</v>
          </cell>
          <cell r="H166">
            <v>2.4290288896881979E-2</v>
          </cell>
          <cell r="I166">
            <v>7.0567914445534199E-3</v>
          </cell>
        </row>
        <row r="167">
          <cell r="A167" t="str">
            <v>T_C-MHY-DSL-S1</v>
          </cell>
          <cell r="B167" t="str">
            <v>VAR_fout</v>
          </cell>
          <cell r="C167" t="str">
            <v>TPCAR</v>
          </cell>
          <cell r="H167">
            <v>2.028098602025329E-4</v>
          </cell>
          <cell r="I167">
            <v>6.0975945610198778E-5</v>
          </cell>
        </row>
        <row r="168">
          <cell r="A168" t="str">
            <v>T_C-MHY-DSL-S1</v>
          </cell>
          <cell r="B168" t="str">
            <v>VAR_fin</v>
          </cell>
          <cell r="C168" t="str">
            <v>TDSL</v>
          </cell>
          <cell r="H168">
            <v>3.313818403394539E-4</v>
          </cell>
          <cell r="I168">
            <v>9.6272734577809295E-5</v>
          </cell>
        </row>
        <row r="169">
          <cell r="A169" t="str">
            <v>T_C-MHY-DSL-S1</v>
          </cell>
          <cell r="B169" t="str">
            <v>VAR_ncap</v>
          </cell>
          <cell r="C169" t="str">
            <v>-</v>
          </cell>
        </row>
        <row r="170">
          <cell r="A170" t="str">
            <v>T_C-MHY-DSL-S1</v>
          </cell>
          <cell r="B170" t="str">
            <v>VAR_cap</v>
          </cell>
          <cell r="C170" t="str">
            <v>-</v>
          </cell>
          <cell r="H170">
            <v>2.82378128715721E-5</v>
          </cell>
          <cell r="I170">
            <v>8.4519362162188E-6</v>
          </cell>
        </row>
        <row r="171">
          <cell r="A171" t="str">
            <v>T_C-MHY-GSL-S3</v>
          </cell>
          <cell r="B171" t="str">
            <v>VAR_fout</v>
          </cell>
          <cell r="C171" t="str">
            <v>CO2_T</v>
          </cell>
          <cell r="H171">
            <v>3.4682043815485689E-2</v>
          </cell>
          <cell r="I171">
            <v>8.3453048603929301E-3</v>
          </cell>
        </row>
        <row r="172">
          <cell r="A172" t="str">
            <v>T_C-MHY-GSL-S3</v>
          </cell>
          <cell r="B172" t="str">
            <v>VAR_fout</v>
          </cell>
          <cell r="C172" t="str">
            <v>TPCAR</v>
          </cell>
          <cell r="H172">
            <v>2.0111536487624044E-4</v>
          </cell>
          <cell r="I172">
            <v>5.0583896274662845E-5</v>
          </cell>
        </row>
        <row r="173">
          <cell r="A173" t="str">
            <v>T_C-MHY-GSL-S3</v>
          </cell>
          <cell r="B173" t="str">
            <v>VAR_fin</v>
          </cell>
          <cell r="C173" t="str">
            <v>TGSL</v>
          </cell>
          <cell r="H173">
            <v>4.6994639316376365E-4</v>
          </cell>
          <cell r="I173">
            <v>1.1308001165844073E-4</v>
          </cell>
        </row>
        <row r="174">
          <cell r="A174" t="str">
            <v>T_C-MHY-GSL-S3</v>
          </cell>
          <cell r="B174" t="str">
            <v>VAR_ncap</v>
          </cell>
          <cell r="C174" t="str">
            <v>-</v>
          </cell>
        </row>
        <row r="175">
          <cell r="A175" t="str">
            <v>T_C-MHY-GSL-S3</v>
          </cell>
          <cell r="B175" t="str">
            <v>VAR_cap</v>
          </cell>
          <cell r="C175" t="str">
            <v>-</v>
          </cell>
          <cell r="H175">
            <v>1.5684379691346998E-5</v>
          </cell>
          <cell r="I175">
            <v>4.0617464647938499E-6</v>
          </cell>
        </row>
        <row r="176">
          <cell r="A176" t="str">
            <v>T_C-MHY-DSL-S2</v>
          </cell>
          <cell r="B176" t="str">
            <v>VAR_fout</v>
          </cell>
          <cell r="C176" t="str">
            <v>CO2_T</v>
          </cell>
          <cell r="H176">
            <v>2.4532374763227852E-2</v>
          </cell>
          <cell r="I176">
            <v>6.40137054995324E-3</v>
          </cell>
        </row>
        <row r="177">
          <cell r="A177" t="str">
            <v>T_C-MHY-DSL-S2</v>
          </cell>
          <cell r="B177" t="str">
            <v>VAR_fout</v>
          </cell>
          <cell r="C177" t="str">
            <v>TPCAR</v>
          </cell>
          <cell r="H177">
            <v>1.6491854869170252E-4</v>
          </cell>
          <cell r="I177">
            <v>4.4575983614858928E-5</v>
          </cell>
        </row>
        <row r="178">
          <cell r="A178" t="str">
            <v>T_C-MHY-DSL-S2</v>
          </cell>
          <cell r="B178" t="str">
            <v>VAR_fin</v>
          </cell>
          <cell r="C178" t="str">
            <v>TDSL</v>
          </cell>
          <cell r="H178">
            <v>3.3468451245877E-4</v>
          </cell>
          <cell r="I178">
            <v>8.7331112550521645E-5</v>
          </cell>
        </row>
        <row r="179">
          <cell r="A179" t="str">
            <v>T_C-MHY-DSL-S2</v>
          </cell>
          <cell r="B179" t="str">
            <v>VAR_ncap</v>
          </cell>
          <cell r="C179" t="str">
            <v>-</v>
          </cell>
        </row>
        <row r="180">
          <cell r="A180" t="str">
            <v>T_C-MHY-DSL-S2</v>
          </cell>
          <cell r="B180" t="str">
            <v>VAR_cap</v>
          </cell>
          <cell r="C180" t="str">
            <v>-</v>
          </cell>
          <cell r="H180">
            <v>1.43277743770911E-5</v>
          </cell>
          <cell r="I180">
            <v>3.9540503146651504E-6</v>
          </cell>
        </row>
        <row r="181">
          <cell r="A181" t="str">
            <v>T_C-MHY-GSL-S4</v>
          </cell>
          <cell r="B181" t="str">
            <v>VAR_fout</v>
          </cell>
          <cell r="C181" t="str">
            <v>CO2_T</v>
          </cell>
          <cell r="H181">
            <v>4.1244038229328948E-2</v>
          </cell>
          <cell r="I181">
            <v>9.8928575268245611E-3</v>
          </cell>
        </row>
        <row r="182">
          <cell r="A182" t="str">
            <v>T_C-MHY-GSL-S4</v>
          </cell>
          <cell r="B182" t="str">
            <v>VAR_fout</v>
          </cell>
          <cell r="C182" t="str">
            <v>TPCAR</v>
          </cell>
          <cell r="H182">
            <v>2.4161669124497275E-4</v>
          </cell>
          <cell r="I182">
            <v>6.0468998673494031E-5</v>
          </cell>
        </row>
        <row r="183">
          <cell r="A183" t="str">
            <v>T_C-MHY-GSL-S4</v>
          </cell>
          <cell r="B183" t="str">
            <v>VAR_fin</v>
          </cell>
          <cell r="C183" t="str">
            <v>TGSL</v>
          </cell>
          <cell r="H183">
            <v>5.5886230663047256E-4</v>
          </cell>
          <cell r="I183">
            <v>1.3404955998407264E-4</v>
          </cell>
        </row>
        <row r="184">
          <cell r="A184" t="str">
            <v>T_C-MHY-GSL-S4</v>
          </cell>
          <cell r="B184" t="str">
            <v>VAR_ncap</v>
          </cell>
          <cell r="C184" t="str">
            <v>-</v>
          </cell>
        </row>
        <row r="185">
          <cell r="A185" t="str">
            <v>T_C-MHY-GSL-S4</v>
          </cell>
          <cell r="B185" t="str">
            <v>VAR_cap</v>
          </cell>
          <cell r="C185" t="str">
            <v>-</v>
          </cell>
          <cell r="H185">
            <v>2.24625688474068E-5</v>
          </cell>
          <cell r="I185">
            <v>5.7567174036994502E-6</v>
          </cell>
        </row>
        <row r="186">
          <cell r="A186" t="str">
            <v>T_C-MHY-DSL-S3</v>
          </cell>
          <cell r="B186" t="str">
            <v>VAR_fout</v>
          </cell>
          <cell r="C186" t="str">
            <v>CO2_T</v>
          </cell>
          <cell r="H186">
            <v>2.5332118516614991E-2</v>
          </cell>
          <cell r="I186">
            <v>6.1987708188526603E-3</v>
          </cell>
        </row>
        <row r="187">
          <cell r="A187" t="str">
            <v>T_C-MHY-DSL-S3</v>
          </cell>
          <cell r="B187" t="str">
            <v>VAR_fout</v>
          </cell>
          <cell r="C187" t="str">
            <v>TPCAR</v>
          </cell>
          <cell r="H187">
            <v>1.5774580260275015E-4</v>
          </cell>
          <cell r="I187">
            <v>4.009104419409947E-5</v>
          </cell>
        </row>
        <row r="188">
          <cell r="A188" t="str">
            <v>T_C-MHY-DSL-S3</v>
          </cell>
          <cell r="B188" t="str">
            <v>VAR_fin</v>
          </cell>
          <cell r="C188" t="str">
            <v>TDSL</v>
          </cell>
          <cell r="H188">
            <v>3.455950684394946E-4</v>
          </cell>
          <cell r="I188">
            <v>8.456713259007731E-5</v>
          </cell>
        </row>
        <row r="189">
          <cell r="A189" t="str">
            <v>T_C-MHY-DSL-S3</v>
          </cell>
          <cell r="B189" t="str">
            <v>VAR_ncap</v>
          </cell>
          <cell r="C189" t="str">
            <v>-</v>
          </cell>
        </row>
        <row r="190">
          <cell r="A190" t="str">
            <v>T_C-MHY-DSL-S3</v>
          </cell>
          <cell r="B190" t="str">
            <v>VAR_cap</v>
          </cell>
          <cell r="C190" t="str">
            <v>-</v>
          </cell>
          <cell r="H190">
            <v>1.2155762632375001E-5</v>
          </cell>
          <cell r="I190">
            <v>3.15342623379425E-6</v>
          </cell>
        </row>
        <row r="191">
          <cell r="A191" t="str">
            <v>T_B_c-HYBDSL-S1</v>
          </cell>
          <cell r="B191" t="str">
            <v>VAR_fout</v>
          </cell>
          <cell r="C191" t="str">
            <v>CO2_T</v>
          </cell>
          <cell r="H191">
            <v>1.10939484806749E-3</v>
          </cell>
          <cell r="I191">
            <v>2.0490873948046402E-3</v>
          </cell>
          <cell r="J191">
            <v>7.8768039705035301E-4</v>
          </cell>
        </row>
        <row r="192">
          <cell r="A192" t="str">
            <v>T_B_c-HYBDSL-S1</v>
          </cell>
          <cell r="B192" t="str">
            <v>VAR_fout</v>
          </cell>
          <cell r="C192" t="str">
            <v>TPBSc</v>
          </cell>
          <cell r="H192">
            <v>2.9438494985352866E-6</v>
          </cell>
          <cell r="I192">
            <v>5.7209071275132578E-6</v>
          </cell>
          <cell r="J192">
            <v>2.1991479763689873E-6</v>
          </cell>
        </row>
        <row r="193">
          <cell r="A193" t="str">
            <v>T_B_c-HYBDSL-S1</v>
          </cell>
          <cell r="B193" t="str">
            <v>VAR_fin</v>
          </cell>
          <cell r="C193" t="str">
            <v>TDSL</v>
          </cell>
          <cell r="H193">
            <v>1.5134991105968425E-5</v>
          </cell>
          <cell r="I193">
            <v>2.795480756895831E-5</v>
          </cell>
          <cell r="J193">
            <v>1.0745980860168523E-5</v>
          </cell>
        </row>
        <row r="194">
          <cell r="A194" t="str">
            <v>T_B_c-HYBDSL-S1</v>
          </cell>
          <cell r="B194" t="str">
            <v>VAR_ncap</v>
          </cell>
          <cell r="C194" t="str">
            <v>-</v>
          </cell>
          <cell r="H194">
            <v>7.2279811371764003E-8</v>
          </cell>
          <cell r="I194">
            <v>1.2766279871105701E-7</v>
          </cell>
        </row>
        <row r="195">
          <cell r="A195" t="str">
            <v>T_B_c-HYBDSL-S1</v>
          </cell>
          <cell r="B195" t="str">
            <v>VAR_cap</v>
          </cell>
          <cell r="C195" t="str">
            <v>-</v>
          </cell>
          <cell r="H195">
            <v>9.2186527872547997E-8</v>
          </cell>
          <cell r="I195">
            <v>1.1508849002015669E-7</v>
          </cell>
          <cell r="J195">
            <v>7.6707854418160606E-8</v>
          </cell>
        </row>
        <row r="196">
          <cell r="A196" t="str">
            <v>T_C-MHY-DSL-S4</v>
          </cell>
          <cell r="B196" t="str">
            <v>VAR_fout</v>
          </cell>
          <cell r="C196" t="str">
            <v>CO2_T</v>
          </cell>
          <cell r="H196">
            <v>1.8389960313396132E-2</v>
          </cell>
          <cell r="I196">
            <v>4.6218195493606404E-3</v>
          </cell>
        </row>
        <row r="197">
          <cell r="A197" t="str">
            <v>T_C-MHY-DSL-S4</v>
          </cell>
          <cell r="B197" t="str">
            <v>VAR_fout</v>
          </cell>
          <cell r="C197" t="str">
            <v>TPCAR</v>
          </cell>
          <cell r="H197">
            <v>1.0878058463990703E-4</v>
          </cell>
          <cell r="I197">
            <v>2.839417795651077E-5</v>
          </cell>
        </row>
        <row r="198">
          <cell r="A198" t="str">
            <v>T_C-MHY-DSL-S4</v>
          </cell>
          <cell r="B198" t="str">
            <v>VAR_fin</v>
          </cell>
          <cell r="C198" t="str">
            <v>TDSL</v>
          </cell>
          <cell r="H198">
            <v>2.5088622528507664E-4</v>
          </cell>
          <cell r="I198">
            <v>6.3053472706147928E-5</v>
          </cell>
        </row>
        <row r="199">
          <cell r="A199" t="str">
            <v>T_C-MHY-DSL-S4</v>
          </cell>
          <cell r="B199" t="str">
            <v>VAR_ncap</v>
          </cell>
          <cell r="C199" t="str">
            <v>-</v>
          </cell>
        </row>
        <row r="200">
          <cell r="A200" t="str">
            <v>T_C-MHY-DSL-S4</v>
          </cell>
          <cell r="B200" t="str">
            <v>VAR_cap</v>
          </cell>
          <cell r="C200" t="str">
            <v>-</v>
          </cell>
          <cell r="H200">
            <v>9.8463743841208103E-6</v>
          </cell>
          <cell r="I200">
            <v>2.6128467614327901E-6</v>
          </cell>
        </row>
        <row r="201">
          <cell r="A201" t="str">
            <v>T_B_c-HYBDSL-S2</v>
          </cell>
          <cell r="B201" t="str">
            <v>VAR_fout</v>
          </cell>
          <cell r="C201" t="str">
            <v>CO2_T</v>
          </cell>
          <cell r="H201">
            <v>4.5944108463594403E-4</v>
          </cell>
          <cell r="I201">
            <v>2.46238854236071E-3</v>
          </cell>
          <cell r="J201">
            <v>1.1859916113021E-3</v>
          </cell>
        </row>
        <row r="202">
          <cell r="A202" t="str">
            <v>T_B_c-HYBDSL-S2</v>
          </cell>
          <cell r="B202" t="str">
            <v>VAR_fout</v>
          </cell>
          <cell r="C202" t="str">
            <v>TPBSc</v>
          </cell>
          <cell r="H202">
            <v>8.7374506417517519E-7</v>
          </cell>
          <cell r="I202">
            <v>4.9272001873789532E-6</v>
          </cell>
          <cell r="J202">
            <v>2.373150292453538E-6</v>
          </cell>
        </row>
        <row r="203">
          <cell r="A203" t="str">
            <v>T_B_c-HYBDSL-S2</v>
          </cell>
          <cell r="B203" t="str">
            <v>VAR_fin</v>
          </cell>
          <cell r="C203" t="str">
            <v>TDSL</v>
          </cell>
          <cell r="H203">
            <v>6.2679547699310253E-6</v>
          </cell>
          <cell r="I203">
            <v>3.3593295257308472E-5</v>
          </cell>
          <cell r="J203">
            <v>1.6179967412034082E-5</v>
          </cell>
        </row>
        <row r="204">
          <cell r="A204" t="str">
            <v>T_B_c-HYBDSL-S2</v>
          </cell>
          <cell r="B204" t="str">
            <v>VAR_ncap</v>
          </cell>
          <cell r="C204" t="str">
            <v>-</v>
          </cell>
          <cell r="H204">
            <v>2.8809583965554099E-8</v>
          </cell>
          <cell r="I204">
            <v>1.03439885339475E-7</v>
          </cell>
        </row>
        <row r="205">
          <cell r="A205" t="str">
            <v>T_B_c-HYBDSL-S2</v>
          </cell>
          <cell r="B205" t="str">
            <v>VAR_cap</v>
          </cell>
          <cell r="C205" t="str">
            <v>-</v>
          </cell>
          <cell r="H205">
            <v>2.5374408142451007E-8</v>
          </cell>
          <cell r="I205">
            <v>8.2790723206430497E-8</v>
          </cell>
          <cell r="J205">
            <v>5.6931404295480997E-8</v>
          </cell>
        </row>
        <row r="206">
          <cell r="A206" t="str">
            <v>T_C-BATELCEXT</v>
          </cell>
          <cell r="B206" t="str">
            <v>VAR_fout</v>
          </cell>
          <cell r="C206" t="str">
            <v>TPCAR</v>
          </cell>
        </row>
        <row r="207">
          <cell r="A207" t="str">
            <v>T_C-BATELCEXT</v>
          </cell>
          <cell r="B207" t="str">
            <v>VAR_fin</v>
          </cell>
          <cell r="C207" t="str">
            <v>T-ELC-car</v>
          </cell>
        </row>
        <row r="208">
          <cell r="A208" t="str">
            <v>T_C-BATELCEXT</v>
          </cell>
          <cell r="B208" t="str">
            <v>VAR_cap</v>
          </cell>
          <cell r="C208" t="str">
            <v>-</v>
          </cell>
        </row>
        <row r="209">
          <cell r="A209" t="str">
            <v>D-TDSL</v>
          </cell>
          <cell r="B209" t="str">
            <v>VAR_fout</v>
          </cell>
          <cell r="C209" t="str">
            <v>CO2</v>
          </cell>
          <cell r="H209">
            <v>2373.7075870457202</v>
          </cell>
          <cell r="I209">
            <v>1080.8482764425601</v>
          </cell>
          <cell r="J209">
            <v>96.818954743823895</v>
          </cell>
        </row>
        <row r="210">
          <cell r="A210" t="str">
            <v>D-TDSL</v>
          </cell>
          <cell r="B210" t="str">
            <v>VAR_fout</v>
          </cell>
          <cell r="C210" t="str">
            <v>TDSL</v>
          </cell>
          <cell r="H210">
            <v>31.907548864236876</v>
          </cell>
          <cell r="I210">
            <v>14.528840613573337</v>
          </cell>
          <cell r="J210">
            <v>1.3014473839710525</v>
          </cell>
        </row>
        <row r="211">
          <cell r="A211" t="str">
            <v>D-TDSL</v>
          </cell>
          <cell r="B211" t="str">
            <v>VAR_fin</v>
          </cell>
          <cell r="C211" t="str">
            <v>DSL</v>
          </cell>
          <cell r="H211">
            <v>32.383459577704294</v>
          </cell>
          <cell r="I211">
            <v>14.745542652695175</v>
          </cell>
          <cell r="J211">
            <v>1.3208588641722216</v>
          </cell>
        </row>
        <row r="212">
          <cell r="A212" t="str">
            <v>T_B_c-HYBDSL-S3</v>
          </cell>
          <cell r="B212" t="str">
            <v>VAR_fout</v>
          </cell>
          <cell r="C212" t="str">
            <v>CO2_T</v>
          </cell>
        </row>
        <row r="213">
          <cell r="A213" t="str">
            <v>T_B_c-HYBDSL-S3</v>
          </cell>
          <cell r="B213" t="str">
            <v>VAR_fout</v>
          </cell>
          <cell r="C213" t="str">
            <v>TPBSc</v>
          </cell>
        </row>
        <row r="214">
          <cell r="A214" t="str">
            <v>T_B_c-HYBDSL-S3</v>
          </cell>
          <cell r="B214" t="str">
            <v>VAR_fin</v>
          </cell>
          <cell r="C214" t="str">
            <v>TDSL</v>
          </cell>
        </row>
        <row r="215">
          <cell r="A215" t="str">
            <v>T_B_c-HYBDSL-S3</v>
          </cell>
          <cell r="B215" t="str">
            <v>VAR_ncap</v>
          </cell>
          <cell r="C215" t="str">
            <v>-</v>
          </cell>
        </row>
        <row r="216">
          <cell r="A216" t="str">
            <v>T_B_c-HYBDSL-S3</v>
          </cell>
          <cell r="B216" t="str">
            <v>VAR_cap</v>
          </cell>
          <cell r="C216" t="str">
            <v>-</v>
          </cell>
          <cell r="H216">
            <v>6.1039869791058003E-9</v>
          </cell>
          <cell r="I216">
            <v>-1.05584583166624E-8</v>
          </cell>
        </row>
        <row r="217">
          <cell r="A217" t="str">
            <v>T-Bat-Car-STG_S1</v>
          </cell>
          <cell r="B217" t="str">
            <v>VAR_fout</v>
          </cell>
          <cell r="C217" t="str">
            <v>T-ELC-car-BatSTGAUXout_S1</v>
          </cell>
          <cell r="H217">
            <v>1.0095447363160046</v>
          </cell>
          <cell r="I217">
            <v>1.5472370280303334</v>
          </cell>
          <cell r="J217">
            <v>1.5662982343710496</v>
          </cell>
        </row>
        <row r="218">
          <cell r="A218" t="str">
            <v>T-Bat-Car-STG_S1</v>
          </cell>
          <cell r="B218" t="str">
            <v>VAR_fout</v>
          </cell>
          <cell r="C218" t="str">
            <v>T-ELC-car-BatSTGOut_S1</v>
          </cell>
          <cell r="H218">
            <v>1.0095447363160046</v>
          </cell>
          <cell r="I218">
            <v>1.5472370280303331</v>
          </cell>
          <cell r="J218">
            <v>1.5662982343710496</v>
          </cell>
        </row>
        <row r="219">
          <cell r="A219" t="str">
            <v>T-Bat-Car-STG_S1</v>
          </cell>
          <cell r="B219" t="str">
            <v>VAR_fin</v>
          </cell>
          <cell r="C219" t="str">
            <v>T-ELC-car-BatSTGAUXin_S1</v>
          </cell>
          <cell r="H219">
            <v>1.0096710192827054</v>
          </cell>
          <cell r="I219">
            <v>1.5474122027281505</v>
          </cell>
          <cell r="J219">
            <v>1.5664731391998457</v>
          </cell>
        </row>
        <row r="220">
          <cell r="A220" t="str">
            <v>T-Bat-Car-STG_S1</v>
          </cell>
          <cell r="B220" t="str">
            <v>VAR_fin</v>
          </cell>
          <cell r="C220" t="str">
            <v>T-ELC-car-BatSTGin_S1</v>
          </cell>
          <cell r="H220">
            <v>1.0096710192827054</v>
          </cell>
          <cell r="I220">
            <v>1.5474122027281505</v>
          </cell>
          <cell r="J220">
            <v>1.5664731391998457</v>
          </cell>
        </row>
        <row r="221">
          <cell r="A221" t="str">
            <v>T-Bat-Car-STG_S1</v>
          </cell>
          <cell r="B221" t="str">
            <v>VAR_ncap</v>
          </cell>
          <cell r="C221" t="str">
            <v>-</v>
          </cell>
          <cell r="H221">
            <v>15.409233435047399</v>
          </cell>
          <cell r="I221">
            <v>10.1753797889683</v>
          </cell>
          <cell r="J221">
            <v>19.8630829120093</v>
          </cell>
        </row>
        <row r="222">
          <cell r="A222" t="str">
            <v>T-Bat-Car-STG_S1</v>
          </cell>
          <cell r="B222" t="str">
            <v>VAR_cap</v>
          </cell>
          <cell r="C222" t="str">
            <v>-</v>
          </cell>
          <cell r="H222">
            <v>21.267347195236017</v>
          </cell>
          <cell r="I222">
            <v>25.932761526363453</v>
          </cell>
          <cell r="J222">
            <v>25.925370638218773</v>
          </cell>
        </row>
        <row r="223">
          <cell r="A223" t="str">
            <v>T_B_c-HYBDSL-S4</v>
          </cell>
          <cell r="B223" t="str">
            <v>VAR_fout</v>
          </cell>
          <cell r="C223" t="str">
            <v>CO2_T</v>
          </cell>
        </row>
        <row r="224">
          <cell r="A224" t="str">
            <v>T_B_c-HYBDSL-S4</v>
          </cell>
          <cell r="B224" t="str">
            <v>VAR_fout</v>
          </cell>
          <cell r="C224" t="str">
            <v>TPBSc</v>
          </cell>
        </row>
        <row r="225">
          <cell r="A225" t="str">
            <v>T_B_c-HYBDSL-S4</v>
          </cell>
          <cell r="B225" t="str">
            <v>VAR_fin</v>
          </cell>
          <cell r="C225" t="str">
            <v>TDSL</v>
          </cell>
        </row>
        <row r="226">
          <cell r="A226" t="str">
            <v>T_B_c-HYBDSL-S4</v>
          </cell>
          <cell r="B226" t="str">
            <v>VAR_ncap</v>
          </cell>
          <cell r="C226" t="str">
            <v>-</v>
          </cell>
        </row>
        <row r="227">
          <cell r="A227" t="str">
            <v>T_B_c-HYBDSL-S4</v>
          </cell>
          <cell r="B227" t="str">
            <v>VAR_cap</v>
          </cell>
          <cell r="C227" t="str">
            <v>-</v>
          </cell>
          <cell r="H227">
            <v>-2.73819007521248E-9</v>
          </cell>
          <cell r="I227">
            <v>-1.2626777158470199E-8</v>
          </cell>
        </row>
        <row r="228">
          <cell r="A228" t="str">
            <v>TFHGV-ICEDSLExt</v>
          </cell>
          <cell r="B228" t="str">
            <v>VAR_fout</v>
          </cell>
          <cell r="C228" t="str">
            <v>CO2_T</v>
          </cell>
        </row>
        <row r="229">
          <cell r="A229" t="str">
            <v>TFHGV-ICEDSLExt</v>
          </cell>
          <cell r="B229" t="str">
            <v>VAR_fout</v>
          </cell>
          <cell r="C229" t="str">
            <v>TFHGV</v>
          </cell>
        </row>
        <row r="230">
          <cell r="A230" t="str">
            <v>TFHGV-ICEDSLExt</v>
          </cell>
          <cell r="B230" t="str">
            <v>VAR_fin</v>
          </cell>
          <cell r="C230" t="str">
            <v>TDSL</v>
          </cell>
        </row>
        <row r="231">
          <cell r="A231" t="str">
            <v>TFHGV-ICEDSLExt</v>
          </cell>
          <cell r="B231" t="str">
            <v>VAR_cap</v>
          </cell>
          <cell r="C231" t="str">
            <v>-</v>
          </cell>
        </row>
        <row r="232">
          <cell r="A232" t="str">
            <v>TPSHPGSLEXT</v>
          </cell>
          <cell r="B232" t="str">
            <v>VAR_fout</v>
          </cell>
          <cell r="C232" t="str">
            <v>TPSHP</v>
          </cell>
          <cell r="H232">
            <v>3.55240156965329E-3</v>
          </cell>
          <cell r="I232">
            <v>0.115585866379828</v>
          </cell>
        </row>
        <row r="233">
          <cell r="A233" t="str">
            <v>TPSHPGSLEXT</v>
          </cell>
          <cell r="B233" t="str">
            <v>VAR_fout</v>
          </cell>
          <cell r="C233" t="str">
            <v>CO2_T</v>
          </cell>
          <cell r="H233">
            <v>0.28923619504231701</v>
          </cell>
          <cell r="I233">
            <v>9.4109901532427802</v>
          </cell>
        </row>
        <row r="234">
          <cell r="A234" t="str">
            <v>TPSHPGSLEXT</v>
          </cell>
          <cell r="B234" t="str">
            <v>VAR_fin</v>
          </cell>
          <cell r="C234" t="str">
            <v>TGSL</v>
          </cell>
          <cell r="H234">
            <v>3.9191896347197663E-3</v>
          </cell>
          <cell r="I234">
            <v>0.12752019177835733</v>
          </cell>
        </row>
        <row r="235">
          <cell r="A235" t="str">
            <v>TPSHPGSLEXT</v>
          </cell>
          <cell r="B235" t="str">
            <v>VAR_ncap</v>
          </cell>
          <cell r="C235" t="str">
            <v>-</v>
          </cell>
          <cell r="H235">
            <v>8.0625444578942492E-6</v>
          </cell>
          <cell r="I235">
            <v>0.11432380092584001</v>
          </cell>
          <cell r="J235">
            <v>1.01542652543624E-6</v>
          </cell>
        </row>
        <row r="236">
          <cell r="A236" t="str">
            <v>TPSHPGSLEXT</v>
          </cell>
          <cell r="B236" t="str">
            <v>VAR_cap</v>
          </cell>
          <cell r="C236" t="str">
            <v>-</v>
          </cell>
          <cell r="H236">
            <v>3.5481224910038911E-3</v>
          </cell>
          <cell r="I236">
            <v>0.11556923629928806</v>
          </cell>
          <cell r="J236">
            <v>3.7838612700069607E-6</v>
          </cell>
        </row>
        <row r="237">
          <cell r="A237" t="str">
            <v>T-Bat-Car-STG_S2</v>
          </cell>
          <cell r="B237" t="str">
            <v>VAR_fout</v>
          </cell>
          <cell r="C237" t="str">
            <v>T-ELC-car-BatSTGAUXout_S2</v>
          </cell>
          <cell r="H237">
            <v>10.582263194446007</v>
          </cell>
          <cell r="I237">
            <v>11.811012229323692</v>
          </cell>
          <cell r="J237">
            <v>10.637911425322338</v>
          </cell>
        </row>
        <row r="238">
          <cell r="A238" t="str">
            <v>T-Bat-Car-STG_S2</v>
          </cell>
          <cell r="B238" t="str">
            <v>VAR_fout</v>
          </cell>
          <cell r="C238" t="str">
            <v>T-ELC-car-BatSTGOut_S2</v>
          </cell>
          <cell r="H238">
            <v>10.582263194446005</v>
          </cell>
          <cell r="I238">
            <v>11.811012229323689</v>
          </cell>
          <cell r="J238">
            <v>10.637911425322338</v>
          </cell>
        </row>
        <row r="239">
          <cell r="A239" t="str">
            <v>T-Bat-Car-STG_S2</v>
          </cell>
          <cell r="B239" t="str">
            <v>VAR_fin</v>
          </cell>
          <cell r="C239" t="str">
            <v>T-ELC-car-BatSTGAUXin_S2</v>
          </cell>
          <cell r="H239">
            <v>10.583343450797651</v>
          </cell>
          <cell r="I239">
            <v>11.812212476674706</v>
          </cell>
          <cell r="J239">
            <v>10.638991903988295</v>
          </cell>
        </row>
        <row r="240">
          <cell r="A240" t="str">
            <v>T-Bat-Car-STG_S2</v>
          </cell>
          <cell r="B240" t="str">
            <v>VAR_fin</v>
          </cell>
          <cell r="C240" t="str">
            <v>T-ELC-car-BatSTGin_S2</v>
          </cell>
          <cell r="H240">
            <v>10.583343450797651</v>
          </cell>
          <cell r="I240">
            <v>11.812212476674706</v>
          </cell>
          <cell r="J240">
            <v>10.638991903988295</v>
          </cell>
        </row>
        <row r="241">
          <cell r="A241" t="str">
            <v>T-Bat-Car-STG_S2</v>
          </cell>
          <cell r="B241" t="str">
            <v>VAR_ncap</v>
          </cell>
          <cell r="C241" t="str">
            <v>-</v>
          </cell>
          <cell r="H241">
            <v>164.64300905803299</v>
          </cell>
          <cell r="I241">
            <v>83.429723369314203</v>
          </cell>
          <cell r="J241">
            <v>178.56403023875399</v>
          </cell>
        </row>
        <row r="242">
          <cell r="A242" t="str">
            <v>T-Bat-Car-STG_S2</v>
          </cell>
          <cell r="B242" t="str">
            <v>VAR_cap</v>
          </cell>
          <cell r="C242" t="str">
            <v>-</v>
          </cell>
          <cell r="H242">
            <v>225.10227025130013</v>
          </cell>
          <cell r="I242">
            <v>251.37317092982795</v>
          </cell>
          <cell r="J242">
            <v>235.27168924161023</v>
          </cell>
        </row>
        <row r="243">
          <cell r="A243" t="str">
            <v>T_TW-ICEGSL-S1</v>
          </cell>
          <cell r="B243" t="str">
            <v>VAR_fout</v>
          </cell>
          <cell r="C243" t="str">
            <v>CO2_T</v>
          </cell>
          <cell r="H243">
            <v>63.719693580576816</v>
          </cell>
          <cell r="I243">
            <v>32.976090190858237</v>
          </cell>
          <cell r="J243">
            <v>5.2444398126636047</v>
          </cell>
        </row>
        <row r="244">
          <cell r="A244" t="str">
            <v>T_TW-ICEGSL-S1</v>
          </cell>
          <cell r="B244" t="str">
            <v>VAR_fout</v>
          </cell>
          <cell r="C244" t="str">
            <v>TPTWL</v>
          </cell>
          <cell r="H244">
            <v>1.7457976408349938</v>
          </cell>
          <cell r="I244">
            <v>0.91136745427368016</v>
          </cell>
          <cell r="J244">
            <v>0.1456391850229333</v>
          </cell>
        </row>
        <row r="245">
          <cell r="A245" t="str">
            <v>T_TW-ICEGSL-S1</v>
          </cell>
          <cell r="B245" t="str">
            <v>VAR_fin</v>
          </cell>
          <cell r="C245" t="str">
            <v>TGSL</v>
          </cell>
          <cell r="H245">
            <v>0.86341048212163918</v>
          </cell>
          <cell r="I245">
            <v>0.44683049039103429</v>
          </cell>
          <cell r="J245">
            <v>7.1062870090292649E-2</v>
          </cell>
        </row>
        <row r="246">
          <cell r="A246" t="str">
            <v>T_TW-ICEGSL-S1</v>
          </cell>
          <cell r="B246" t="str">
            <v>VAR_ncap</v>
          </cell>
          <cell r="C246" t="str">
            <v>-</v>
          </cell>
          <cell r="H246">
            <v>0.38543780933359201</v>
          </cell>
          <cell r="I246">
            <v>6.3836333244751903E-4</v>
          </cell>
          <cell r="J246">
            <v>2.1637238227611199E-3</v>
          </cell>
        </row>
        <row r="247">
          <cell r="A247" t="str">
            <v>T_TW-ICEGSL-S1</v>
          </cell>
          <cell r="B247" t="str">
            <v>VAR_cap</v>
          </cell>
          <cell r="C247" t="str">
            <v>-</v>
          </cell>
          <cell r="H247">
            <v>0.71983759177203177</v>
          </cell>
          <cell r="I247">
            <v>0.43485176786221574</v>
          </cell>
          <cell r="J247">
            <v>7.0123700955967733E-2</v>
          </cell>
        </row>
        <row r="248">
          <cell r="A248" t="str">
            <v>TPSHPDSLEXT</v>
          </cell>
          <cell r="B248" t="str">
            <v>VAR_fout</v>
          </cell>
          <cell r="C248" t="str">
            <v>TPSHP</v>
          </cell>
          <cell r="H248">
            <v>13.192224205757499</v>
          </cell>
          <cell r="I248">
            <v>7.3302481890735898</v>
          </cell>
          <cell r="J248">
            <v>2.0189240793456298</v>
          </cell>
        </row>
        <row r="249">
          <cell r="A249" t="str">
            <v>TPSHPDSLEXT</v>
          </cell>
          <cell r="B249" t="str">
            <v>VAR_fout</v>
          </cell>
          <cell r="C249" t="str">
            <v>CO2_T</v>
          </cell>
          <cell r="H249">
            <v>978.46767522733796</v>
          </cell>
          <cell r="I249">
            <v>543.68473371396703</v>
          </cell>
          <cell r="J249">
            <v>149.743661081478</v>
          </cell>
        </row>
        <row r="250">
          <cell r="A250" t="str">
            <v>TPSHPDSLEXT</v>
          </cell>
          <cell r="B250" t="str">
            <v>VAR_fin</v>
          </cell>
          <cell r="C250" t="str">
            <v>TDSL</v>
          </cell>
          <cell r="H250">
            <v>13.34880866613015</v>
          </cell>
          <cell r="I250">
            <v>7.4172542116503566</v>
          </cell>
          <cell r="J250">
            <v>2.0428876000201535</v>
          </cell>
        </row>
        <row r="251">
          <cell r="A251" t="str">
            <v>TPSHPDSLEXT</v>
          </cell>
          <cell r="B251" t="str">
            <v>VAR_ncap</v>
          </cell>
          <cell r="C251" t="str">
            <v>-</v>
          </cell>
          <cell r="H251">
            <v>9.9274330468588802E-6</v>
          </cell>
          <cell r="I251">
            <v>2.7139603207246101</v>
          </cell>
          <cell r="J251">
            <v>1.8669874028758199E-6</v>
          </cell>
        </row>
        <row r="252">
          <cell r="A252" t="str">
            <v>TPSHPDSLEXT</v>
          </cell>
          <cell r="B252" t="str">
            <v>VAR_cap</v>
          </cell>
          <cell r="C252" t="str">
            <v>-</v>
          </cell>
          <cell r="H252">
            <v>13.192219493203732</v>
          </cell>
          <cell r="I252">
            <v>7.3302368054100002</v>
          </cell>
          <cell r="J252">
            <v>2.0189144234762941</v>
          </cell>
        </row>
        <row r="253">
          <cell r="A253" t="str">
            <v>T-Bat-Car-STG_S3</v>
          </cell>
          <cell r="B253" t="str">
            <v>VAR_fout</v>
          </cell>
          <cell r="C253" t="str">
            <v>T-ELC-car-BatSTGAUXout_S3</v>
          </cell>
          <cell r="H253">
            <v>0.70042731910443823</v>
          </cell>
          <cell r="I253">
            <v>6.2409135424692002</v>
          </cell>
          <cell r="J253">
            <v>9.253218384436094</v>
          </cell>
        </row>
        <row r="254">
          <cell r="A254" t="str">
            <v>T-Bat-Car-STG_S3</v>
          </cell>
          <cell r="B254" t="str">
            <v>VAR_fout</v>
          </cell>
          <cell r="C254" t="str">
            <v>T-ELC-car-BatSTGOut_S3</v>
          </cell>
          <cell r="H254">
            <v>0.70042731910443823</v>
          </cell>
          <cell r="I254">
            <v>6.2409135424691993</v>
          </cell>
          <cell r="J254">
            <v>9.2532183844360905</v>
          </cell>
        </row>
        <row r="255">
          <cell r="A255" t="str">
            <v>T-Bat-Car-STG_S3</v>
          </cell>
          <cell r="B255" t="str">
            <v>VAR_fin</v>
          </cell>
          <cell r="C255" t="str">
            <v>T-ELC-car-BatSTGAUXin_S3</v>
          </cell>
          <cell r="H255">
            <v>0.70051928221873605</v>
          </cell>
          <cell r="I255">
            <v>6.2415552626521382</v>
          </cell>
          <cell r="J255">
            <v>9.2541603177908964</v>
          </cell>
        </row>
        <row r="256">
          <cell r="A256" t="str">
            <v>T-Bat-Car-STG_S3</v>
          </cell>
          <cell r="B256" t="str">
            <v>VAR_fin</v>
          </cell>
          <cell r="C256" t="str">
            <v>T-ELC-car-BatSTGin_S3</v>
          </cell>
          <cell r="H256">
            <v>0.70051928221873605</v>
          </cell>
          <cell r="I256">
            <v>6.2415552626521382</v>
          </cell>
          <cell r="J256">
            <v>9.2541603177908964</v>
          </cell>
        </row>
        <row r="257">
          <cell r="A257" t="str">
            <v>T-Bat-Car-STG_S3</v>
          </cell>
          <cell r="B257" t="str">
            <v>VAR_ncap</v>
          </cell>
          <cell r="C257" t="str">
            <v>-</v>
          </cell>
          <cell r="H257">
            <v>8.2695736417869092</v>
          </cell>
          <cell r="I257">
            <v>88.484935946093302</v>
          </cell>
          <cell r="J257">
            <v>111.10849492499899</v>
          </cell>
        </row>
        <row r="258">
          <cell r="A258" t="str">
            <v>T-Bat-Car-STG_S3</v>
          </cell>
          <cell r="B258" t="str">
            <v>VAR_cap</v>
          </cell>
          <cell r="C258" t="str">
            <v>-</v>
          </cell>
          <cell r="H258">
            <v>10.104623374474098</v>
          </cell>
          <cell r="I258">
            <v>92.228569535752555</v>
          </cell>
          <cell r="J258">
            <v>141.52695483244111</v>
          </cell>
        </row>
        <row r="259">
          <cell r="A259" t="str">
            <v>T_TW-ICEGSL-S2</v>
          </cell>
          <cell r="B259" t="str">
            <v>VAR_fout</v>
          </cell>
          <cell r="C259" t="str">
            <v>CO2_T</v>
          </cell>
          <cell r="H259">
            <v>0.73246320907401097</v>
          </cell>
          <cell r="I259">
            <v>2.3528139356963958E-2</v>
          </cell>
          <cell r="J259">
            <v>1.3613417483261569E-2</v>
          </cell>
        </row>
        <row r="260">
          <cell r="A260" t="str">
            <v>T_TW-ICEGSL-S2</v>
          </cell>
          <cell r="B260" t="str">
            <v>VAR_fout</v>
          </cell>
          <cell r="C260" t="str">
            <v>TPTWL</v>
          </cell>
          <cell r="H260">
            <v>1.1014377586449799E-2</v>
          </cell>
          <cell r="I260">
            <v>3.7646495438296336E-4</v>
          </cell>
          <cell r="J260">
            <v>2.2444469001667915E-4</v>
          </cell>
        </row>
        <row r="261">
          <cell r="A261" t="str">
            <v>T_TW-ICEGSL-S2</v>
          </cell>
          <cell r="B261" t="str">
            <v>VAR_fin</v>
          </cell>
          <cell r="C261" t="str">
            <v>TGSL</v>
          </cell>
          <cell r="H261">
            <v>9.9249757327101902E-3</v>
          </cell>
          <cell r="I261">
            <v>3.1880947638162607E-4</v>
          </cell>
          <cell r="J261">
            <v>1.8446365153470981E-4</v>
          </cell>
        </row>
        <row r="262">
          <cell r="A262" t="str">
            <v>T_TW-ICEGSL-S2</v>
          </cell>
          <cell r="B262" t="str">
            <v>VAR_ncap</v>
          </cell>
          <cell r="C262" t="str">
            <v>-</v>
          </cell>
          <cell r="H262">
            <v>7.4988477282369301E-5</v>
          </cell>
          <cell r="I262">
            <v>4.8017641112596501E-5</v>
          </cell>
          <cell r="J262">
            <v>3.5286670405012897E-5</v>
          </cell>
        </row>
        <row r="263">
          <cell r="A263" t="str">
            <v>T_TW-ICEGSL-S2</v>
          </cell>
          <cell r="B263" t="str">
            <v>VAR_cap</v>
          </cell>
          <cell r="C263" t="str">
            <v>-</v>
          </cell>
          <cell r="H263">
            <v>5.181496358298023E-3</v>
          </cell>
          <cell r="I263">
            <v>1.5527895970086848E-4</v>
          </cell>
          <cell r="J263">
            <v>9.2246420691461645E-5</v>
          </cell>
        </row>
        <row r="264">
          <cell r="A264" t="str">
            <v>T-Bat-Car-STG_S4</v>
          </cell>
          <cell r="B264" t="str">
            <v>VAR_fout</v>
          </cell>
          <cell r="C264" t="str">
            <v>T-ELC-car-BatSTGAUXout_S4</v>
          </cell>
          <cell r="H264">
            <v>16.146328103193358</v>
          </cell>
          <cell r="I264">
            <v>16.708011843504465</v>
          </cell>
          <cell r="J264">
            <v>15.565784733733024</v>
          </cell>
        </row>
        <row r="265">
          <cell r="A265" t="str">
            <v>T-Bat-Car-STG_S4</v>
          </cell>
          <cell r="B265" t="str">
            <v>VAR_fout</v>
          </cell>
          <cell r="C265" t="str">
            <v>T-ELC-car-BatSTGOut_S4</v>
          </cell>
          <cell r="H265">
            <v>16.146328103193355</v>
          </cell>
          <cell r="I265">
            <v>16.708011843504462</v>
          </cell>
          <cell r="J265">
            <v>15.56578473373302</v>
          </cell>
        </row>
        <row r="266">
          <cell r="A266" t="str">
            <v>T-Bat-Car-STG_S4</v>
          </cell>
          <cell r="B266" t="str">
            <v>VAR_fin</v>
          </cell>
          <cell r="C266" t="str">
            <v>T-ELC-car-BatSTGAUXin_S4</v>
          </cell>
          <cell r="H266">
            <v>16.147964797323809</v>
          </cell>
          <cell r="I266">
            <v>16.709699371330338</v>
          </cell>
          <cell r="J266">
            <v>15.567357472677186</v>
          </cell>
        </row>
        <row r="267">
          <cell r="A267" t="str">
            <v>T-Bat-Car-STG_S4</v>
          </cell>
          <cell r="B267" t="str">
            <v>VAR_fin</v>
          </cell>
          <cell r="C267" t="str">
            <v>T-ELC-car-BatSTGin_S4</v>
          </cell>
          <cell r="H267">
            <v>16.147964797323809</v>
          </cell>
          <cell r="I267">
            <v>16.709699371330338</v>
          </cell>
          <cell r="J267">
            <v>15.567357472677186</v>
          </cell>
        </row>
        <row r="268">
          <cell r="A268" t="str">
            <v>T-Bat-Car-STG_S4</v>
          </cell>
          <cell r="B268" t="str">
            <v>VAR_ncap</v>
          </cell>
          <cell r="C268" t="str">
            <v>-</v>
          </cell>
          <cell r="H268">
            <v>132.57217991901601</v>
          </cell>
          <cell r="I268">
            <v>105.729161560888</v>
          </cell>
          <cell r="J268">
            <v>277.22859948539002</v>
          </cell>
        </row>
        <row r="269">
          <cell r="A269" t="str">
            <v>T-Bat-Car-STG_S4</v>
          </cell>
          <cell r="B269" t="str">
            <v>VAR_cap</v>
          </cell>
          <cell r="C269" t="str">
            <v>-</v>
          </cell>
          <cell r="H269">
            <v>255.28170926132867</v>
          </cell>
          <cell r="I269">
            <v>265.71345035394694</v>
          </cell>
          <cell r="J269">
            <v>322.84291208053327</v>
          </cell>
        </row>
        <row r="270">
          <cell r="A270" t="str">
            <v>T_TW-ICEGSL-S3</v>
          </cell>
          <cell r="B270" t="str">
            <v>VAR_fout</v>
          </cell>
          <cell r="C270" t="str">
            <v>CO2_T</v>
          </cell>
          <cell r="H270">
            <v>0.99463167592553758</v>
          </cell>
          <cell r="I270">
            <v>0.10879586578170851</v>
          </cell>
          <cell r="J270">
            <v>1.324236136854306E-2</v>
          </cell>
        </row>
        <row r="271">
          <cell r="A271" t="str">
            <v>T_TW-ICEGSL-S3</v>
          </cell>
          <cell r="B271" t="str">
            <v>VAR_fout</v>
          </cell>
          <cell r="C271" t="str">
            <v>TPTWL</v>
          </cell>
          <cell r="H271">
            <v>9.8647489975046583E-3</v>
          </cell>
          <cell r="I271">
            <v>1.0887999275255855E-3</v>
          </cell>
          <cell r="J271">
            <v>1.4270292119408792E-4</v>
          </cell>
        </row>
        <row r="272">
          <cell r="A272" t="str">
            <v>T_TW-ICEGSL-S3</v>
          </cell>
          <cell r="B272" t="str">
            <v>VAR_fin</v>
          </cell>
          <cell r="C272" t="str">
            <v>TGSL</v>
          </cell>
          <cell r="H272">
            <v>1.3477393982730892E-2</v>
          </cell>
          <cell r="I272">
            <v>1.4741987233293885E-3</v>
          </cell>
          <cell r="J272">
            <v>1.7943579090166732E-4</v>
          </cell>
        </row>
        <row r="273">
          <cell r="A273" t="str">
            <v>T_TW-ICEGSL-S3</v>
          </cell>
          <cell r="B273" t="str">
            <v>VAR_ncap</v>
          </cell>
          <cell r="C273" t="str">
            <v>-</v>
          </cell>
          <cell r="H273">
            <v>2.3898856805319199E-5</v>
          </cell>
          <cell r="I273">
            <v>1.6966758851672499E-5</v>
          </cell>
          <cell r="J273">
            <v>1.48875231282051E-5</v>
          </cell>
        </row>
        <row r="274">
          <cell r="A274" t="str">
            <v>T_TW-ICEGSL-S3</v>
          </cell>
          <cell r="B274" t="str">
            <v>VAR_cap</v>
          </cell>
          <cell r="C274" t="str">
            <v>-</v>
          </cell>
          <cell r="H274">
            <v>4.6286278201999112E-3</v>
          </cell>
          <cell r="I274">
            <v>4.8353128756399751E-4</v>
          </cell>
          <cell r="J274">
            <v>5.7430384498568019E-5</v>
          </cell>
        </row>
        <row r="275">
          <cell r="A275" t="str">
            <v>T_C-ICEGSLEXT</v>
          </cell>
          <cell r="B275" t="str">
            <v>VAR_fout</v>
          </cell>
          <cell r="C275" t="str">
            <v>CO2_T</v>
          </cell>
        </row>
        <row r="276">
          <cell r="A276" t="str">
            <v>T_C-ICEGSLEXT</v>
          </cell>
          <cell r="B276" t="str">
            <v>VAR_fout</v>
          </cell>
          <cell r="C276" t="str">
            <v>TPCAR</v>
          </cell>
        </row>
        <row r="277">
          <cell r="A277" t="str">
            <v>T_C-ICEGSLEXT</v>
          </cell>
          <cell r="B277" t="str">
            <v>VAR_fin</v>
          </cell>
          <cell r="C277" t="str">
            <v>TGSL</v>
          </cell>
        </row>
        <row r="278">
          <cell r="A278" t="str">
            <v>T_C-ICEGSLEXT</v>
          </cell>
          <cell r="B278" t="str">
            <v>VAR_cap</v>
          </cell>
          <cell r="C278" t="str">
            <v>-</v>
          </cell>
        </row>
        <row r="279">
          <cell r="A279" t="str">
            <v>T_TW-ICEGSL-S4</v>
          </cell>
          <cell r="B279" t="str">
            <v>VAR_fout</v>
          </cell>
          <cell r="C279" t="str">
            <v>CO2_T</v>
          </cell>
          <cell r="H279">
            <v>0.19511745871080896</v>
          </cell>
          <cell r="I279">
            <v>0.16011732297167805</v>
          </cell>
          <cell r="J279">
            <v>2.6881169711566923E-2</v>
          </cell>
        </row>
        <row r="280">
          <cell r="A280" t="str">
            <v>T_TW-ICEGSL-S4</v>
          </cell>
          <cell r="B280" t="str">
            <v>VAR_fout</v>
          </cell>
          <cell r="C280" t="str">
            <v>TPTWL</v>
          </cell>
          <cell r="H280">
            <v>1.79402799468897E-3</v>
          </cell>
          <cell r="I280">
            <v>1.4749338599075643E-3</v>
          </cell>
          <cell r="J280">
            <v>2.5442814724983647E-4</v>
          </cell>
        </row>
        <row r="281">
          <cell r="A281" t="str">
            <v>T_TW-ICEGSL-S4</v>
          </cell>
          <cell r="B281" t="str">
            <v>VAR_fin</v>
          </cell>
          <cell r="C281" t="str">
            <v>TGSL</v>
          </cell>
          <cell r="H281">
            <v>2.6438680042115089E-3</v>
          </cell>
          <cell r="I281">
            <v>2.169611422380468E-3</v>
          </cell>
          <cell r="J281">
            <v>3.6424349202665183E-4</v>
          </cell>
        </row>
        <row r="282">
          <cell r="A282" t="str">
            <v>T_TW-ICEGSL-S4</v>
          </cell>
          <cell r="B282" t="str">
            <v>VAR_ncap</v>
          </cell>
          <cell r="C282" t="str">
            <v>-</v>
          </cell>
          <cell r="H282">
            <v>1.17185109535432E-5</v>
          </cell>
          <cell r="I282">
            <v>9.4940778018309594E-6</v>
          </cell>
          <cell r="J282">
            <v>7.9662755474641704E-6</v>
          </cell>
        </row>
        <row r="283">
          <cell r="A283" t="str">
            <v>T_TW-ICEGSL-S4</v>
          </cell>
          <cell r="B283" t="str">
            <v>VAR_cap</v>
          </cell>
          <cell r="C283" t="str">
            <v>-</v>
          </cell>
          <cell r="H283">
            <v>7.6955178557070597E-4</v>
          </cell>
          <cell r="I283">
            <v>6.606249955991364E-4</v>
          </cell>
          <cell r="J283">
            <v>1.0482921659476412E-4</v>
          </cell>
        </row>
        <row r="284">
          <cell r="A284" t="str">
            <v>T_C-ICEDSLEXT</v>
          </cell>
          <cell r="B284" t="str">
            <v>VAR_fout</v>
          </cell>
          <cell r="C284" t="str">
            <v>CO2_T</v>
          </cell>
        </row>
        <row r="285">
          <cell r="A285" t="str">
            <v>T_C-ICEDSLEXT</v>
          </cell>
          <cell r="B285" t="str">
            <v>VAR_fout</v>
          </cell>
          <cell r="C285" t="str">
            <v>TPCAR</v>
          </cell>
        </row>
        <row r="286">
          <cell r="A286" t="str">
            <v>T_C-ICEDSLEXT</v>
          </cell>
          <cell r="B286" t="str">
            <v>VAR_fin</v>
          </cell>
          <cell r="C286" t="str">
            <v>TDSL</v>
          </cell>
        </row>
        <row r="287">
          <cell r="A287" t="str">
            <v>T_C-ICEDSLEXT</v>
          </cell>
          <cell r="B287" t="str">
            <v>VAR_cap</v>
          </cell>
          <cell r="C287" t="str">
            <v>-</v>
          </cell>
        </row>
        <row r="288">
          <cell r="A288" t="str">
            <v>T-Plg-ELC-GSL_S1</v>
          </cell>
          <cell r="B288" t="str">
            <v>VAR_fout</v>
          </cell>
          <cell r="C288" t="str">
            <v>T-PEVmix-ELC_GSL_S1</v>
          </cell>
          <cell r="H288">
            <v>5.1602540766273986E-4</v>
          </cell>
          <cell r="I288">
            <v>4.2060249281715612E-4</v>
          </cell>
          <cell r="J288">
            <v>1.1952902271933977E-4</v>
          </cell>
        </row>
        <row r="289">
          <cell r="A289" t="str">
            <v>T-Plg-ELC-GSL_S1</v>
          </cell>
          <cell r="B289" t="str">
            <v>VAR_fin</v>
          </cell>
          <cell r="C289" t="str">
            <v>T-ELC-car-PlgSTGOut_S1</v>
          </cell>
          <cell r="H289">
            <v>2.7663945405967605E-4</v>
          </cell>
          <cell r="I289">
            <v>2.2015363717523578E-4</v>
          </cell>
          <cell r="J289">
            <v>5.8812999007553675E-5</v>
          </cell>
        </row>
        <row r="290">
          <cell r="A290" t="str">
            <v>T-Plg-ELC-GSL_S2</v>
          </cell>
          <cell r="B290" t="str">
            <v>VAR_fout</v>
          </cell>
          <cell r="C290" t="str">
            <v>T-PEVmix-ELC_GSL_S2</v>
          </cell>
          <cell r="H290">
            <v>5.3267407046781829E-3</v>
          </cell>
          <cell r="I290">
            <v>2.8734413266281022E-3</v>
          </cell>
          <cell r="J290">
            <v>1.1114384553844116E-3</v>
          </cell>
        </row>
        <row r="291">
          <cell r="A291" t="str">
            <v>T-Plg-ELC-GSL_S2</v>
          </cell>
          <cell r="B291" t="str">
            <v>VAR_fin</v>
          </cell>
          <cell r="C291" t="str">
            <v>T-ELC-car-PlgSTGOut_S2</v>
          </cell>
          <cell r="H291">
            <v>3.4147783670538307E-3</v>
          </cell>
          <cell r="I291">
            <v>1.7877435515289946E-3</v>
          </cell>
          <cell r="J291">
            <v>6.4200408186440875E-4</v>
          </cell>
        </row>
        <row r="292">
          <cell r="A292" t="str">
            <v>T-Plg-ELC-DSL_S1</v>
          </cell>
          <cell r="B292" t="str">
            <v>VAR_fout</v>
          </cell>
          <cell r="C292" t="str">
            <v>T-PEVmix-ELC_DSL_S1</v>
          </cell>
          <cell r="H292">
            <v>5.3052504011188073E-4</v>
          </cell>
          <cell r="I292">
            <v>4.3172238608062721E-4</v>
          </cell>
          <cell r="J292">
            <v>1.2072229575939381E-4</v>
          </cell>
        </row>
        <row r="293">
          <cell r="A293" t="str">
            <v>T-Plg-ELC-DSL_S1</v>
          </cell>
          <cell r="B293" t="str">
            <v>VAR_fin</v>
          </cell>
          <cell r="C293" t="str">
            <v>T-ELC-car-PlgSTGOut_S1</v>
          </cell>
          <cell r="H293">
            <v>2.8440712836501494E-4</v>
          </cell>
          <cell r="I293">
            <v>2.2596744851286656E-4</v>
          </cell>
          <cell r="J293">
            <v>5.9406233798249187E-5</v>
          </cell>
        </row>
        <row r="294">
          <cell r="A294" t="str">
            <v>T_TRM_ELC</v>
          </cell>
          <cell r="B294" t="str">
            <v>VAR_fout</v>
          </cell>
          <cell r="C294" t="str">
            <v>TPTRM</v>
          </cell>
          <cell r="H294">
            <v>3.8185104274620588E-2</v>
          </cell>
          <cell r="I294">
            <v>3.9048512196511807E-2</v>
          </cell>
          <cell r="J294">
            <v>4.0347931071859175E-2</v>
          </cell>
        </row>
        <row r="295">
          <cell r="A295" t="str">
            <v>T_TRM_ELC</v>
          </cell>
          <cell r="B295" t="str">
            <v>VAR_fin</v>
          </cell>
          <cell r="C295" t="str">
            <v>TELC</v>
          </cell>
          <cell r="H295">
            <v>0.7561616857731851</v>
          </cell>
          <cell r="I295">
            <v>0.77325934733858914</v>
          </cell>
          <cell r="J295">
            <v>0.79899112903654423</v>
          </cell>
        </row>
        <row r="296">
          <cell r="A296" t="str">
            <v>T-Plg-ELC-GSL_S3</v>
          </cell>
          <cell r="B296" t="str">
            <v>VAR_fout</v>
          </cell>
          <cell r="C296" t="str">
            <v>T-PEVmix-ELC_GSL_S3</v>
          </cell>
          <cell r="H296">
            <v>3.6506087791400899</v>
          </cell>
          <cell r="I296">
            <v>2.6961492426714782</v>
          </cell>
          <cell r="J296">
            <v>1.0105693900705102</v>
          </cell>
        </row>
        <row r="297">
          <cell r="A297" t="str">
            <v>T-Plg-ELC-GSL_S3</v>
          </cell>
          <cell r="B297" t="str">
            <v>VAR_fin</v>
          </cell>
          <cell r="C297" t="str">
            <v>T-ELC-car-PlgSTGOut_S3</v>
          </cell>
          <cell r="H297">
            <v>2.482527391481876</v>
          </cell>
          <cell r="I297">
            <v>1.7508432670679286</v>
          </cell>
          <cell r="J297">
            <v>0.59575156137918162</v>
          </cell>
        </row>
        <row r="298">
          <cell r="A298" t="str">
            <v>T-Plg-ELC-DSL_S2</v>
          </cell>
          <cell r="B298" t="str">
            <v>VAR_fout</v>
          </cell>
          <cell r="C298" t="str">
            <v>T-PEVmix-ELC_DSL_S2</v>
          </cell>
          <cell r="H298">
            <v>3.227288564014952E-3</v>
          </cell>
          <cell r="I298">
            <v>3.3803354447007701E-3</v>
          </cell>
          <cell r="J298">
            <v>1.3101451396635181E-3</v>
          </cell>
        </row>
        <row r="299">
          <cell r="A299" t="str">
            <v>T-Plg-ELC-DSL_S2</v>
          </cell>
          <cell r="B299" t="str">
            <v>VAR_fin</v>
          </cell>
          <cell r="C299" t="str">
            <v>T-ELC-car-PlgSTGOut_S2</v>
          </cell>
          <cell r="H299">
            <v>2.0775843791398332E-3</v>
          </cell>
          <cell r="I299">
            <v>2.0989929903499271E-3</v>
          </cell>
          <cell r="J299">
            <v>7.5533276827476894E-4</v>
          </cell>
        </row>
        <row r="300">
          <cell r="A300" t="str">
            <v>T_TW-ICEGSLEXT</v>
          </cell>
          <cell r="B300" t="str">
            <v>VAR_fout</v>
          </cell>
          <cell r="C300" t="str">
            <v>CO2_T</v>
          </cell>
        </row>
        <row r="301">
          <cell r="A301" t="str">
            <v>T_TW-ICEGSLEXT</v>
          </cell>
          <cell r="B301" t="str">
            <v>VAR_fout</v>
          </cell>
          <cell r="C301" t="str">
            <v>TPTWL</v>
          </cell>
        </row>
        <row r="302">
          <cell r="A302" t="str">
            <v>T_TW-ICEGSLEXT</v>
          </cell>
          <cell r="B302" t="str">
            <v>VAR_fin</v>
          </cell>
          <cell r="C302" t="str">
            <v>TGSL</v>
          </cell>
        </row>
        <row r="303">
          <cell r="A303" t="str">
            <v>T_TW-ICEGSLEXT</v>
          </cell>
          <cell r="B303" t="str">
            <v>VAR_cap</v>
          </cell>
          <cell r="C303" t="str">
            <v>-</v>
          </cell>
        </row>
        <row r="304">
          <cell r="A304" t="str">
            <v>T-Plg-ELC-GSL_S4</v>
          </cell>
          <cell r="B304" t="str">
            <v>VAR_fout</v>
          </cell>
          <cell r="C304" t="str">
            <v>T-PEVmix-ELC_GSL_S4</v>
          </cell>
          <cell r="H304">
            <v>8.1377557909988723E-3</v>
          </cell>
          <cell r="I304">
            <v>1.8137075929250304E-3</v>
          </cell>
          <cell r="J304">
            <v>5.9595178791926873E-4</v>
          </cell>
        </row>
        <row r="305">
          <cell r="A305" t="str">
            <v>T-Plg-ELC-GSL_S4</v>
          </cell>
          <cell r="B305" t="str">
            <v>VAR_fin</v>
          </cell>
          <cell r="C305" t="str">
            <v>T-ELC-car-PlgSTGOut_S4</v>
          </cell>
          <cell r="H305">
            <v>5.853259089703894E-3</v>
          </cell>
          <cell r="I305">
            <v>1.2812129489638416E-3</v>
          </cell>
          <cell r="J305">
            <v>3.9413965586456752E-4</v>
          </cell>
        </row>
        <row r="306">
          <cell r="A306" t="str">
            <v>T-Plg-ELC-DSL_S3</v>
          </cell>
          <cell r="B306" t="str">
            <v>VAR_fout</v>
          </cell>
          <cell r="C306" t="str">
            <v>T-PEVmix-ELC_DSL_S3</v>
          </cell>
          <cell r="H306">
            <v>2.6378210072218948</v>
          </cell>
          <cell r="I306">
            <v>1.939904394516238</v>
          </cell>
          <cell r="J306">
            <v>0.7044462863570925</v>
          </cell>
        </row>
        <row r="307">
          <cell r="A307" t="str">
            <v>T-Plg-ELC-DSL_S3</v>
          </cell>
          <cell r="B307" t="str">
            <v>VAR_fin</v>
          </cell>
          <cell r="C307" t="str">
            <v>T-ELC-car-PlgSTGOut_S3</v>
          </cell>
          <cell r="H307">
            <v>1.7938385256438201</v>
          </cell>
          <cell r="I307">
            <v>1.2598067024008839</v>
          </cell>
          <cell r="J307">
            <v>0.41536947391014462</v>
          </cell>
        </row>
        <row r="308">
          <cell r="A308" t="str">
            <v>T-Plg-ELC-DSL_S4</v>
          </cell>
          <cell r="B308" t="str">
            <v>VAR_fout</v>
          </cell>
          <cell r="C308" t="str">
            <v>T-PEVmix-ELC_DSL_S4</v>
          </cell>
          <cell r="H308">
            <v>3.1742723291308208E-3</v>
          </cell>
          <cell r="I308">
            <v>1.9711556871660901E-3</v>
          </cell>
          <cell r="J308">
            <v>6.3270125170226531E-4</v>
          </cell>
        </row>
        <row r="309">
          <cell r="A309" t="str">
            <v>T-Plg-ELC-DSL_S4</v>
          </cell>
          <cell r="B309" t="str">
            <v>VAR_fin</v>
          </cell>
          <cell r="C309" t="str">
            <v>T-ELC-car-PlgSTGOut_S4</v>
          </cell>
          <cell r="H309">
            <v>2.3007109909477723E-3</v>
          </cell>
          <cell r="I309">
            <v>1.3917988077629068E-3</v>
          </cell>
          <cell r="J309">
            <v>4.18173319001977E-4</v>
          </cell>
        </row>
        <row r="310">
          <cell r="A310" t="str">
            <v>TFLGV-ICENGA</v>
          </cell>
          <cell r="B310" t="str">
            <v>VAR_fout</v>
          </cell>
          <cell r="C310" t="str">
            <v>CO2_T</v>
          </cell>
          <cell r="H310">
            <v>2.7234122942910149E-3</v>
          </cell>
          <cell r="I310">
            <v>3.3880256397302998E-4</v>
          </cell>
        </row>
        <row r="311">
          <cell r="A311" t="str">
            <v>TFLGV-ICENGA</v>
          </cell>
          <cell r="B311" t="str">
            <v>VAR_fout</v>
          </cell>
          <cell r="C311" t="str">
            <v>TFLGV</v>
          </cell>
          <cell r="H311">
            <v>1.5479843004308641E-5</v>
          </cell>
          <cell r="I311">
            <v>1.9257497334332437E-6</v>
          </cell>
        </row>
        <row r="312">
          <cell r="A312" t="str">
            <v>TFLGV-ICENGA</v>
          </cell>
          <cell r="B312" t="str">
            <v>VAR_fin</v>
          </cell>
          <cell r="C312" t="str">
            <v>TNGA</v>
          </cell>
          <cell r="H312">
            <v>4.8287452026436437E-5</v>
          </cell>
          <cell r="I312">
            <v>6.0071376590962729E-6</v>
          </cell>
        </row>
        <row r="313">
          <cell r="A313" t="str">
            <v>TFLGV-ICENGA</v>
          </cell>
          <cell r="B313" t="str">
            <v>VAR_ncap</v>
          </cell>
          <cell r="C313" t="str">
            <v>-</v>
          </cell>
        </row>
        <row r="314">
          <cell r="A314" t="str">
            <v>TFLGV-ICENGA</v>
          </cell>
          <cell r="B314" t="str">
            <v>VAR_cap</v>
          </cell>
          <cell r="C314" t="str">
            <v>-</v>
          </cell>
          <cell r="H314">
            <v>1.104704855683121E-6</v>
          </cell>
          <cell r="I314">
            <v>1.47601035831338E-7</v>
          </cell>
        </row>
        <row r="315">
          <cell r="A315" t="str">
            <v>TFLGV-BEVELC</v>
          </cell>
          <cell r="B315" t="str">
            <v>VAR_fout</v>
          </cell>
          <cell r="C315" t="str">
            <v>TFLGV</v>
          </cell>
          <cell r="H315">
            <v>4.2815249929285546</v>
          </cell>
          <cell r="I315">
            <v>4.9925286967655182</v>
          </cell>
          <cell r="J315">
            <v>5.4029372757792924</v>
          </cell>
        </row>
        <row r="316">
          <cell r="A316" t="str">
            <v>TFLGV-BEVELC</v>
          </cell>
          <cell r="B316" t="str">
            <v>VAR_fin</v>
          </cell>
          <cell r="C316" t="str">
            <v>T-ELC-LGV_BatSTGout</v>
          </cell>
          <cell r="H316">
            <v>6.2838151093251078</v>
          </cell>
          <cell r="I316">
            <v>7.3273254997434556</v>
          </cell>
          <cell r="J316">
            <v>7.9296650012208119</v>
          </cell>
        </row>
        <row r="317">
          <cell r="A317" t="str">
            <v>TFLGV-BEVELC</v>
          </cell>
          <cell r="B317" t="str">
            <v>VAR_ncap</v>
          </cell>
          <cell r="C317" t="str">
            <v>-</v>
          </cell>
          <cell r="H317">
            <v>0.244348569003107</v>
          </cell>
          <cell r="I317">
            <v>0.20093776640948299</v>
          </cell>
          <cell r="J317">
            <v>0.39318012603323799</v>
          </cell>
        </row>
        <row r="318">
          <cell r="A318" t="str">
            <v>TFLGV-BEVELC</v>
          </cell>
          <cell r="B318" t="str">
            <v>VAR_cap</v>
          </cell>
          <cell r="C318" t="str">
            <v>-</v>
          </cell>
          <cell r="H318">
            <v>0.38828171932620648</v>
          </cell>
          <cell r="I318">
            <v>0.47061917025738709</v>
          </cell>
          <cell r="J318">
            <v>0.53683187060776061</v>
          </cell>
        </row>
        <row r="319">
          <cell r="A319" t="str">
            <v>T_B_c-BEVELC-S1</v>
          </cell>
          <cell r="B319" t="str">
            <v>VAR_fout</v>
          </cell>
          <cell r="C319" t="str">
            <v>TPBSc</v>
          </cell>
          <cell r="H319">
            <v>6.4821811244725788E-2</v>
          </cell>
          <cell r="I319">
            <v>6.4854052480590854E-2</v>
          </cell>
          <cell r="J319">
            <v>6.3144150059444473E-2</v>
          </cell>
        </row>
        <row r="320">
          <cell r="A320" t="str">
            <v>T_B_c-BEVELC-S1</v>
          </cell>
          <cell r="B320" t="str">
            <v>VAR_fin</v>
          </cell>
          <cell r="C320" t="str">
            <v>T-ELC-Bus_c_BatSTGout_S1</v>
          </cell>
          <cell r="H320">
            <v>0.13767139049529498</v>
          </cell>
          <cell r="I320">
            <v>0.13760569367012523</v>
          </cell>
          <cell r="J320">
            <v>0.11871971946966199</v>
          </cell>
        </row>
        <row r="321">
          <cell r="A321" t="str">
            <v>T_B_c-BEVELC-S1</v>
          </cell>
          <cell r="B321" t="str">
            <v>VAR_ncap</v>
          </cell>
          <cell r="C321" t="str">
            <v>-</v>
          </cell>
          <cell r="H321">
            <v>1.3951672649757899E-3</v>
          </cell>
          <cell r="I321">
            <v>1.34202116568781E-5</v>
          </cell>
          <cell r="J321">
            <v>1.1979673362796999E-3</v>
          </cell>
        </row>
        <row r="322">
          <cell r="A322" t="str">
            <v>T_B_c-BEVELC-S1</v>
          </cell>
          <cell r="B322" t="str">
            <v>VAR_cap</v>
          </cell>
          <cell r="C322" t="str">
            <v>-</v>
          </cell>
          <cell r="H322">
            <v>1.4096749454883502E-3</v>
          </cell>
          <cell r="I322">
            <v>1.409258126686636E-3</v>
          </cell>
          <cell r="J322">
            <v>1.4495145184958357E-3</v>
          </cell>
        </row>
        <row r="323">
          <cell r="A323" t="str">
            <v>T_B_c-BEVELC-S2</v>
          </cell>
          <cell r="B323" t="str">
            <v>VAR_fout</v>
          </cell>
          <cell r="C323" t="str">
            <v>TPBSc</v>
          </cell>
          <cell r="H323">
            <v>5.7501537123023375E-2</v>
          </cell>
          <cell r="I323">
            <v>5.7537103282135467E-2</v>
          </cell>
          <cell r="J323">
            <v>5.6008769869147261E-2</v>
          </cell>
        </row>
        <row r="324">
          <cell r="A324" t="str">
            <v>T_B_c-BEVELC-S2</v>
          </cell>
          <cell r="B324" t="str">
            <v>VAR_fin</v>
          </cell>
          <cell r="C324" t="str">
            <v>T-ELC-Bus_c_BatSTGout_S2</v>
          </cell>
          <cell r="H324">
            <v>0.17039136696855342</v>
          </cell>
          <cell r="I324">
            <v>0.1668367510240526</v>
          </cell>
          <cell r="J324">
            <v>0.14724249601729236</v>
          </cell>
        </row>
        <row r="325">
          <cell r="A325" t="str">
            <v>T_B_c-BEVELC-S2</v>
          </cell>
          <cell r="B325" t="str">
            <v>VAR_ncap</v>
          </cell>
          <cell r="C325" t="str">
            <v>-</v>
          </cell>
          <cell r="H325">
            <v>9.7461558870054802E-4</v>
          </cell>
          <cell r="I325">
            <v>2.71720607144438E-4</v>
          </cell>
          <cell r="J325">
            <v>9.0999287058661201E-4</v>
          </cell>
        </row>
        <row r="326">
          <cell r="A326" t="str">
            <v>T_B_c-BEVELC-S2</v>
          </cell>
          <cell r="B326" t="str">
            <v>VAR_cap</v>
          </cell>
          <cell r="C326" t="str">
            <v>-</v>
          </cell>
          <cell r="H326">
            <v>1.2496231760226527E-3</v>
          </cell>
          <cell r="I326">
            <v>1.250249038939747E-3</v>
          </cell>
          <cell r="J326">
            <v>1.2172937830614516E-3</v>
          </cell>
        </row>
        <row r="327">
          <cell r="A327" t="str">
            <v>T_B_c-BEVELC-S3</v>
          </cell>
          <cell r="B327" t="str">
            <v>VAR_fout</v>
          </cell>
          <cell r="C327" t="str">
            <v>TPBSc</v>
          </cell>
          <cell r="H327">
            <v>1.2296150756628123E-2</v>
          </cell>
          <cell r="I327">
            <v>1.2304480942494915E-2</v>
          </cell>
          <cell r="J327">
            <v>1.197863316045304E-2</v>
          </cell>
        </row>
        <row r="328">
          <cell r="A328" t="str">
            <v>T_B_c-BEVELC-S3</v>
          </cell>
          <cell r="B328" t="str">
            <v>VAR_fin</v>
          </cell>
          <cell r="C328" t="str">
            <v>T-ELC-Bus_c_BatSTGout_S3</v>
          </cell>
          <cell r="H328">
            <v>5.4450498384192865E-2</v>
          </cell>
          <cell r="I328">
            <v>5.3700361502608547E-2</v>
          </cell>
          <cell r="J328">
            <v>4.5917103044359059E-2</v>
          </cell>
        </row>
        <row r="329">
          <cell r="A329" t="str">
            <v>T_B_c-BEVELC-S3</v>
          </cell>
          <cell r="B329" t="str">
            <v>VAR_ncap</v>
          </cell>
          <cell r="C329" t="str">
            <v>-</v>
          </cell>
          <cell r="H329">
            <v>2.2900920524332501E-4</v>
          </cell>
          <cell r="I329">
            <v>3.83616698243229E-5</v>
          </cell>
          <cell r="J329">
            <v>2.47209866252741E-4</v>
          </cell>
        </row>
        <row r="330">
          <cell r="A330" t="str">
            <v>T_B_c-BEVELC-S3</v>
          </cell>
          <cell r="B330" t="str">
            <v>VAR_cap</v>
          </cell>
          <cell r="C330" t="str">
            <v>-</v>
          </cell>
          <cell r="H330">
            <v>2.676731006515E-4</v>
          </cell>
          <cell r="I330">
            <v>2.6737087506764802E-4</v>
          </cell>
          <cell r="J330">
            <v>2.6034955322816298E-4</v>
          </cell>
        </row>
        <row r="331">
          <cell r="A331" t="str">
            <v>T_B_c-BEVELC-S4</v>
          </cell>
          <cell r="B331" t="str">
            <v>VAR_fout</v>
          </cell>
          <cell r="C331" t="str">
            <v>TPBSc</v>
          </cell>
          <cell r="H331">
            <v>7.8542460352086178E-6</v>
          </cell>
          <cell r="I331">
            <v>2.0556383418158081E-5</v>
          </cell>
          <cell r="J331">
            <v>6.3567881003143046E-6</v>
          </cell>
        </row>
        <row r="332">
          <cell r="A332" t="str">
            <v>T_B_c-BEVELC-S4</v>
          </cell>
          <cell r="B332" t="str">
            <v>VAR_fin</v>
          </cell>
          <cell r="C332" t="str">
            <v>T-ELC-Bus_c_BatSTGout_S4</v>
          </cell>
          <cell r="H332">
            <v>5.1902372131048224E-5</v>
          </cell>
          <cell r="I332">
            <v>1.3025806557966056E-4</v>
          </cell>
          <cell r="J332">
            <v>3.7035910274848303E-5</v>
          </cell>
        </row>
        <row r="333">
          <cell r="A333" t="str">
            <v>T_B_c-BEVELC-S4</v>
          </cell>
          <cell r="B333" t="str">
            <v>VAR_ncap</v>
          </cell>
          <cell r="C333" t="str">
            <v>-</v>
          </cell>
          <cell r="H333">
            <v>1.8222238627504999E-7</v>
          </cell>
          <cell r="I333">
            <v>3.2489624424047502E-7</v>
          </cell>
          <cell r="J333">
            <v>1.3844561307729101E-7</v>
          </cell>
        </row>
        <row r="334">
          <cell r="A334" t="str">
            <v>T_B_c-BEVELC-S4</v>
          </cell>
          <cell r="B334" t="str">
            <v>VAR_cap</v>
          </cell>
          <cell r="C334" t="str">
            <v>-</v>
          </cell>
          <cell r="H334">
            <v>2.1052854784603201E-7</v>
          </cell>
          <cell r="I334">
            <v>4.3755121988138429E-7</v>
          </cell>
          <cell r="J334">
            <v>1.9546121192566299E-7</v>
          </cell>
        </row>
        <row r="335">
          <cell r="A335" t="str">
            <v>T_C-BAT-ELC-S1</v>
          </cell>
          <cell r="B335" t="str">
            <v>VAR_fout</v>
          </cell>
          <cell r="C335" t="str">
            <v>TPCAR</v>
          </cell>
          <cell r="H335">
            <v>1.8711266994768969</v>
          </cell>
          <cell r="I335">
            <v>2.3163501142037521</v>
          </cell>
          <cell r="J335">
            <v>2.4469115649237487</v>
          </cell>
        </row>
        <row r="336">
          <cell r="A336" t="str">
            <v>T_C-BAT-ELC-S1</v>
          </cell>
          <cell r="B336" t="str">
            <v>VAR_fin</v>
          </cell>
          <cell r="C336" t="str">
            <v>T-ELC-car-BatSTGOut_S1</v>
          </cell>
          <cell r="H336">
            <v>0.99746651058846003</v>
          </cell>
          <cell r="I336">
            <v>1.2028796031375968</v>
          </cell>
          <cell r="J336">
            <v>1.1578707062152247</v>
          </cell>
        </row>
        <row r="337">
          <cell r="A337" t="str">
            <v>T_C-BAT-ELC-S1</v>
          </cell>
          <cell r="B337" t="str">
            <v>VAR_ncap</v>
          </cell>
          <cell r="C337" t="str">
            <v>-</v>
          </cell>
          <cell r="H337">
            <v>0.20744157884856701</v>
          </cell>
          <cell r="I337">
            <v>0.140882097740086</v>
          </cell>
          <cell r="J337">
            <v>0.29156277151613802</v>
          </cell>
        </row>
        <row r="338">
          <cell r="A338" t="str">
            <v>T_C-BAT-ELC-S1</v>
          </cell>
          <cell r="B338" t="str">
            <v>VAR_cap</v>
          </cell>
          <cell r="C338" t="str">
            <v>-</v>
          </cell>
          <cell r="H338">
            <v>0.28435348451563336</v>
          </cell>
          <cell r="I338">
            <v>0.35202265105939334</v>
          </cell>
          <cell r="J338">
            <v>0.37186836417493863</v>
          </cell>
        </row>
        <row r="339">
          <cell r="A339" t="str">
            <v>D-TNGA</v>
          </cell>
          <cell r="B339" t="str">
            <v>VAR_fout</v>
          </cell>
          <cell r="C339" t="str">
            <v>CO2</v>
          </cell>
          <cell r="H339">
            <v>0.27266588983599399</v>
          </cell>
          <cell r="I339">
            <v>0.14148138739418101</v>
          </cell>
          <cell r="J339">
            <v>6.5220087669542398E-3</v>
          </cell>
        </row>
        <row r="340">
          <cell r="A340" t="str">
            <v>D-TNGA</v>
          </cell>
          <cell r="B340" t="str">
            <v>VAR_fout</v>
          </cell>
          <cell r="C340" t="str">
            <v>TNGA</v>
          </cell>
          <cell r="H340">
            <v>6.0652661344980591E-3</v>
          </cell>
          <cell r="I340">
            <v>3.253160733986933E-3</v>
          </cell>
          <cell r="J340">
            <v>1.5795744509829263E-4</v>
          </cell>
        </row>
        <row r="341">
          <cell r="A341" t="str">
            <v>D-TNGA</v>
          </cell>
          <cell r="B341" t="str">
            <v>VAR_fin</v>
          </cell>
          <cell r="C341" t="str">
            <v>NGA</v>
          </cell>
          <cell r="H341">
            <v>4.8345015928367733E-3</v>
          </cell>
          <cell r="I341">
            <v>2.5085352374854698E-3</v>
          </cell>
          <cell r="J341">
            <v>1.1563845331479147E-4</v>
          </cell>
        </row>
        <row r="342">
          <cell r="A342" t="str">
            <v>D-TNGA</v>
          </cell>
          <cell r="B342" t="str">
            <v>VAR_fin</v>
          </cell>
          <cell r="C342" t="str">
            <v>BNGA</v>
          </cell>
          <cell r="H342">
            <v>1.3823183228194864E-3</v>
          </cell>
          <cell r="I342">
            <v>9.4990750832960914E-4</v>
          </cell>
          <cell r="J342">
            <v>1.1372380255847746E-4</v>
          </cell>
        </row>
        <row r="343">
          <cell r="A343" t="str">
            <v>D-TNGA</v>
          </cell>
          <cell r="B343" t="str">
            <v>VAR_fin</v>
          </cell>
          <cell r="C343" t="str">
            <v>H2</v>
          </cell>
          <cell r="H343">
            <v>5.0512774942440879E-5</v>
          </cell>
          <cell r="I343">
            <v>7.0638191307455754E-5</v>
          </cell>
          <cell r="J343">
            <v>6.2602757622482518E-6</v>
          </cell>
        </row>
        <row r="344">
          <cell r="A344" t="str">
            <v>D-TNGA</v>
          </cell>
          <cell r="B344" t="str">
            <v>VAR_ncap</v>
          </cell>
          <cell r="C344" t="str">
            <v>-</v>
          </cell>
          <cell r="H344">
            <v>1.2612280968162501E-7</v>
          </cell>
          <cell r="I344">
            <v>1.53425838739667E-7</v>
          </cell>
          <cell r="J344">
            <v>2.8865078482954999E-7</v>
          </cell>
        </row>
        <row r="345">
          <cell r="A345" t="str">
            <v>D-TNGA</v>
          </cell>
          <cell r="B345" t="str">
            <v>VAR_cap</v>
          </cell>
          <cell r="C345" t="str">
            <v>-</v>
          </cell>
          <cell r="H345">
            <v>0.95961823939059898</v>
          </cell>
          <cell r="I345">
            <v>0.95961839281643768</v>
          </cell>
          <cell r="J345">
            <v>0.48125433782116656</v>
          </cell>
        </row>
        <row r="346">
          <cell r="A346" t="str">
            <v>T_C-BAT-ELC-S2</v>
          </cell>
          <cell r="B346" t="str">
            <v>VAR_fout</v>
          </cell>
          <cell r="C346" t="str">
            <v>TPCAR</v>
          </cell>
          <cell r="H346">
            <v>16.06238661710071</v>
          </cell>
          <cell r="I346">
            <v>18.185145709730769</v>
          </cell>
          <cell r="J346">
            <v>18.041204635134623</v>
          </cell>
        </row>
        <row r="347">
          <cell r="A347" t="str">
            <v>T_C-BAT-ELC-S2</v>
          </cell>
          <cell r="B347" t="str">
            <v>VAR_fin</v>
          </cell>
          <cell r="C347" t="str">
            <v>T-ELC-car-BatSTGOut_S2</v>
          </cell>
          <cell r="H347">
            <v>10.57418575193469</v>
          </cell>
          <cell r="I347">
            <v>11.688567349506107</v>
          </cell>
          <cell r="J347">
            <v>10.501335891687109</v>
          </cell>
        </row>
        <row r="348">
          <cell r="A348" t="str">
            <v>T_C-BAT-ELC-S2</v>
          </cell>
          <cell r="B348" t="str">
            <v>VAR_ncap</v>
          </cell>
          <cell r="C348" t="str">
            <v>-</v>
          </cell>
          <cell r="H348">
            <v>1.2460390996430599</v>
          </cell>
          <cell r="I348">
            <v>0.65026942510894203</v>
          </cell>
          <cell r="J348">
            <v>1.47986007736374</v>
          </cell>
        </row>
        <row r="349">
          <cell r="A349" t="str">
            <v>T_C-BAT-ELC-S2</v>
          </cell>
          <cell r="B349" t="str">
            <v>VAR_cap</v>
          </cell>
          <cell r="C349" t="str">
            <v>-</v>
          </cell>
          <cell r="H349">
            <v>1.6919419856565683</v>
          </cell>
          <cell r="I349">
            <v>1.9180520025323522</v>
          </cell>
          <cell r="J349">
            <v>1.9029103491046431</v>
          </cell>
        </row>
        <row r="350">
          <cell r="A350" t="str">
            <v>TFLGV-BeVELCExt</v>
          </cell>
          <cell r="B350" t="str">
            <v>VAR_fout</v>
          </cell>
          <cell r="C350" t="str">
            <v>TFLGV</v>
          </cell>
        </row>
        <row r="351">
          <cell r="A351" t="str">
            <v>TFLGV-BeVELCExt</v>
          </cell>
          <cell r="B351" t="str">
            <v>VAR_fin</v>
          </cell>
          <cell r="C351" t="str">
            <v>TELC</v>
          </cell>
        </row>
        <row r="352">
          <cell r="A352" t="str">
            <v>TFLGV-BeVELCExt</v>
          </cell>
          <cell r="B352" t="str">
            <v>VAR_cap</v>
          </cell>
          <cell r="C352" t="str">
            <v>-</v>
          </cell>
        </row>
        <row r="353">
          <cell r="A353" t="str">
            <v>T_C-BAT-ELC-S3</v>
          </cell>
          <cell r="B353" t="str">
            <v>VAR_fout</v>
          </cell>
          <cell r="C353" t="str">
            <v>TPCAR</v>
          </cell>
          <cell r="H353">
            <v>0.96316159719854366</v>
          </cell>
          <cell r="I353">
            <v>9.036507103238911</v>
          </cell>
          <cell r="J353">
            <v>14.483490696392611</v>
          </cell>
        </row>
        <row r="354">
          <cell r="A354" t="str">
            <v>T_C-BAT-ELC-S3</v>
          </cell>
          <cell r="B354" t="str">
            <v>VAR_fin</v>
          </cell>
          <cell r="C354" t="str">
            <v>T-ELC-car-BatSTGOut_S3</v>
          </cell>
          <cell r="H354">
            <v>0.69075217933125488</v>
          </cell>
          <cell r="I354">
            <v>6.1268201732062586</v>
          </cell>
          <cell r="J354">
            <v>9.1191060976868137</v>
          </cell>
        </row>
        <row r="355">
          <cell r="A355" t="str">
            <v>T_C-BAT-ELC-S3</v>
          </cell>
          <cell r="B355" t="str">
            <v>VAR_ncap</v>
          </cell>
          <cell r="C355" t="str">
            <v>-</v>
          </cell>
          <cell r="H355">
            <v>5.4251272832631398E-2</v>
          </cell>
          <cell r="I355">
            <v>0.59753065943849404</v>
          </cell>
          <cell r="J355">
            <v>0.79691560860110899</v>
          </cell>
        </row>
        <row r="356">
          <cell r="A356" t="str">
            <v>T_C-BAT-ELC-S3</v>
          </cell>
          <cell r="B356" t="str">
            <v>VAR_cap</v>
          </cell>
          <cell r="C356" t="str">
            <v>-</v>
          </cell>
          <cell r="H356">
            <v>6.6245853652147996E-2</v>
          </cell>
          <cell r="I356">
            <v>0.62133897092593171</v>
          </cell>
          <cell r="J356">
            <v>0.99585590429963056</v>
          </cell>
        </row>
        <row r="357">
          <cell r="A357" t="str">
            <v>T_C-BAT-ELC-S4</v>
          </cell>
          <cell r="B357" t="str">
            <v>VAR_fout</v>
          </cell>
          <cell r="C357" t="str">
            <v>TPCAR</v>
          </cell>
          <cell r="H357">
            <v>21.41894303239512</v>
          </cell>
          <cell r="I357">
            <v>22.723046065942786</v>
          </cell>
          <cell r="J357">
            <v>23.57058543704693</v>
          </cell>
        </row>
        <row r="358">
          <cell r="A358" t="str">
            <v>T_C-BAT-ELC-S4</v>
          </cell>
          <cell r="B358" t="str">
            <v>VAR_fin</v>
          </cell>
          <cell r="C358" t="str">
            <v>T-ELC-car-BatSTGOut_S4</v>
          </cell>
          <cell r="H358">
            <v>16.138407983767628</v>
          </cell>
          <cell r="I358">
            <v>16.581583264194084</v>
          </cell>
          <cell r="J358">
            <v>15.43663888978188</v>
          </cell>
        </row>
        <row r="359">
          <cell r="A359" t="str">
            <v>T_C-BAT-ELC-S4</v>
          </cell>
          <cell r="B359" t="str">
            <v>VAR_ncap</v>
          </cell>
          <cell r="C359" t="str">
            <v>-</v>
          </cell>
          <cell r="H359">
            <v>0.88656444734878903</v>
          </cell>
          <cell r="I359">
            <v>0.72610477336155399</v>
          </cell>
          <cell r="J359">
            <v>2.01193685717779</v>
          </cell>
        </row>
        <row r="360">
          <cell r="A360" t="str">
            <v>T_C-BAT-ELC-S4</v>
          </cell>
          <cell r="B360" t="str">
            <v>VAR_cap</v>
          </cell>
          <cell r="C360" t="str">
            <v>-</v>
          </cell>
          <cell r="H360">
            <v>1.6866076618004979</v>
          </cell>
          <cell r="I360">
            <v>1.7895487342064196</v>
          </cell>
          <cell r="J360">
            <v>2.3056326169393739</v>
          </cell>
        </row>
        <row r="361">
          <cell r="A361" t="str">
            <v>T_B_c-ICENGA-S1</v>
          </cell>
          <cell r="B361" t="str">
            <v>VAR_fout</v>
          </cell>
          <cell r="C361" t="str">
            <v>CO2_T</v>
          </cell>
          <cell r="H361">
            <v>1.4719945723078501E-4</v>
          </cell>
        </row>
        <row r="362">
          <cell r="A362" t="str">
            <v>T_B_c-ICENGA-S1</v>
          </cell>
          <cell r="B362" t="str">
            <v>VAR_fout</v>
          </cell>
          <cell r="C362" t="str">
            <v>TPBSc</v>
          </cell>
          <cell r="H362">
            <v>3.7928526785812647E-7</v>
          </cell>
        </row>
        <row r="363">
          <cell r="A363" t="str">
            <v>T_B_c-ICENGA-S1</v>
          </cell>
          <cell r="B363" t="str">
            <v>VAR_fin</v>
          </cell>
          <cell r="C363" t="str">
            <v>TNGA</v>
          </cell>
          <cell r="H363">
            <v>2.6099194544465408E-6</v>
          </cell>
        </row>
        <row r="364">
          <cell r="A364" t="str">
            <v>T_B_c-ICENGA-S1</v>
          </cell>
          <cell r="B364" t="str">
            <v>VAR_ncap</v>
          </cell>
          <cell r="C364" t="str">
            <v>-</v>
          </cell>
          <cell r="H364">
            <v>1.77967627759521E-8</v>
          </cell>
          <cell r="I364">
            <v>1.4973502022427E-8</v>
          </cell>
        </row>
        <row r="365">
          <cell r="A365" t="str">
            <v>T_B_c-ICENGA-S1</v>
          </cell>
          <cell r="B365" t="str">
            <v>VAR_cap</v>
          </cell>
          <cell r="C365" t="str">
            <v>-</v>
          </cell>
          <cell r="H365">
            <v>2.4307434090736015E-8</v>
          </cell>
          <cell r="I365">
            <v>1.5407810971078603E-8</v>
          </cell>
          <cell r="J365">
            <v>1.0632420104246301E-8</v>
          </cell>
        </row>
        <row r="366">
          <cell r="A366" t="str">
            <v>TFLGV-FCLH2O</v>
          </cell>
          <cell r="B366" t="str">
            <v>VAR_fout</v>
          </cell>
          <cell r="C366" t="str">
            <v>TFLGV</v>
          </cell>
          <cell r="H366">
            <v>9.850866127126338E-6</v>
          </cell>
          <cell r="I366">
            <v>8.8986071019752035E-6</v>
          </cell>
          <cell r="J366">
            <v>7.9077348203997464E-6</v>
          </cell>
        </row>
        <row r="367">
          <cell r="A367" t="str">
            <v>TFLGV-FCLH2O</v>
          </cell>
          <cell r="B367" t="str">
            <v>VAR_fin</v>
          </cell>
          <cell r="C367" t="str">
            <v>TH2O</v>
          </cell>
          <cell r="H367">
            <v>1.8633784824667666E-5</v>
          </cell>
          <cell r="I367">
            <v>1.5773579943402203E-5</v>
          </cell>
          <cell r="J367">
            <v>1.3377064547851033E-5</v>
          </cell>
        </row>
        <row r="368">
          <cell r="A368" t="str">
            <v>TFLGV-FCLH2O</v>
          </cell>
          <cell r="B368" t="str">
            <v>VAR_ncap</v>
          </cell>
          <cell r="C368" t="str">
            <v>-</v>
          </cell>
          <cell r="H368">
            <v>2.9070878775621998E-7</v>
          </cell>
          <cell r="I368">
            <v>3.2710336992398902E-7</v>
          </cell>
          <cell r="J368">
            <v>3.7500377156463098E-7</v>
          </cell>
        </row>
        <row r="369">
          <cell r="A369" t="str">
            <v>TFLGV-FCLH2O</v>
          </cell>
          <cell r="B369" t="str">
            <v>VAR_cap</v>
          </cell>
          <cell r="C369" t="str">
            <v>-</v>
          </cell>
          <cell r="H369">
            <v>6.4509685979526633E-7</v>
          </cell>
          <cell r="I369">
            <v>5.9667209655099053E-7</v>
          </cell>
          <cell r="J369">
            <v>5.90063930681267E-7</v>
          </cell>
        </row>
        <row r="370">
          <cell r="A370" t="str">
            <v>T_B_c-ICENGA-S2</v>
          </cell>
          <cell r="B370" t="str">
            <v>VAR_fout</v>
          </cell>
          <cell r="C370" t="str">
            <v>CO2_T</v>
          </cell>
          <cell r="H370">
            <v>9.77240931403784E-5</v>
          </cell>
        </row>
        <row r="371">
          <cell r="A371" t="str">
            <v>T_B_c-ICENGA-S2</v>
          </cell>
          <cell r="B371" t="str">
            <v>VAR_fout</v>
          </cell>
          <cell r="C371" t="str">
            <v>TPBSc</v>
          </cell>
          <cell r="H371">
            <v>1.764791751560429E-7</v>
          </cell>
        </row>
        <row r="372">
          <cell r="A372" t="str">
            <v>T_B_c-ICENGA-S2</v>
          </cell>
          <cell r="B372" t="str">
            <v>VAR_fin</v>
          </cell>
          <cell r="C372" t="str">
            <v>TNGA</v>
          </cell>
          <cell r="H372">
            <v>1.7326966868861409E-6</v>
          </cell>
        </row>
        <row r="373">
          <cell r="A373" t="str">
            <v>T_B_c-ICENGA-S2</v>
          </cell>
          <cell r="B373" t="str">
            <v>VAR_ncap</v>
          </cell>
          <cell r="C373" t="str">
            <v>-</v>
          </cell>
        </row>
        <row r="374">
          <cell r="A374" t="str">
            <v>T_B_c-ICENGA-S2</v>
          </cell>
          <cell r="B374" t="str">
            <v>VAR_cap</v>
          </cell>
          <cell r="C374" t="str">
            <v>-</v>
          </cell>
          <cell r="H374">
            <v>6.9006133597799864E-10</v>
          </cell>
          <cell r="I374">
            <v>-1.0516677535070999E-8</v>
          </cell>
        </row>
        <row r="375">
          <cell r="A375" t="str">
            <v>T_B_u-ICEDSL-S1</v>
          </cell>
          <cell r="B375" t="str">
            <v>VAR_fout</v>
          </cell>
          <cell r="C375" t="str">
            <v>CO2_T</v>
          </cell>
        </row>
        <row r="376">
          <cell r="A376" t="str">
            <v>T_B_u-ICEDSL-S1</v>
          </cell>
          <cell r="B376" t="str">
            <v>VAR_fout</v>
          </cell>
          <cell r="C376" t="str">
            <v>TPBSu</v>
          </cell>
        </row>
        <row r="377">
          <cell r="A377" t="str">
            <v>T_B_u-ICEDSL-S1</v>
          </cell>
          <cell r="B377" t="str">
            <v>VAR_fin</v>
          </cell>
          <cell r="C377" t="str">
            <v>TDSL</v>
          </cell>
        </row>
        <row r="378">
          <cell r="A378" t="str">
            <v>T_B_u-ICEDSL-S1</v>
          </cell>
          <cell r="B378" t="str">
            <v>VAR_ncap</v>
          </cell>
          <cell r="C378" t="str">
            <v>-</v>
          </cell>
        </row>
        <row r="379">
          <cell r="A379" t="str">
            <v>T_B_u-ICEDSL-S1</v>
          </cell>
          <cell r="B379" t="str">
            <v>VAR_cap</v>
          </cell>
          <cell r="C379" t="str">
            <v>-</v>
          </cell>
          <cell r="H379">
            <v>8.4722171297827234E-10</v>
          </cell>
        </row>
        <row r="380">
          <cell r="A380" t="str">
            <v>T_B_c-ICENGA-S3</v>
          </cell>
          <cell r="B380" t="str">
            <v>VAR_fout</v>
          </cell>
          <cell r="C380" t="str">
            <v>CO2_T</v>
          </cell>
        </row>
        <row r="381">
          <cell r="A381" t="str">
            <v>T_B_c-ICENGA-S3</v>
          </cell>
          <cell r="B381" t="str">
            <v>VAR_fout</v>
          </cell>
          <cell r="C381" t="str">
            <v>TPBSc</v>
          </cell>
        </row>
        <row r="382">
          <cell r="A382" t="str">
            <v>T_B_c-ICENGA-S3</v>
          </cell>
          <cell r="B382" t="str">
            <v>VAR_fin</v>
          </cell>
          <cell r="C382" t="str">
            <v>TNGA</v>
          </cell>
        </row>
        <row r="383">
          <cell r="A383" t="str">
            <v>T_B_c-ICENGA-S3</v>
          </cell>
          <cell r="B383" t="str">
            <v>VAR_ncap</v>
          </cell>
          <cell r="C383" t="str">
            <v>-</v>
          </cell>
          <cell r="H383">
            <v>1.06529199663483E-8</v>
          </cell>
          <cell r="I383">
            <v>1.46598821959229E-8</v>
          </cell>
        </row>
        <row r="384">
          <cell r="A384" t="str">
            <v>T_B_c-ICENGA-S3</v>
          </cell>
          <cell r="B384" t="str">
            <v>VAR_cap</v>
          </cell>
          <cell r="C384" t="str">
            <v>-</v>
          </cell>
          <cell r="H384">
            <v>1.06529199663483E-8</v>
          </cell>
          <cell r="I384">
            <v>2.53128021622712E-8</v>
          </cell>
          <cell r="J384">
            <v>5.0213211268727097E-9</v>
          </cell>
        </row>
        <row r="385">
          <cell r="A385" t="str">
            <v>T_B_u-ICEDSL-S2</v>
          </cell>
          <cell r="B385" t="str">
            <v>VAR_fout</v>
          </cell>
          <cell r="C385" t="str">
            <v>CO2_T</v>
          </cell>
        </row>
        <row r="386">
          <cell r="A386" t="str">
            <v>T_B_u-ICEDSL-S2</v>
          </cell>
          <cell r="B386" t="str">
            <v>VAR_fout</v>
          </cell>
          <cell r="C386" t="str">
            <v>TPBSu</v>
          </cell>
        </row>
        <row r="387">
          <cell r="A387" t="str">
            <v>T_B_u-ICEDSL-S2</v>
          </cell>
          <cell r="B387" t="str">
            <v>VAR_fin</v>
          </cell>
          <cell r="C387" t="str">
            <v>TDSL</v>
          </cell>
        </row>
        <row r="388">
          <cell r="A388" t="str">
            <v>T_B_u-ICEDSL-S2</v>
          </cell>
          <cell r="B388" t="str">
            <v>VAR_ncap</v>
          </cell>
          <cell r="C388" t="str">
            <v>-</v>
          </cell>
        </row>
        <row r="389">
          <cell r="A389" t="str">
            <v>T_B_u-ICEDSL-S2</v>
          </cell>
          <cell r="B389" t="str">
            <v>VAR_cap</v>
          </cell>
          <cell r="C389" t="str">
            <v>-</v>
          </cell>
          <cell r="H389">
            <v>-6.088363823595613E-9</v>
          </cell>
          <cell r="I389">
            <v>-5.6155784320049803E-9</v>
          </cell>
        </row>
        <row r="390">
          <cell r="A390" t="str">
            <v>T_B_c-ICENGA-S4</v>
          </cell>
          <cell r="B390" t="str">
            <v>VAR_fout</v>
          </cell>
          <cell r="C390" t="str">
            <v>CO2_T</v>
          </cell>
        </row>
        <row r="391">
          <cell r="A391" t="str">
            <v>T_B_c-ICENGA-S4</v>
          </cell>
          <cell r="B391" t="str">
            <v>VAR_fout</v>
          </cell>
          <cell r="C391" t="str">
            <v>TPBSc</v>
          </cell>
        </row>
        <row r="392">
          <cell r="A392" t="str">
            <v>T_B_c-ICENGA-S4</v>
          </cell>
          <cell r="B392" t="str">
            <v>VAR_fin</v>
          </cell>
          <cell r="C392" t="str">
            <v>TNGA</v>
          </cell>
        </row>
        <row r="393">
          <cell r="A393" t="str">
            <v>T_B_c-ICENGA-S4</v>
          </cell>
          <cell r="B393" t="str">
            <v>VAR_ncap</v>
          </cell>
          <cell r="C393" t="str">
            <v>-</v>
          </cell>
        </row>
        <row r="394">
          <cell r="A394" t="str">
            <v>T_B_c-ICENGA-S4</v>
          </cell>
          <cell r="B394" t="str">
            <v>VAR_cap</v>
          </cell>
          <cell r="C394" t="str">
            <v>-</v>
          </cell>
        </row>
        <row r="395">
          <cell r="A395" t="str">
            <v>T_B_u-ICEDSL-S3</v>
          </cell>
          <cell r="B395" t="str">
            <v>VAR_fout</v>
          </cell>
          <cell r="C395" t="str">
            <v>CO2_T</v>
          </cell>
        </row>
        <row r="396">
          <cell r="A396" t="str">
            <v>T_B_u-ICEDSL-S3</v>
          </cell>
          <cell r="B396" t="str">
            <v>VAR_fout</v>
          </cell>
          <cell r="C396" t="str">
            <v>TPBSu</v>
          </cell>
        </row>
        <row r="397">
          <cell r="A397" t="str">
            <v>T_B_u-ICEDSL-S3</v>
          </cell>
          <cell r="B397" t="str">
            <v>VAR_fin</v>
          </cell>
          <cell r="C397" t="str">
            <v>TDSL</v>
          </cell>
        </row>
        <row r="398">
          <cell r="A398" t="str">
            <v>T_B_u-ICEDSL-S3</v>
          </cell>
          <cell r="B398" t="str">
            <v>VAR_ncap</v>
          </cell>
          <cell r="C398" t="str">
            <v>-</v>
          </cell>
        </row>
        <row r="399">
          <cell r="A399" t="str">
            <v>T_B_u-ICEDSL-S3</v>
          </cell>
          <cell r="B399" t="str">
            <v>VAR_cap</v>
          </cell>
          <cell r="C399" t="str">
            <v>-</v>
          </cell>
          <cell r="H399">
            <v>-1.05478073299257E-8</v>
          </cell>
          <cell r="I399">
            <v>-1.0559877315843001E-8</v>
          </cell>
        </row>
        <row r="400">
          <cell r="A400" t="str">
            <v>T_B_u-ICEDSL-S4</v>
          </cell>
          <cell r="B400" t="str">
            <v>VAR_fout</v>
          </cell>
          <cell r="C400" t="str">
            <v>CO2_T</v>
          </cell>
        </row>
        <row r="401">
          <cell r="A401" t="str">
            <v>T_B_u-ICEDSL-S4</v>
          </cell>
          <cell r="B401" t="str">
            <v>VAR_fout</v>
          </cell>
          <cell r="C401" t="str">
            <v>TPBSu</v>
          </cell>
        </row>
        <row r="402">
          <cell r="A402" t="str">
            <v>T_B_u-ICEDSL-S4</v>
          </cell>
          <cell r="B402" t="str">
            <v>VAR_fin</v>
          </cell>
          <cell r="C402" t="str">
            <v>TDSL</v>
          </cell>
        </row>
        <row r="403">
          <cell r="A403" t="str">
            <v>T_B_u-ICEDSL-S4</v>
          </cell>
          <cell r="B403" t="str">
            <v>VAR_ncap</v>
          </cell>
          <cell r="C403" t="str">
            <v>-</v>
          </cell>
        </row>
        <row r="404">
          <cell r="A404" t="str">
            <v>T_B_u-ICEDSL-S4</v>
          </cell>
          <cell r="B404" t="str">
            <v>VAR_cap</v>
          </cell>
          <cell r="C404" t="str">
            <v>-</v>
          </cell>
          <cell r="H404">
            <v>-9.9802291005543592E-9</v>
          </cell>
          <cell r="I404">
            <v>-9.2692288315295908E-9</v>
          </cell>
        </row>
        <row r="405">
          <cell r="A405" t="str">
            <v>D-TBDS1intl</v>
          </cell>
          <cell r="B405" t="str">
            <v>VAR_fout</v>
          </cell>
          <cell r="C405" t="str">
            <v>TKERintl_SAF</v>
          </cell>
          <cell r="H405">
            <v>16.4685843309259</v>
          </cell>
          <cell r="I405">
            <v>27.050436183173598</v>
          </cell>
          <cell r="J405">
            <v>74.082841312771805</v>
          </cell>
        </row>
        <row r="406">
          <cell r="A406" t="str">
            <v>D-TBDS1intl</v>
          </cell>
          <cell r="B406" t="str">
            <v>VAR_fin</v>
          </cell>
          <cell r="C406" t="str">
            <v>BDS1</v>
          </cell>
          <cell r="H406">
            <v>16.4685843309259</v>
          </cell>
          <cell r="I406">
            <v>27.050436183173598</v>
          </cell>
          <cell r="J406">
            <v>74.082841312771805</v>
          </cell>
        </row>
        <row r="407">
          <cell r="A407" t="str">
            <v>T_B_c-ICENGAEXT</v>
          </cell>
          <cell r="B407" t="str">
            <v>VAR_fout</v>
          </cell>
          <cell r="C407" t="str">
            <v>CO2_T</v>
          </cell>
        </row>
        <row r="408">
          <cell r="A408" t="str">
            <v>T_B_c-ICENGAEXT</v>
          </cell>
          <cell r="B408" t="str">
            <v>VAR_fout</v>
          </cell>
          <cell r="C408" t="str">
            <v>TPBSc</v>
          </cell>
        </row>
        <row r="409">
          <cell r="A409" t="str">
            <v>T_B_c-ICENGAEXT</v>
          </cell>
          <cell r="B409" t="str">
            <v>VAR_fin</v>
          </cell>
          <cell r="C409" t="str">
            <v>TNGA</v>
          </cell>
        </row>
        <row r="410">
          <cell r="A410" t="str">
            <v>T_B_c-ICENGAEXT</v>
          </cell>
          <cell r="B410" t="str">
            <v>VAR_cap</v>
          </cell>
          <cell r="C410" t="str">
            <v>-</v>
          </cell>
        </row>
        <row r="411">
          <cell r="A411" t="str">
            <v>T_B_u-ICEDSLEXT</v>
          </cell>
          <cell r="B411" t="str">
            <v>VAR_fout</v>
          </cell>
          <cell r="C411" t="str">
            <v>CO2_T</v>
          </cell>
        </row>
        <row r="412">
          <cell r="A412" t="str">
            <v>T_B_u-ICEDSLEXT</v>
          </cell>
          <cell r="B412" t="str">
            <v>VAR_fout</v>
          </cell>
          <cell r="C412" t="str">
            <v>TPBSu</v>
          </cell>
        </row>
        <row r="413">
          <cell r="A413" t="str">
            <v>T_B_u-ICEDSLEXT</v>
          </cell>
          <cell r="B413" t="str">
            <v>VAR_fin</v>
          </cell>
          <cell r="C413" t="str">
            <v>TDSL</v>
          </cell>
        </row>
        <row r="414">
          <cell r="A414" t="str">
            <v>T_B_u-ICEDSLEXT</v>
          </cell>
          <cell r="B414" t="str">
            <v>VAR_cap</v>
          </cell>
          <cell r="C414" t="str">
            <v>-</v>
          </cell>
        </row>
        <row r="415">
          <cell r="A415" t="str">
            <v>D-T-ELC-LGV</v>
          </cell>
          <cell r="B415" t="str">
            <v>VAR_fout</v>
          </cell>
          <cell r="C415" t="str">
            <v>T-ELC-LGV_BatSTGin</v>
          </cell>
          <cell r="H415">
            <v>6.2848488706908876</v>
          </cell>
          <cell r="I415">
            <v>7.328389915616623</v>
          </cell>
          <cell r="J415">
            <v>7.9306542485595761</v>
          </cell>
        </row>
        <row r="416">
          <cell r="A416" t="str">
            <v>D-T-ELC-LGV</v>
          </cell>
          <cell r="B416" t="str">
            <v>VAR_fin</v>
          </cell>
          <cell r="C416" t="str">
            <v>TELC</v>
          </cell>
          <cell r="H416">
            <v>6.2848488706908876</v>
          </cell>
          <cell r="I416">
            <v>7.328389915616623</v>
          </cell>
          <cell r="J416">
            <v>7.9306542485595761</v>
          </cell>
        </row>
        <row r="417">
          <cell r="A417" t="str">
            <v>D-T-ELC-LGV</v>
          </cell>
          <cell r="B417" t="str">
            <v>VAR_ncap</v>
          </cell>
          <cell r="C417" t="str">
            <v>-</v>
          </cell>
          <cell r="H417">
            <v>0.36428394622446703</v>
          </cell>
          <cell r="I417">
            <v>0.35753739958602598</v>
          </cell>
          <cell r="J417">
            <v>0.59502958589489097</v>
          </cell>
        </row>
        <row r="418">
          <cell r="A418" t="str">
            <v>D-T-ELC-LGV</v>
          </cell>
          <cell r="B418" t="str">
            <v>VAR_cap</v>
          </cell>
          <cell r="C418" t="str">
            <v>-</v>
          </cell>
          <cell r="H418">
            <v>0.66430424400513</v>
          </cell>
          <cell r="I418">
            <v>0.77460563330124099</v>
          </cell>
          <cell r="J418">
            <v>0.838264176109218</v>
          </cell>
        </row>
        <row r="419">
          <cell r="A419" t="str">
            <v>T_B_c-FCLH2O-S1</v>
          </cell>
          <cell r="B419" t="str">
            <v>VAR_fout</v>
          </cell>
          <cell r="C419" t="str">
            <v>TPBSc</v>
          </cell>
          <cell r="H419">
            <v>2.872876511719915E-7</v>
          </cell>
        </row>
        <row r="420">
          <cell r="A420" t="str">
            <v>T_B_c-FCLH2O-S1</v>
          </cell>
          <cell r="B420" t="str">
            <v>VAR_fin</v>
          </cell>
          <cell r="C420" t="str">
            <v>TH2O</v>
          </cell>
          <cell r="H420">
            <v>1.1415635042897653E-6</v>
          </cell>
        </row>
        <row r="421">
          <cell r="A421" t="str">
            <v>T_B_c-FCLH2O-S1</v>
          </cell>
          <cell r="B421" t="str">
            <v>VAR_ncap</v>
          </cell>
          <cell r="C421" t="str">
            <v>-</v>
          </cell>
          <cell r="H421">
            <v>2.05353478212337E-8</v>
          </cell>
          <cell r="J421">
            <v>1.09757570292682E-8</v>
          </cell>
        </row>
        <row r="422">
          <cell r="A422" t="str">
            <v>T_B_c-FCLH2O-S1</v>
          </cell>
          <cell r="B422" t="str">
            <v>VAR_cap</v>
          </cell>
          <cell r="C422" t="str">
            <v>-</v>
          </cell>
          <cell r="H422">
            <v>3.43413300264181E-8</v>
          </cell>
          <cell r="I422">
            <v>3.7678788299648977E-9</v>
          </cell>
          <cell r="J422">
            <v>1.45794772148442E-8</v>
          </cell>
        </row>
        <row r="423">
          <cell r="A423" t="str">
            <v>T_B_c-FCLH2O-S2</v>
          </cell>
          <cell r="B423" t="str">
            <v>VAR_ncap</v>
          </cell>
          <cell r="C423" t="str">
            <v>-</v>
          </cell>
        </row>
        <row r="424">
          <cell r="A424" t="str">
            <v>T_B_c-FCLH2O-S2</v>
          </cell>
          <cell r="B424" t="str">
            <v>VAR_cap</v>
          </cell>
          <cell r="C424" t="str">
            <v>-</v>
          </cell>
          <cell r="H424">
            <v>-7.7730749141669886E-10</v>
          </cell>
          <cell r="I424">
            <v>2.8796972872567101E-9</v>
          </cell>
        </row>
        <row r="425">
          <cell r="A425" t="str">
            <v>T_B_c-FCLH2O-S3</v>
          </cell>
          <cell r="B425" t="str">
            <v>VAR_fout</v>
          </cell>
          <cell r="C425" t="str">
            <v>TPBSc</v>
          </cell>
        </row>
        <row r="426">
          <cell r="A426" t="str">
            <v>T_B_c-FCLH2O-S3</v>
          </cell>
          <cell r="B426" t="str">
            <v>VAR_fin</v>
          </cell>
          <cell r="C426" t="str">
            <v>TH2O</v>
          </cell>
        </row>
        <row r="427">
          <cell r="A427" t="str">
            <v>T_B_c-FCLH2O-S3</v>
          </cell>
          <cell r="B427" t="str">
            <v>VAR_ncap</v>
          </cell>
          <cell r="C427" t="str">
            <v>-</v>
          </cell>
          <cell r="H427">
            <v>1.06840359674076E-8</v>
          </cell>
          <cell r="I427">
            <v>1.1619533297558099E-8</v>
          </cell>
          <cell r="J427">
            <v>1.33003684667262E-8</v>
          </cell>
        </row>
        <row r="428">
          <cell r="A428" t="str">
            <v>T_B_c-FCLH2O-S3</v>
          </cell>
          <cell r="B428" t="str">
            <v>VAR_cap</v>
          </cell>
          <cell r="C428" t="str">
            <v>-</v>
          </cell>
          <cell r="H428">
            <v>1.9351363948913798E-8</v>
          </cell>
          <cell r="I428">
            <v>2.23035692649658E-8</v>
          </cell>
          <cell r="J428">
            <v>1.7280305498393201E-8</v>
          </cell>
        </row>
        <row r="429">
          <cell r="A429" t="str">
            <v>T_C-HYBGSLEXT</v>
          </cell>
          <cell r="B429" t="str">
            <v>VAR_fout</v>
          </cell>
          <cell r="C429" t="str">
            <v>CO2_T</v>
          </cell>
        </row>
        <row r="430">
          <cell r="A430" t="str">
            <v>T_C-HYBGSLEXT</v>
          </cell>
          <cell r="B430" t="str">
            <v>VAR_fout</v>
          </cell>
          <cell r="C430" t="str">
            <v>TPCAR</v>
          </cell>
        </row>
        <row r="431">
          <cell r="A431" t="str">
            <v>T_C-HYBGSLEXT</v>
          </cell>
          <cell r="B431" t="str">
            <v>VAR_fin</v>
          </cell>
          <cell r="C431" t="str">
            <v>TGSL</v>
          </cell>
        </row>
        <row r="432">
          <cell r="A432" t="str">
            <v>T_C-HYBGSLEXT</v>
          </cell>
          <cell r="B432" t="str">
            <v>VAR_cap</v>
          </cell>
          <cell r="C432" t="str">
            <v>-</v>
          </cell>
        </row>
        <row r="433">
          <cell r="A433" t="str">
            <v>TPAVDKEREXT</v>
          </cell>
          <cell r="B433" t="str">
            <v>VAR_fout</v>
          </cell>
          <cell r="C433" t="str">
            <v>CO2_T</v>
          </cell>
          <cell r="H433">
            <v>185.675788544743</v>
          </cell>
          <cell r="I433">
            <v>154.38211110512901</v>
          </cell>
          <cell r="J433">
            <v>123.088433665514</v>
          </cell>
        </row>
        <row r="434">
          <cell r="A434" t="str">
            <v>TPAVDKEREXT</v>
          </cell>
          <cell r="B434" t="str">
            <v>VAR_fout</v>
          </cell>
          <cell r="C434" t="str">
            <v>TPAVD</v>
          </cell>
          <cell r="H434">
            <v>2.5504916008893299</v>
          </cell>
          <cell r="I434">
            <v>2.1206333943012199</v>
          </cell>
          <cell r="J434">
            <v>1.6907751877131001</v>
          </cell>
        </row>
        <row r="435">
          <cell r="A435" t="str">
            <v>TPAVDKEREXT</v>
          </cell>
          <cell r="B435" t="str">
            <v>VAR_fin</v>
          </cell>
          <cell r="C435" t="str">
            <v>TKER</v>
          </cell>
          <cell r="H435">
            <v>2.5504916008893299</v>
          </cell>
          <cell r="I435">
            <v>2.1206333943012199</v>
          </cell>
          <cell r="J435">
            <v>1.6907751877131001</v>
          </cell>
        </row>
        <row r="436">
          <cell r="A436" t="str">
            <v>TPAVDKEREXT</v>
          </cell>
          <cell r="B436" t="str">
            <v>VAR_ncap</v>
          </cell>
          <cell r="C436" t="str">
            <v>-</v>
          </cell>
          <cell r="H436">
            <v>1.9229795276028501</v>
          </cell>
          <cell r="I436">
            <v>1.5516094837651799</v>
          </cell>
          <cell r="J436">
            <v>1.31830870635757</v>
          </cell>
        </row>
        <row r="437">
          <cell r="A437" t="str">
            <v>TPAVDKEREXT</v>
          </cell>
          <cell r="B437" t="str">
            <v>VAR_cap</v>
          </cell>
          <cell r="C437" t="str">
            <v>-</v>
          </cell>
          <cell r="H437">
            <v>7.175803038366249</v>
          </cell>
          <cell r="I437">
            <v>4.7790715822747458</v>
          </cell>
          <cell r="J437">
            <v>2.6810689486340804</v>
          </cell>
        </row>
        <row r="438">
          <cell r="A438" t="str">
            <v>T_C-ICE-GSL-S1</v>
          </cell>
          <cell r="B438" t="str">
            <v>VAR_fout</v>
          </cell>
          <cell r="C438" t="str">
            <v>CO2_T</v>
          </cell>
          <cell r="H438">
            <v>47.98068824174522</v>
          </cell>
          <cell r="I438">
            <v>6.3339872663969317</v>
          </cell>
        </row>
        <row r="439">
          <cell r="A439" t="str">
            <v>T_C-ICE-GSL-S1</v>
          </cell>
          <cell r="B439" t="str">
            <v>VAR_fout</v>
          </cell>
          <cell r="C439" t="str">
            <v>TPCAR</v>
          </cell>
          <cell r="H439">
            <v>0.38967819442375495</v>
          </cell>
          <cell r="I439">
            <v>5.1411025294656312E-2</v>
          </cell>
        </row>
        <row r="440">
          <cell r="A440" t="str">
            <v>T_C-ICE-GSL-S1</v>
          </cell>
          <cell r="B440" t="str">
            <v>VAR_fin</v>
          </cell>
          <cell r="C440" t="str">
            <v>TGSL</v>
          </cell>
          <cell r="H440">
            <v>0.65014482712391897</v>
          </cell>
          <cell r="I440">
            <v>8.5826385723535542E-2</v>
          </cell>
        </row>
        <row r="441">
          <cell r="A441" t="str">
            <v>T_C-ICE-GSL-S1</v>
          </cell>
          <cell r="B441" t="str">
            <v>VAR_ncap</v>
          </cell>
          <cell r="C441" t="str">
            <v>-</v>
          </cell>
        </row>
        <row r="442">
          <cell r="A442" t="str">
            <v>T_C-ICE-GSL-S1</v>
          </cell>
          <cell r="B442" t="str">
            <v>VAR_cap</v>
          </cell>
          <cell r="C442" t="str">
            <v>-</v>
          </cell>
          <cell r="H442">
            <v>5.9213222139162344E-2</v>
          </cell>
          <cell r="I442">
            <v>7.8113754836855601E-3</v>
          </cell>
        </row>
        <row r="443">
          <cell r="A443" t="str">
            <v>V2G</v>
          </cell>
          <cell r="B443" t="str">
            <v>VAR_fout</v>
          </cell>
          <cell r="C443" t="str">
            <v>ELC35</v>
          </cell>
          <cell r="H443">
            <v>8.361366760928006E-2</v>
          </cell>
          <cell r="I443">
            <v>0.92206180804225379</v>
          </cell>
          <cell r="J443">
            <v>1.1166272025586534</v>
          </cell>
        </row>
        <row r="444">
          <cell r="A444" t="str">
            <v>V2G</v>
          </cell>
          <cell r="B444" t="str">
            <v>VAR_fin</v>
          </cell>
          <cell r="C444" t="str">
            <v>T-ELC-Bus_c_BatSTGout_S1</v>
          </cell>
          <cell r="H444">
            <v>2.9299519859078645E-3</v>
          </cell>
          <cell r="I444">
            <v>1.9494495958499352E-3</v>
          </cell>
          <cell r="J444">
            <v>7.071269358891937E-4</v>
          </cell>
        </row>
        <row r="445">
          <cell r="A445" t="str">
            <v>V2G</v>
          </cell>
          <cell r="B445" t="str">
            <v>VAR_fin</v>
          </cell>
          <cell r="C445" t="str">
            <v>T-ELC-Bus_c_BatSTGout_S2</v>
          </cell>
          <cell r="H445">
            <v>2.9731338599878385E-3</v>
          </cell>
          <cell r="I445">
            <v>2.2402778223796055E-3</v>
          </cell>
          <cell r="J445">
            <v>7.7182851728336112E-4</v>
          </cell>
        </row>
        <row r="446">
          <cell r="A446" t="str">
            <v>V2G</v>
          </cell>
          <cell r="B446" t="str">
            <v>VAR_fin</v>
          </cell>
          <cell r="C446" t="str">
            <v>T-ELC-Bus_c_BatSTGout_S3</v>
          </cell>
          <cell r="H446">
            <v>1.5922067172399481E-3</v>
          </cell>
          <cell r="I446">
            <v>1.1177553598998788E-3</v>
          </cell>
          <cell r="J446">
            <v>5.0041234681408092E-4</v>
          </cell>
        </row>
        <row r="447">
          <cell r="A447" t="str">
            <v>V2G</v>
          </cell>
          <cell r="B447" t="str">
            <v>VAR_fin</v>
          </cell>
          <cell r="C447" t="str">
            <v>T-ELC-Bus_c_BatSTGout_S4</v>
          </cell>
          <cell r="H447">
            <v>2.4397482204221543E-5</v>
          </cell>
          <cell r="I447">
            <v>2.3670272963133754E-4</v>
          </cell>
          <cell r="J447">
            <v>1.765473416489129E-4</v>
          </cell>
        </row>
        <row r="448">
          <cell r="A448" t="str">
            <v>V2G</v>
          </cell>
          <cell r="B448" t="str">
            <v>VAR_fin</v>
          </cell>
          <cell r="C448" t="str">
            <v>T-ELC-car-BatSTGOut_S1</v>
          </cell>
          <cell r="H448">
            <v>1.2071568759705394E-2</v>
          </cell>
          <cell r="I448">
            <v>0.34435349297249068</v>
          </cell>
          <cell r="J448">
            <v>0.40842486819592522</v>
          </cell>
        </row>
        <row r="449">
          <cell r="A449" t="str">
            <v>V2G</v>
          </cell>
          <cell r="B449" t="str">
            <v>VAR_fin</v>
          </cell>
          <cell r="C449" t="str">
            <v>T-ELC-car-BatSTGOut_S2</v>
          </cell>
          <cell r="H449">
            <v>8.0653129010717674E-3</v>
          </cell>
          <cell r="I449">
            <v>0.12243845232436967</v>
          </cell>
          <cell r="J449">
            <v>0.13657087278353539</v>
          </cell>
        </row>
        <row r="450">
          <cell r="A450" t="str">
            <v>V2G</v>
          </cell>
          <cell r="B450" t="str">
            <v>VAR_fin</v>
          </cell>
          <cell r="C450" t="str">
            <v>T-ELC-car-BatSTGOut_S3</v>
          </cell>
          <cell r="H450">
            <v>9.6630730689730628E-3</v>
          </cell>
          <cell r="I450">
            <v>0.11408591028464024</v>
          </cell>
          <cell r="J450">
            <v>0.13410764482647011</v>
          </cell>
        </row>
        <row r="451">
          <cell r="A451" t="str">
            <v>V2G</v>
          </cell>
          <cell r="B451" t="str">
            <v>VAR_fin</v>
          </cell>
          <cell r="C451" t="str">
            <v>T-ELC-car-BatSTGOut_S4</v>
          </cell>
          <cell r="H451">
            <v>7.9081259809489473E-3</v>
          </cell>
          <cell r="I451">
            <v>0.12642040984394504</v>
          </cell>
          <cell r="J451">
            <v>0.12914084424464928</v>
          </cell>
        </row>
        <row r="452">
          <cell r="A452" t="str">
            <v>V2G</v>
          </cell>
          <cell r="B452" t="str">
            <v>VAR_fin</v>
          </cell>
          <cell r="C452" t="str">
            <v>T-ELC-car-PlgSTGOut_S1</v>
          </cell>
          <cell r="H452">
            <v>1.6065532399492921E-3</v>
          </cell>
          <cell r="I452">
            <v>1.2634339592792741E-3</v>
          </cell>
          <cell r="J452">
            <v>2.9468607154065768E-4</v>
          </cell>
        </row>
        <row r="453">
          <cell r="A453" t="str">
            <v>V2G</v>
          </cell>
          <cell r="B453" t="str">
            <v>VAR_fin</v>
          </cell>
          <cell r="C453" t="str">
            <v>T-ELC-car-PlgSTGOut_S2</v>
          </cell>
          <cell r="H453">
            <v>2.3975284663731671E-4</v>
          </cell>
          <cell r="I453">
            <v>2.5066373628540275E-4</v>
          </cell>
          <cell r="J453">
            <v>7.1075515020159051E-4</v>
          </cell>
        </row>
        <row r="454">
          <cell r="A454" t="str">
            <v>V2G</v>
          </cell>
          <cell r="B454" t="str">
            <v>VAR_fin</v>
          </cell>
          <cell r="C454" t="str">
            <v>T-ELC-car-PlgSTGOut_S3</v>
          </cell>
          <cell r="H454">
            <v>9.8921629660148284E-3</v>
          </cell>
          <cell r="I454">
            <v>0.16486742166404295</v>
          </cell>
          <cell r="J454">
            <v>0.27574656716665757</v>
          </cell>
        </row>
        <row r="455">
          <cell r="A455" t="str">
            <v>V2G</v>
          </cell>
          <cell r="B455" t="str">
            <v>VAR_fin</v>
          </cell>
          <cell r="C455" t="str">
            <v>T-ELC-TWSTGout_S1</v>
          </cell>
          <cell r="H455">
            <v>1.211189792734962E-3</v>
          </cell>
          <cell r="I455">
            <v>7.5790876634432313E-4</v>
          </cell>
          <cell r="J455">
            <v>4.5826139884805447E-4</v>
          </cell>
        </row>
        <row r="456">
          <cell r="A456" t="str">
            <v>V2G</v>
          </cell>
          <cell r="B456" t="str">
            <v>VAR_fin</v>
          </cell>
          <cell r="C456" t="str">
            <v>T-ELC-car-PlgSTGOut_S4</v>
          </cell>
          <cell r="H456">
            <v>1.1851107254201312E-3</v>
          </cell>
          <cell r="I456">
            <v>3.1865368099104484E-3</v>
          </cell>
          <cell r="J456">
            <v>1.0213757294544035E-3</v>
          </cell>
        </row>
        <row r="457">
          <cell r="A457" t="str">
            <v>V2G</v>
          </cell>
          <cell r="B457" t="str">
            <v>VAR_fin</v>
          </cell>
          <cell r="C457" t="str">
            <v>T-ELC-TWSTGout_S2</v>
          </cell>
          <cell r="H457">
            <v>3.1121421838927652E-3</v>
          </cell>
          <cell r="I457">
            <v>2.7030738695902486E-3</v>
          </cell>
          <cell r="J457">
            <v>1.7913203899652319E-3</v>
          </cell>
        </row>
        <row r="458">
          <cell r="A458" t="str">
            <v>V2G</v>
          </cell>
          <cell r="B458" t="str">
            <v>VAR_fin</v>
          </cell>
          <cell r="C458" t="str">
            <v>T-ELC-TWSTGout_S3</v>
          </cell>
          <cell r="H458">
            <v>4.5407306552310393E-3</v>
          </cell>
          <cell r="I458">
            <v>4.387156211168977E-3</v>
          </cell>
          <cell r="J458">
            <v>2.8591331665492412E-3</v>
          </cell>
        </row>
        <row r="459">
          <cell r="A459" t="str">
            <v>V2G</v>
          </cell>
          <cell r="B459" t="str">
            <v>VAR_fin</v>
          </cell>
          <cell r="C459" t="str">
            <v>T-ELC-TWSTGout_S4</v>
          </cell>
          <cell r="H459">
            <v>4.5853988716922341E-3</v>
          </cell>
          <cell r="I459">
            <v>5.083786318024989E-3</v>
          </cell>
          <cell r="J459">
            <v>4.1703370491615035E-3</v>
          </cell>
        </row>
        <row r="460">
          <cell r="A460" t="str">
            <v>V2G</v>
          </cell>
          <cell r="B460" t="str">
            <v>VAR_fin</v>
          </cell>
          <cell r="C460" t="str">
            <v>T-ELC-Bus_u_BatSTGout_S1</v>
          </cell>
          <cell r="H460">
            <v>1.6674170915452867E-4</v>
          </cell>
          <cell r="I460">
            <v>1.2982027770930361E-4</v>
          </cell>
          <cell r="J460">
            <v>9.2666682128653282E-5</v>
          </cell>
        </row>
        <row r="461">
          <cell r="A461" t="str">
            <v>V2G</v>
          </cell>
          <cell r="B461" t="str">
            <v>VAR_fin</v>
          </cell>
          <cell r="C461" t="str">
            <v>T-ELC-Bus_u_BatSTGout_S2</v>
          </cell>
          <cell r="H461">
            <v>1.5398627557495305E-4</v>
          </cell>
          <cell r="I461">
            <v>1.2055961916042116E-4</v>
          </cell>
          <cell r="J461">
            <v>8.5842191273031928E-5</v>
          </cell>
        </row>
        <row r="462">
          <cell r="A462" t="str">
            <v>V2G</v>
          </cell>
          <cell r="B462" t="str">
            <v>VAR_fin</v>
          </cell>
          <cell r="C462" t="str">
            <v>T-ELC-Bus_u_BatSTGout_S3</v>
          </cell>
          <cell r="H462">
            <v>6.8822721280765555E-5</v>
          </cell>
          <cell r="I462">
            <v>5.9929575084384615E-5</v>
          </cell>
          <cell r="J462">
            <v>4.7741691651628002E-5</v>
          </cell>
        </row>
        <row r="463">
          <cell r="A463" t="str">
            <v>V2G</v>
          </cell>
          <cell r="B463" t="str">
            <v>VAR_fin</v>
          </cell>
          <cell r="C463" t="str">
            <v>T-ELC-Bus_u_BatSTGout_S4</v>
          </cell>
          <cell r="H463">
            <v>6.1732660623938333E-3</v>
          </cell>
          <cell r="I463">
            <v>1.7353467504715357E-4</v>
          </cell>
          <cell r="J463">
            <v>1.110792305654512E-4</v>
          </cell>
        </row>
        <row r="464">
          <cell r="A464" t="str">
            <v>V2G</v>
          </cell>
          <cell r="B464" t="str">
            <v>VAR_fin</v>
          </cell>
          <cell r="C464" t="str">
            <v>T-ELC-LGV_BatSTGout</v>
          </cell>
          <cell r="H464">
            <v>4.0693315818439365E-4</v>
          </cell>
          <cell r="I464">
            <v>3.3153756338400164E-4</v>
          </cell>
          <cell r="J464">
            <v>1.9457542810222243E-4</v>
          </cell>
        </row>
        <row r="465">
          <cell r="A465" t="str">
            <v>V2G</v>
          </cell>
          <cell r="B465" t="str">
            <v>VAR_fin</v>
          </cell>
          <cell r="C465" t="str">
            <v>T-ELC-HGV_BatSTGout</v>
          </cell>
          <cell r="H465">
            <v>5.1575613330345866E-3</v>
          </cell>
          <cell r="I465">
            <v>2.6010669993550461E-2</v>
          </cell>
          <cell r="J465">
            <v>1.8730407786655197E-2</v>
          </cell>
        </row>
        <row r="466">
          <cell r="A466" t="str">
            <v>V2G</v>
          </cell>
          <cell r="B466" t="str">
            <v>VAR_ncap</v>
          </cell>
          <cell r="C466" t="str">
            <v>-</v>
          </cell>
          <cell r="H466">
            <v>0.28048367066814101</v>
          </cell>
          <cell r="I466">
            <v>2.89857653380475</v>
          </cell>
          <cell r="J466">
            <v>1.8851078840881399</v>
          </cell>
        </row>
        <row r="467">
          <cell r="A467" t="str">
            <v>V2G</v>
          </cell>
          <cell r="B467" t="str">
            <v>VAR_cap</v>
          </cell>
          <cell r="C467" t="str">
            <v>-</v>
          </cell>
          <cell r="H467">
            <v>0.28586982496481084</v>
          </cell>
          <cell r="I467">
            <v>3.1827329854763442</v>
          </cell>
          <cell r="J467">
            <v>4.1073408829899902</v>
          </cell>
        </row>
        <row r="468">
          <cell r="A468" t="str">
            <v>TPSHPELCEXT</v>
          </cell>
          <cell r="B468" t="str">
            <v>VAR_fout</v>
          </cell>
          <cell r="C468" t="str">
            <v>TPSHP</v>
          </cell>
          <cell r="H468">
            <v>2.9557469573018502</v>
          </cell>
          <cell r="I468">
            <v>8.5441625259685008</v>
          </cell>
          <cell r="J468">
            <v>13.970970311210101</v>
          </cell>
        </row>
        <row r="469">
          <cell r="A469" t="str">
            <v>TPSHPELCEXT</v>
          </cell>
          <cell r="B469" t="str">
            <v>VAR_fin</v>
          </cell>
          <cell r="C469" t="str">
            <v>TELC</v>
          </cell>
          <cell r="H469">
            <v>1.1979238769681448</v>
          </cell>
          <cell r="I469">
            <v>3.4628323893792987</v>
          </cell>
          <cell r="J469">
            <v>5.6622434741467833</v>
          </cell>
        </row>
        <row r="470">
          <cell r="A470" t="str">
            <v>TPSHPELCEXT</v>
          </cell>
          <cell r="B470" t="str">
            <v>VAR_ncap</v>
          </cell>
          <cell r="C470" t="str">
            <v>-</v>
          </cell>
          <cell r="H470">
            <v>6.5468671323327397E-6</v>
          </cell>
          <cell r="I470">
            <v>5.63149557844336</v>
          </cell>
          <cell r="J470">
            <v>7.6151293611463702</v>
          </cell>
        </row>
        <row r="471">
          <cell r="A471" t="str">
            <v>TPSHPELCEXT</v>
          </cell>
          <cell r="B471" t="str">
            <v>VAR_cap</v>
          </cell>
          <cell r="C471" t="str">
            <v>-</v>
          </cell>
          <cell r="H471">
            <v>2.9557297789595784</v>
          </cell>
          <cell r="I471">
            <v>8.5441330878552026</v>
          </cell>
          <cell r="J471">
            <v>13.970951706031494</v>
          </cell>
        </row>
        <row r="472">
          <cell r="A472" t="str">
            <v>TFLGV-ICEGSL</v>
          </cell>
          <cell r="B472" t="str">
            <v>VAR_fout</v>
          </cell>
          <cell r="C472" t="str">
            <v>CO2_T</v>
          </cell>
          <cell r="H472">
            <v>59.957556712494195</v>
          </cell>
          <cell r="I472">
            <v>4.9406550306292799E-3</v>
          </cell>
        </row>
        <row r="473">
          <cell r="A473" t="str">
            <v>TFLGV-ICEGSL</v>
          </cell>
          <cell r="B473" t="str">
            <v>VAR_fout</v>
          </cell>
          <cell r="C473" t="str">
            <v>TFLGV</v>
          </cell>
          <cell r="H473">
            <v>0.2853505337393491</v>
          </cell>
          <cell r="I473">
            <v>2.3513609081376762E-5</v>
          </cell>
        </row>
        <row r="474">
          <cell r="A474" t="str">
            <v>TFLGV-ICEGSL</v>
          </cell>
          <cell r="B474" t="str">
            <v>VAR_fin</v>
          </cell>
          <cell r="C474" t="str">
            <v>TGSL</v>
          </cell>
          <cell r="H474">
            <v>0.81243301778447408</v>
          </cell>
          <cell r="I474">
            <v>6.694654513047809E-5</v>
          </cell>
        </row>
        <row r="475">
          <cell r="A475" t="str">
            <v>TFLGV-ICEGSL</v>
          </cell>
          <cell r="B475" t="str">
            <v>VAR_ncap</v>
          </cell>
          <cell r="C475" t="str">
            <v>-</v>
          </cell>
        </row>
        <row r="476">
          <cell r="A476" t="str">
            <v>TFLGV-ICEGSL</v>
          </cell>
          <cell r="B476" t="str">
            <v>VAR_cap</v>
          </cell>
          <cell r="C476" t="str">
            <v>-</v>
          </cell>
          <cell r="H476">
            <v>2.8392542926618494E-2</v>
          </cell>
          <cell r="I476">
            <v>1.9937692928798795E-6</v>
          </cell>
        </row>
        <row r="477">
          <cell r="A477" t="str">
            <v>T_C-ICE-GSL-S2</v>
          </cell>
          <cell r="B477" t="str">
            <v>VAR_fout</v>
          </cell>
          <cell r="C477" t="str">
            <v>CO2_T</v>
          </cell>
          <cell r="H477">
            <v>43.186890730919835</v>
          </cell>
          <cell r="I477">
            <v>4.2423733474845067</v>
          </cell>
        </row>
        <row r="478">
          <cell r="A478" t="str">
            <v>T_C-ICE-GSL-S2</v>
          </cell>
          <cell r="B478" t="str">
            <v>VAR_fout</v>
          </cell>
          <cell r="C478" t="str">
            <v>TPCAR</v>
          </cell>
          <cell r="H478">
            <v>0.3326070663234435</v>
          </cell>
          <cell r="I478">
            <v>3.1818868172906273E-2</v>
          </cell>
        </row>
        <row r="479">
          <cell r="A479" t="str">
            <v>T_C-ICE-GSL-S2</v>
          </cell>
          <cell r="B479" t="str">
            <v>VAR_fin</v>
          </cell>
          <cell r="C479" t="str">
            <v>TGSL</v>
          </cell>
          <cell r="H479">
            <v>0.58518822128617609</v>
          </cell>
          <cell r="I479">
            <v>5.7484733705752258E-2</v>
          </cell>
        </row>
        <row r="480">
          <cell r="A480" t="str">
            <v>T_C-ICE-GSL-S2</v>
          </cell>
          <cell r="B480" t="str">
            <v>VAR_ncap</v>
          </cell>
          <cell r="C480" t="str">
            <v>-</v>
          </cell>
        </row>
        <row r="481">
          <cell r="A481" t="str">
            <v>T_C-ICE-GSL-S2</v>
          </cell>
          <cell r="B481" t="str">
            <v>VAR_cap</v>
          </cell>
          <cell r="C481" t="str">
            <v>-</v>
          </cell>
          <cell r="H481">
            <v>3.5048562506028696E-2</v>
          </cell>
          <cell r="I481">
            <v>3.3532630194542802E-3</v>
          </cell>
        </row>
        <row r="482">
          <cell r="A482" t="str">
            <v>T_C-ICE-DSL-S1</v>
          </cell>
          <cell r="B482" t="str">
            <v>VAR_fout</v>
          </cell>
          <cell r="C482" t="str">
            <v>CO2_T</v>
          </cell>
          <cell r="H482">
            <v>4.3688106836361332E-2</v>
          </cell>
          <cell r="I482">
            <v>7.4068126756943898E-3</v>
          </cell>
        </row>
        <row r="483">
          <cell r="A483" t="str">
            <v>T_C-ICE-DSL-S1</v>
          </cell>
          <cell r="B483" t="str">
            <v>VAR_fout</v>
          </cell>
          <cell r="C483" t="str">
            <v>TPCAR</v>
          </cell>
          <cell r="H483">
            <v>4.9189855556324379E-4</v>
          </cell>
          <cell r="I483">
            <v>6.8539305506476456E-5</v>
          </cell>
        </row>
        <row r="484">
          <cell r="A484" t="str">
            <v>T_C-ICE-DSL-S1</v>
          </cell>
          <cell r="B484" t="str">
            <v>VAR_fin</v>
          </cell>
          <cell r="C484" t="str">
            <v>TDSL</v>
          </cell>
          <cell r="H484">
            <v>5.9601782859974449E-4</v>
          </cell>
          <cell r="I484">
            <v>1.0104792190578981E-4</v>
          </cell>
        </row>
        <row r="485">
          <cell r="A485" t="str">
            <v>T_C-ICE-DSL-S1</v>
          </cell>
          <cell r="B485" t="str">
            <v>VAR_ncap</v>
          </cell>
          <cell r="C485" t="str">
            <v>-</v>
          </cell>
        </row>
        <row r="486">
          <cell r="A486" t="str">
            <v>T_C-ICE-DSL-S1</v>
          </cell>
          <cell r="B486" t="str">
            <v>VAR_cap</v>
          </cell>
          <cell r="C486" t="str">
            <v>-</v>
          </cell>
          <cell r="H486">
            <v>7.0009466229589251E-5</v>
          </cell>
          <cell r="I486">
            <v>9.4442968421980961E-6</v>
          </cell>
        </row>
        <row r="487">
          <cell r="A487" t="str">
            <v>T_C-ICE-GSL-S3</v>
          </cell>
          <cell r="B487" t="str">
            <v>VAR_fout</v>
          </cell>
          <cell r="C487" t="str">
            <v>CO2_T</v>
          </cell>
          <cell r="H487">
            <v>70.997853531901157</v>
          </cell>
          <cell r="I487">
            <v>4.9300447253440058</v>
          </cell>
        </row>
        <row r="488">
          <cell r="A488" t="str">
            <v>T_C-ICE-GSL-S3</v>
          </cell>
          <cell r="B488" t="str">
            <v>VAR_fout</v>
          </cell>
          <cell r="C488" t="str">
            <v>TPCAR</v>
          </cell>
          <cell r="H488">
            <v>0.47334731386010692</v>
          </cell>
          <cell r="I488">
            <v>3.2215120629863307E-2</v>
          </cell>
        </row>
        <row r="489">
          <cell r="A489" t="str">
            <v>T_C-ICE-GSL-S3</v>
          </cell>
          <cell r="B489" t="str">
            <v>VAR_fin</v>
          </cell>
          <cell r="C489" t="str">
            <v>TGSL</v>
          </cell>
          <cell r="H489">
            <v>0.96203053566261687</v>
          </cell>
          <cell r="I489">
            <v>6.6802774056151842E-2</v>
          </cell>
        </row>
        <row r="490">
          <cell r="A490" t="str">
            <v>T_C-ICE-GSL-S3</v>
          </cell>
          <cell r="B490" t="str">
            <v>VAR_ncap</v>
          </cell>
          <cell r="C490" t="str">
            <v>-</v>
          </cell>
        </row>
        <row r="491">
          <cell r="A491" t="str">
            <v>T_C-ICE-GSL-S3</v>
          </cell>
          <cell r="B491" t="str">
            <v>VAR_cap</v>
          </cell>
          <cell r="C491" t="str">
            <v>-</v>
          </cell>
          <cell r="H491">
            <v>3.2579270145414674E-2</v>
          </cell>
          <cell r="I491">
            <v>3.1602106663845336E-3</v>
          </cell>
        </row>
        <row r="492">
          <cell r="A492" t="str">
            <v>T_C-ICE-DSL-S2</v>
          </cell>
          <cell r="B492" t="str">
            <v>VAR_fout</v>
          </cell>
          <cell r="C492" t="str">
            <v>CO2_T</v>
          </cell>
          <cell r="H492">
            <v>1.5267505101889378</v>
          </cell>
          <cell r="I492">
            <v>6.62664955084717E-3</v>
          </cell>
        </row>
        <row r="493">
          <cell r="A493" t="str">
            <v>T_C-ICE-DSL-S2</v>
          </cell>
          <cell r="B493" t="str">
            <v>VAR_fout</v>
          </cell>
          <cell r="C493" t="str">
            <v>TPCAR</v>
          </cell>
          <cell r="H493">
            <v>1.7260042393596749E-2</v>
          </cell>
          <cell r="I493">
            <v>5.0792902664058989E-5</v>
          </cell>
        </row>
        <row r="494">
          <cell r="A494" t="str">
            <v>T_C-ICE-DSL-S2</v>
          </cell>
          <cell r="B494" t="str">
            <v>VAR_fin</v>
          </cell>
          <cell r="C494" t="str">
            <v>TDSL</v>
          </cell>
          <cell r="H494">
            <v>2.0828792772018254E-2</v>
          </cell>
          <cell r="I494">
            <v>9.040449591878821E-5</v>
          </cell>
        </row>
        <row r="495">
          <cell r="A495" t="str">
            <v>T_C-ICE-DSL-S2</v>
          </cell>
          <cell r="B495" t="str">
            <v>VAR_ncap</v>
          </cell>
          <cell r="C495" t="str">
            <v>-</v>
          </cell>
        </row>
        <row r="496">
          <cell r="A496" t="str">
            <v>T_C-ICE-DSL-S2</v>
          </cell>
          <cell r="B496" t="str">
            <v>VAR_cap</v>
          </cell>
          <cell r="C496" t="str">
            <v>-</v>
          </cell>
          <cell r="H496">
            <v>1.7887409729613424E-3</v>
          </cell>
          <cell r="I496">
            <v>4.4580854589878218E-6</v>
          </cell>
        </row>
        <row r="497">
          <cell r="A497" t="str">
            <v>TPRLPH2OFCL</v>
          </cell>
          <cell r="B497" t="str">
            <v>VAR_fout</v>
          </cell>
          <cell r="C497" t="str">
            <v>TPRLP</v>
          </cell>
          <cell r="I497">
            <v>2.2829629318520275E-7</v>
          </cell>
          <cell r="J497">
            <v>8.9605039155118776E-7</v>
          </cell>
        </row>
        <row r="498">
          <cell r="A498" t="str">
            <v>TPRLPH2OFCL</v>
          </cell>
          <cell r="B498" t="str">
            <v>VAR_fin</v>
          </cell>
          <cell r="C498" t="str">
            <v>TH2O</v>
          </cell>
          <cell r="I498">
            <v>1.272420976885631E-5</v>
          </cell>
          <cell r="J498">
            <v>4.6379234097082035E-5</v>
          </cell>
        </row>
        <row r="499">
          <cell r="A499" t="str">
            <v>TPRLPH2OFCL</v>
          </cell>
          <cell r="B499" t="str">
            <v>VAR_ncap</v>
          </cell>
          <cell r="C499" t="str">
            <v>-</v>
          </cell>
          <cell r="I499">
            <v>3.0917855189803999E-8</v>
          </cell>
        </row>
        <row r="500">
          <cell r="A500" t="str">
            <v>TPRLPH2OFCL</v>
          </cell>
          <cell r="B500" t="str">
            <v>VAR_cap</v>
          </cell>
          <cell r="C500" t="str">
            <v>-</v>
          </cell>
          <cell r="I500">
            <v>3.0917855189803999E-8</v>
          </cell>
          <cell r="J500">
            <v>3.0917855189803999E-8</v>
          </cell>
        </row>
        <row r="501">
          <cell r="A501" t="str">
            <v>T_C-ICE-GSL-S4</v>
          </cell>
          <cell r="B501" t="str">
            <v>VAR_fout</v>
          </cell>
          <cell r="C501" t="str">
            <v>CO2_T</v>
          </cell>
          <cell r="H501">
            <v>141.66696970313686</v>
          </cell>
          <cell r="I501">
            <v>17.312836247533827</v>
          </cell>
        </row>
        <row r="502">
          <cell r="A502" t="str">
            <v>T_C-ICE-GSL-S4</v>
          </cell>
          <cell r="B502" t="str">
            <v>VAR_fout</v>
          </cell>
          <cell r="C502" t="str">
            <v>TPCAR</v>
          </cell>
          <cell r="H502">
            <v>0.83317409045070112</v>
          </cell>
          <cell r="I502">
            <v>0.10191822355206451</v>
          </cell>
        </row>
        <row r="503">
          <cell r="A503" t="str">
            <v>T_C-ICE-GSL-S4</v>
          </cell>
          <cell r="B503" t="str">
            <v>VAR_fin</v>
          </cell>
          <cell r="C503" t="str">
            <v>TGSL</v>
          </cell>
          <cell r="H503">
            <v>1.9196066355438608</v>
          </cell>
          <cell r="I503">
            <v>0.23459127706685429</v>
          </cell>
        </row>
        <row r="504">
          <cell r="A504" t="str">
            <v>T_C-ICE-GSL-S4</v>
          </cell>
          <cell r="B504" t="str">
            <v>VAR_ncap</v>
          </cell>
          <cell r="C504" t="str">
            <v>-</v>
          </cell>
        </row>
        <row r="505">
          <cell r="A505" t="str">
            <v>T_C-ICE-GSL-S4</v>
          </cell>
          <cell r="B505" t="str">
            <v>VAR_cap</v>
          </cell>
          <cell r="C505" t="str">
            <v>-</v>
          </cell>
          <cell r="H505">
            <v>9.3672663418864266E-2</v>
          </cell>
          <cell r="I505">
            <v>1.1460910526173703E-2</v>
          </cell>
        </row>
        <row r="506">
          <cell r="A506" t="str">
            <v>T_C-ICE-DSL-S3</v>
          </cell>
          <cell r="B506" t="str">
            <v>VAR_fout</v>
          </cell>
          <cell r="C506" t="str">
            <v>CO2_T</v>
          </cell>
          <cell r="H506">
            <v>10.123135641022845</v>
          </cell>
          <cell r="I506">
            <v>6.2756931440217205E-3</v>
          </cell>
        </row>
        <row r="507">
          <cell r="A507" t="str">
            <v>T_C-ICE-DSL-S3</v>
          </cell>
          <cell r="B507" t="str">
            <v>VAR_fout</v>
          </cell>
          <cell r="C507" t="str">
            <v>TPCAR</v>
          </cell>
          <cell r="H507">
            <v>8.1664408796590635E-2</v>
          </cell>
          <cell r="I507">
            <v>4.1698307821740163E-5</v>
          </cell>
        </row>
        <row r="508">
          <cell r="A508" t="str">
            <v>T_C-ICE-DSL-S3</v>
          </cell>
          <cell r="B508" t="str">
            <v>VAR_fin</v>
          </cell>
          <cell r="C508" t="str">
            <v>TDSL</v>
          </cell>
          <cell r="H508">
            <v>0.13810553398394065</v>
          </cell>
          <cell r="I508">
            <v>8.5616550395930751E-5</v>
          </cell>
        </row>
        <row r="509">
          <cell r="A509" t="str">
            <v>T_C-ICE-DSL-S3</v>
          </cell>
          <cell r="B509" t="str">
            <v>VAR_ncap</v>
          </cell>
          <cell r="C509" t="str">
            <v>-</v>
          </cell>
        </row>
        <row r="510">
          <cell r="A510" t="str">
            <v>T_C-ICE-DSL-S3</v>
          </cell>
          <cell r="B510" t="str">
            <v>VAR_cap</v>
          </cell>
          <cell r="C510" t="str">
            <v>-</v>
          </cell>
          <cell r="H510">
            <v>5.6288940858969516E-3</v>
          </cell>
          <cell r="I510">
            <v>3.257228631395116E-6</v>
          </cell>
        </row>
        <row r="511">
          <cell r="A511" t="str">
            <v>T_C-ICE-DSL-S4</v>
          </cell>
          <cell r="B511" t="str">
            <v>VAR_fout</v>
          </cell>
          <cell r="C511" t="str">
            <v>CO2_T</v>
          </cell>
          <cell r="H511">
            <v>5.67061496073861</v>
          </cell>
          <cell r="I511">
            <v>4.5720989760897196E-3</v>
          </cell>
        </row>
        <row r="512">
          <cell r="A512" t="str">
            <v>T_C-ICE-DSL-S4</v>
          </cell>
          <cell r="B512" t="str">
            <v>VAR_fout</v>
          </cell>
          <cell r="C512" t="str">
            <v>TPCAR</v>
          </cell>
          <cell r="H512">
            <v>3.0216584791575126E-2</v>
          </cell>
          <cell r="I512">
            <v>2.6350667295702554E-5</v>
          </cell>
        </row>
        <row r="513">
          <cell r="A513" t="str">
            <v>T_C-ICE-DSL-S4</v>
          </cell>
          <cell r="B513" t="str">
            <v>VAR_fin</v>
          </cell>
          <cell r="C513" t="str">
            <v>TDSL</v>
          </cell>
          <cell r="H513">
            <v>7.7361732070103773E-2</v>
          </cell>
          <cell r="I513">
            <v>6.2375156563297779E-5</v>
          </cell>
        </row>
        <row r="514">
          <cell r="A514" t="str">
            <v>T_C-ICE-DSL-S4</v>
          </cell>
          <cell r="B514" t="str">
            <v>VAR_ncap</v>
          </cell>
          <cell r="C514" t="str">
            <v>-</v>
          </cell>
        </row>
        <row r="515">
          <cell r="A515" t="str">
            <v>T_C-ICE-DSL-S4</v>
          </cell>
          <cell r="B515" t="str">
            <v>VAR_cap</v>
          </cell>
          <cell r="C515" t="str">
            <v>-</v>
          </cell>
          <cell r="H515">
            <v>3.3748154498291949E-3</v>
          </cell>
          <cell r="I515">
            <v>2.3964936572514426E-6</v>
          </cell>
        </row>
        <row r="516">
          <cell r="A516" t="str">
            <v>TFLGV-ICENGAExt</v>
          </cell>
          <cell r="B516" t="str">
            <v>VAR_fout</v>
          </cell>
          <cell r="C516" t="str">
            <v>CO2_T</v>
          </cell>
        </row>
        <row r="517">
          <cell r="A517" t="str">
            <v>TFLGV-ICENGAExt</v>
          </cell>
          <cell r="B517" t="str">
            <v>VAR_fout</v>
          </cell>
          <cell r="C517" t="str">
            <v>TFLGV</v>
          </cell>
        </row>
        <row r="518">
          <cell r="A518" t="str">
            <v>TFLGV-ICENGAExt</v>
          </cell>
          <cell r="B518" t="str">
            <v>VAR_fin</v>
          </cell>
          <cell r="C518" t="str">
            <v>TNGA</v>
          </cell>
        </row>
        <row r="519">
          <cell r="A519" t="str">
            <v>TFLGV-ICENGAExt</v>
          </cell>
          <cell r="B519" t="str">
            <v>VAR_cap</v>
          </cell>
          <cell r="C519" t="str">
            <v>-</v>
          </cell>
        </row>
        <row r="520">
          <cell r="A520" t="str">
            <v>D-TGSL</v>
          </cell>
          <cell r="B520" t="str">
            <v>VAR_fout</v>
          </cell>
          <cell r="C520" t="str">
            <v>CO2</v>
          </cell>
          <cell r="H520">
            <v>1260.1232688012601</v>
          </cell>
          <cell r="I520">
            <v>357.77439184649802</v>
          </cell>
          <cell r="J520">
            <v>62.056943453043402</v>
          </cell>
        </row>
        <row r="521">
          <cell r="A521" t="str">
            <v>D-TGSL</v>
          </cell>
          <cell r="B521" t="str">
            <v>VAR_fout</v>
          </cell>
          <cell r="C521" t="str">
            <v>TGSL</v>
          </cell>
          <cell r="H521">
            <v>18.203633618720591</v>
          </cell>
          <cell r="I521">
            <v>6.0159375620724598</v>
          </cell>
          <cell r="J521">
            <v>0.91997040501714322</v>
          </cell>
        </row>
        <row r="522">
          <cell r="A522" t="str">
            <v>D-TGSL</v>
          </cell>
          <cell r="B522" t="str">
            <v>VAR_fin</v>
          </cell>
          <cell r="C522" t="str">
            <v>GSL</v>
          </cell>
          <cell r="H522">
            <v>17.074841040667547</v>
          </cell>
          <cell r="I522">
            <v>4.8478914884349331</v>
          </cell>
          <cell r="J522">
            <v>0.84087999258866375</v>
          </cell>
        </row>
        <row r="523">
          <cell r="A523" t="str">
            <v>D-TGSL</v>
          </cell>
          <cell r="B523" t="str">
            <v>VAR_fin</v>
          </cell>
          <cell r="C523" t="str">
            <v>ETH</v>
          </cell>
          <cell r="H523">
            <v>1.4003052630306918</v>
          </cell>
          <cell r="I523">
            <v>1.2577775191684266</v>
          </cell>
          <cell r="J523">
            <v>9.2813191659843627E-2</v>
          </cell>
        </row>
        <row r="524">
          <cell r="A524" t="str">
            <v>T_TW-BEVELC-S1</v>
          </cell>
          <cell r="B524" t="str">
            <v>VAR_fout</v>
          </cell>
          <cell r="C524" t="str">
            <v>TPTWL</v>
          </cell>
          <cell r="H524">
            <v>0.19196583954945232</v>
          </cell>
          <cell r="I524">
            <v>1.0462152567861935</v>
          </cell>
          <cell r="J524">
            <v>1.7619572100262864</v>
          </cell>
        </row>
        <row r="525">
          <cell r="A525" t="str">
            <v>T_TW-BEVELC-S1</v>
          </cell>
          <cell r="B525" t="str">
            <v>VAR_fin</v>
          </cell>
          <cell r="C525" t="str">
            <v>T-ELC-TWSTGout_S1</v>
          </cell>
          <cell r="H525">
            <v>1.667163588495334E-2</v>
          </cell>
          <cell r="I525">
            <v>9.0003514487477759E-2</v>
          </cell>
          <cell r="J525">
            <v>0.14858473049744655</v>
          </cell>
        </row>
        <row r="526">
          <cell r="A526" t="str">
            <v>T_TW-BEVELC-S1</v>
          </cell>
          <cell r="B526" t="str">
            <v>VAR_ncap</v>
          </cell>
          <cell r="C526" t="str">
            <v>-</v>
          </cell>
          <cell r="H526">
            <v>6.5507425468276703E-2</v>
          </cell>
          <cell r="I526">
            <v>0.29451211404487698</v>
          </cell>
          <cell r="J526">
            <v>0.56918781515322703</v>
          </cell>
        </row>
        <row r="527">
          <cell r="A527" t="str">
            <v>T_TW-BEVELC-S1</v>
          </cell>
          <cell r="B527" t="str">
            <v>VAR_cap</v>
          </cell>
          <cell r="C527" t="str">
            <v>-</v>
          </cell>
          <cell r="H527">
            <v>6.6109441958678392E-2</v>
          </cell>
          <cell r="I527">
            <v>0.36010338857013463</v>
          </cell>
          <cell r="J527">
            <v>0.72838291956444023</v>
          </cell>
        </row>
        <row r="528">
          <cell r="A528" t="str">
            <v>T_TW-BEVELC-S2</v>
          </cell>
          <cell r="B528" t="str">
            <v>VAR_fout</v>
          </cell>
          <cell r="C528" t="str">
            <v>TPTWL</v>
          </cell>
          <cell r="H528">
            <v>1.2998687600664217E-3</v>
          </cell>
          <cell r="I528">
            <v>1.2155884499221693E-3</v>
          </cell>
          <cell r="J528">
            <v>7.5228329663792025E-4</v>
          </cell>
        </row>
        <row r="529">
          <cell r="A529" t="str">
            <v>T_TW-BEVELC-S2</v>
          </cell>
          <cell r="B529" t="str">
            <v>VAR_fin</v>
          </cell>
          <cell r="C529" t="str">
            <v>T-ELC-TWSTGout_S2</v>
          </cell>
          <cell r="H529">
            <v>2.0121254767293062E-4</v>
          </cell>
          <cell r="I529">
            <v>1.8595343062443318E-4</v>
          </cell>
          <cell r="J529">
            <v>1.1339502489652054E-4</v>
          </cell>
        </row>
        <row r="530">
          <cell r="A530" t="str">
            <v>T_TW-BEVELC-S2</v>
          </cell>
          <cell r="B530" t="str">
            <v>VAR_ncap</v>
          </cell>
          <cell r="C530" t="str">
            <v>-</v>
          </cell>
          <cell r="H530">
            <v>2.5431582860797002E-4</v>
          </cell>
          <cell r="I530">
            <v>1.36450422050276E-4</v>
          </cell>
          <cell r="J530">
            <v>1.18428049671058E-4</v>
          </cell>
        </row>
        <row r="531">
          <cell r="A531" t="str">
            <v>T_TW-BEVELC-S2</v>
          </cell>
          <cell r="B531" t="str">
            <v>VAR_cap</v>
          </cell>
          <cell r="C531" t="str">
            <v>-</v>
          </cell>
          <cell r="H531">
            <v>4.8692813077869291E-4</v>
          </cell>
          <cell r="I531">
            <v>4.4333941440295125E-4</v>
          </cell>
          <cell r="J531">
            <v>2.9455831703542276E-4</v>
          </cell>
        </row>
        <row r="532">
          <cell r="A532" t="str">
            <v>TFRLFH2OFCL</v>
          </cell>
          <cell r="B532" t="str">
            <v>VAR_ncap</v>
          </cell>
          <cell r="C532" t="str">
            <v>-</v>
          </cell>
          <cell r="I532">
            <v>6.6637397976740903E-8</v>
          </cell>
        </row>
        <row r="533">
          <cell r="A533" t="str">
            <v>TFRLFH2OFCL</v>
          </cell>
          <cell r="B533" t="str">
            <v>VAR_cap</v>
          </cell>
          <cell r="C533" t="str">
            <v>-</v>
          </cell>
          <cell r="I533">
            <v>6.6637397976740903E-8</v>
          </cell>
          <cell r="J533">
            <v>6.6637397976740903E-8</v>
          </cell>
        </row>
        <row r="534">
          <cell r="A534" t="str">
            <v>T_TW-BEVELC-S3</v>
          </cell>
          <cell r="B534" t="str">
            <v>VAR_fout</v>
          </cell>
          <cell r="C534" t="str">
            <v>TPTWL</v>
          </cell>
          <cell r="H534">
            <v>9.6836533825098636E-4</v>
          </cell>
          <cell r="I534">
            <v>7.5351305008988475E-4</v>
          </cell>
          <cell r="J534">
            <v>3.8550791328110514E-4</v>
          </cell>
        </row>
        <row r="535">
          <cell r="A535" t="str">
            <v>T_TW-BEVELC-S3</v>
          </cell>
          <cell r="B535" t="str">
            <v>VAR_fin</v>
          </cell>
          <cell r="C535" t="str">
            <v>T-ELC-TWSTGout_S3</v>
          </cell>
          <cell r="H535">
            <v>2.3359919102726093E-4</v>
          </cell>
          <cell r="I535">
            <v>1.7941953826297735E-4</v>
          </cell>
          <cell r="J535">
            <v>8.8970818953875035E-5</v>
          </cell>
        </row>
        <row r="536">
          <cell r="A536" t="str">
            <v>T_TW-BEVELC-S3</v>
          </cell>
          <cell r="B536" t="str">
            <v>VAR_ncap</v>
          </cell>
          <cell r="C536" t="str">
            <v>-</v>
          </cell>
          <cell r="H536">
            <v>5.7574321093408699E-5</v>
          </cell>
          <cell r="I536">
            <v>4.8240946961857201E-5</v>
          </cell>
          <cell r="J536">
            <v>4.3491272983098997E-5</v>
          </cell>
        </row>
        <row r="537">
          <cell r="A537" t="str">
            <v>T_TW-BEVELC-S3</v>
          </cell>
          <cell r="B537" t="str">
            <v>VAR_cap</v>
          </cell>
          <cell r="C537" t="str">
            <v>-</v>
          </cell>
          <cell r="H537">
            <v>3.6586878044326626E-4</v>
          </cell>
          <cell r="I537">
            <v>2.8237005516872657E-4</v>
          </cell>
          <cell r="J537">
            <v>1.4958372230564274E-4</v>
          </cell>
        </row>
        <row r="538">
          <cell r="A538" t="str">
            <v>T_TW-BEVELC-S4</v>
          </cell>
          <cell r="B538" t="str">
            <v>VAR_fout</v>
          </cell>
          <cell r="C538" t="str">
            <v>TPTWL</v>
          </cell>
          <cell r="H538">
            <v>7.4350081956713987E-4</v>
          </cell>
          <cell r="I538">
            <v>8.9448324463649092E-4</v>
          </cell>
          <cell r="J538">
            <v>5.5566814143616838E-4</v>
          </cell>
        </row>
        <row r="539">
          <cell r="A539" t="str">
            <v>T_TW-BEVELC-S4</v>
          </cell>
          <cell r="B539" t="str">
            <v>VAR_fin</v>
          </cell>
          <cell r="C539" t="str">
            <v>T-ELC-TWSTGout_S4</v>
          </cell>
          <cell r="H539">
            <v>1.9385209501111191E-4</v>
          </cell>
          <cell r="I539">
            <v>2.3159524440729271E-4</v>
          </cell>
          <cell r="J539">
            <v>1.4016713522950873E-4</v>
          </cell>
        </row>
        <row r="540">
          <cell r="A540" t="str">
            <v>T_TW-BEVELC-S4</v>
          </cell>
          <cell r="B540" t="str">
            <v>VAR_ncap</v>
          </cell>
          <cell r="C540" t="str">
            <v>-</v>
          </cell>
          <cell r="H540">
            <v>5.77273368551199E-5</v>
          </cell>
          <cell r="I540">
            <v>5.3603114217536702E-5</v>
          </cell>
          <cell r="J540">
            <v>4.1936857936151598E-5</v>
          </cell>
        </row>
        <row r="541">
          <cell r="A541" t="str">
            <v>T_TW-BEVELC-S4</v>
          </cell>
          <cell r="B541" t="str">
            <v>VAR_cap</v>
          </cell>
          <cell r="C541" t="str">
            <v>-</v>
          </cell>
          <cell r="H541">
            <v>2.8051571659122907E-4</v>
          </cell>
          <cell r="I541">
            <v>3.3345759716473417E-4</v>
          </cell>
          <cell r="J541">
            <v>2.1630528981698955E-4</v>
          </cell>
        </row>
        <row r="542">
          <cell r="A542" t="str">
            <v>T_B_u-BeVELCEXT</v>
          </cell>
          <cell r="B542" t="str">
            <v>VAR_fout</v>
          </cell>
          <cell r="C542" t="str">
            <v>TPBSu</v>
          </cell>
        </row>
        <row r="543">
          <cell r="A543" t="str">
            <v>T_B_u-BeVELCEXT</v>
          </cell>
          <cell r="B543" t="str">
            <v>VAR_fin</v>
          </cell>
          <cell r="C543" t="str">
            <v>TELC</v>
          </cell>
        </row>
        <row r="544">
          <cell r="A544" t="str">
            <v>T_B_u-BeVELCEXT</v>
          </cell>
          <cell r="B544" t="str">
            <v>VAR_cap</v>
          </cell>
          <cell r="C544" t="str">
            <v>-</v>
          </cell>
        </row>
        <row r="545">
          <cell r="A545" t="str">
            <v>T_B_u-HYBDSL-S1</v>
          </cell>
          <cell r="B545" t="str">
            <v>VAR_fout</v>
          </cell>
          <cell r="C545" t="str">
            <v>CO2_T</v>
          </cell>
          <cell r="H545">
            <v>9.2260607333721604E-4</v>
          </cell>
        </row>
        <row r="546">
          <cell r="A546" t="str">
            <v>T_B_u-HYBDSL-S1</v>
          </cell>
          <cell r="B546" t="str">
            <v>VAR_fout</v>
          </cell>
          <cell r="C546" t="str">
            <v>TPBSu</v>
          </cell>
          <cell r="H546">
            <v>2.4481936535675666E-6</v>
          </cell>
        </row>
        <row r="547">
          <cell r="A547" t="str">
            <v>T_B_u-HYBDSL-S1</v>
          </cell>
          <cell r="B547" t="str">
            <v>VAR_fin</v>
          </cell>
          <cell r="C547" t="str">
            <v>TDSL</v>
          </cell>
          <cell r="H547">
            <v>1.2586713142390404E-5</v>
          </cell>
        </row>
        <row r="548">
          <cell r="A548" t="str">
            <v>T_B_u-HYBDSL-S1</v>
          </cell>
          <cell r="B548" t="str">
            <v>VAR_ncap</v>
          </cell>
          <cell r="C548" t="str">
            <v>-</v>
          </cell>
          <cell r="H548">
            <v>6.2512076199250097E-8</v>
          </cell>
        </row>
        <row r="549">
          <cell r="A549" t="str">
            <v>T_B_u-HYBDSL-S1</v>
          </cell>
          <cell r="B549" t="str">
            <v>VAR_cap</v>
          </cell>
          <cell r="C549" t="str">
            <v>-</v>
          </cell>
          <cell r="H549">
            <v>6.3854523554086948E-8</v>
          </cell>
          <cell r="I549">
            <v>-9.606519022920093E-10</v>
          </cell>
          <cell r="J549">
            <v>1.0970159005954001E-8</v>
          </cell>
        </row>
        <row r="550">
          <cell r="A550" t="str">
            <v>T_B_u-HYBDSL-S2</v>
          </cell>
          <cell r="B550" t="str">
            <v>VAR_fout</v>
          </cell>
          <cell r="C550" t="str">
            <v>CO2_T</v>
          </cell>
          <cell r="H550">
            <v>2.9365023910901997E-4</v>
          </cell>
        </row>
        <row r="551">
          <cell r="A551" t="str">
            <v>T_B_u-HYBDSL-S2</v>
          </cell>
          <cell r="B551" t="str">
            <v>VAR_fout</v>
          </cell>
          <cell r="C551" t="str">
            <v>TPBSu</v>
          </cell>
          <cell r="H551">
            <v>5.5845124782141327E-7</v>
          </cell>
        </row>
        <row r="552">
          <cell r="A552" t="str">
            <v>T_B_u-HYBDSL-S2</v>
          </cell>
          <cell r="B552" t="str">
            <v>VAR_fin</v>
          </cell>
          <cell r="C552" t="str">
            <v>TDSL</v>
          </cell>
          <cell r="H552">
            <v>4.0061424162212901E-6</v>
          </cell>
        </row>
        <row r="553">
          <cell r="A553" t="str">
            <v>T_B_u-HYBDSL-S2</v>
          </cell>
          <cell r="B553" t="str">
            <v>VAR_ncap</v>
          </cell>
          <cell r="C553" t="str">
            <v>-</v>
          </cell>
          <cell r="H553">
            <v>2.0582544097602601E-8</v>
          </cell>
        </row>
        <row r="554">
          <cell r="A554" t="str">
            <v>T_B_u-HYBDSL-S2</v>
          </cell>
          <cell r="B554" t="str">
            <v>VAR_cap</v>
          </cell>
          <cell r="C554" t="str">
            <v>-</v>
          </cell>
          <cell r="H554">
            <v>-2.4211226942939924E-9</v>
          </cell>
          <cell r="I554">
            <v>-1.6275634847262899E-8</v>
          </cell>
          <cell r="J554">
            <v>3.61200259575556E-9</v>
          </cell>
        </row>
        <row r="555">
          <cell r="A555" t="str">
            <v>T_B_u-HYBDSL-S3</v>
          </cell>
          <cell r="B555" t="str">
            <v>VAR_fout</v>
          </cell>
          <cell r="C555" t="str">
            <v>CO2_T</v>
          </cell>
          <cell r="J555">
            <v>1.4284019112286499E-4</v>
          </cell>
        </row>
        <row r="556">
          <cell r="A556" t="str">
            <v>T_B_u-HYBDSL-S3</v>
          </cell>
          <cell r="B556" t="str">
            <v>VAR_fout</v>
          </cell>
          <cell r="C556" t="str">
            <v>TPBSu</v>
          </cell>
          <cell r="J556">
            <v>1.9239968194295692E-7</v>
          </cell>
        </row>
        <row r="557">
          <cell r="A557" t="str">
            <v>T_B_u-HYBDSL-S3</v>
          </cell>
          <cell r="B557" t="str">
            <v>VAR_fin</v>
          </cell>
          <cell r="C557" t="str">
            <v>TDSL</v>
          </cell>
          <cell r="J557">
            <v>1.948706563749862E-6</v>
          </cell>
        </row>
        <row r="558">
          <cell r="A558" t="str">
            <v>T_B_u-HYBDSL-S3</v>
          </cell>
          <cell r="B558" t="str">
            <v>VAR_ncap</v>
          </cell>
          <cell r="C558" t="str">
            <v>-</v>
          </cell>
        </row>
        <row r="559">
          <cell r="A559" t="str">
            <v>T_B_u-HYBDSL-S3</v>
          </cell>
          <cell r="B559" t="str">
            <v>VAR_cap</v>
          </cell>
          <cell r="C559" t="str">
            <v>-</v>
          </cell>
          <cell r="H559">
            <v>-1.2441747894655701E-8</v>
          </cell>
          <cell r="I559">
            <v>-1.8135102610737601E-8</v>
          </cell>
        </row>
        <row r="560">
          <cell r="A560" t="str">
            <v>T_C-HY-GSL-S1</v>
          </cell>
          <cell r="B560" t="str">
            <v>VAR_fout</v>
          </cell>
          <cell r="C560" t="str">
            <v>CO2_T</v>
          </cell>
          <cell r="H560">
            <v>0.1628148736372689</v>
          </cell>
          <cell r="I560">
            <v>1.180369148938782E-2</v>
          </cell>
        </row>
        <row r="561">
          <cell r="A561" t="str">
            <v>T_C-HY-GSL-S1</v>
          </cell>
          <cell r="B561" t="str">
            <v>VAR_fout</v>
          </cell>
          <cell r="C561" t="str">
            <v>TPCAR</v>
          </cell>
          <cell r="H561">
            <v>2.8871499252372248E-3</v>
          </cell>
          <cell r="I561">
            <v>1.4690155026334114E-4</v>
          </cell>
        </row>
        <row r="562">
          <cell r="A562" t="str">
            <v>T_C-HY-GSL-S1</v>
          </cell>
          <cell r="B562" t="str">
            <v>VAR_fin</v>
          </cell>
          <cell r="C562" t="str">
            <v>TGSL</v>
          </cell>
          <cell r="H562">
            <v>2.2061635994209895E-3</v>
          </cell>
          <cell r="I562">
            <v>1.5994161909739583E-4</v>
          </cell>
        </row>
        <row r="563">
          <cell r="A563" t="str">
            <v>T_C-HY-GSL-S1</v>
          </cell>
          <cell r="B563" t="str">
            <v>VAR_ncap</v>
          </cell>
          <cell r="C563" t="str">
            <v>-</v>
          </cell>
        </row>
        <row r="564">
          <cell r="A564" t="str">
            <v>T_C-HY-GSL-S1</v>
          </cell>
          <cell r="B564" t="str">
            <v>VAR_cap</v>
          </cell>
          <cell r="C564" t="str">
            <v>-</v>
          </cell>
          <cell r="H564">
            <v>4.313799245688076E-4</v>
          </cell>
          <cell r="I564">
            <v>2.1057370910185068E-5</v>
          </cell>
        </row>
        <row r="565">
          <cell r="A565" t="str">
            <v>T_B_u-HYBDSL-S4</v>
          </cell>
          <cell r="B565" t="str">
            <v>VAR_cap</v>
          </cell>
          <cell r="C565" t="str">
            <v>-</v>
          </cell>
          <cell r="H565">
            <v>-1.00647525484135E-8</v>
          </cell>
          <cell r="I565">
            <v>-1.2464325908217099E-8</v>
          </cell>
        </row>
        <row r="566">
          <cell r="A566" t="str">
            <v>TFRLFDSLEXT</v>
          </cell>
          <cell r="B566" t="str">
            <v>VAR_fout</v>
          </cell>
          <cell r="C566" t="str">
            <v>CO2_T</v>
          </cell>
        </row>
        <row r="567">
          <cell r="A567" t="str">
            <v>TFRLFDSLEXT</v>
          </cell>
          <cell r="B567" t="str">
            <v>VAR_fout</v>
          </cell>
          <cell r="C567" t="str">
            <v>TFRLF</v>
          </cell>
        </row>
        <row r="568">
          <cell r="A568" t="str">
            <v>TFRLFDSLEXT</v>
          </cell>
          <cell r="B568" t="str">
            <v>VAR_fin</v>
          </cell>
          <cell r="C568" t="str">
            <v>TDSL</v>
          </cell>
        </row>
        <row r="569">
          <cell r="A569" t="str">
            <v>TFRLFDSLEXT</v>
          </cell>
          <cell r="B569" t="str">
            <v>VAR_ncap</v>
          </cell>
          <cell r="C569" t="str">
            <v>-</v>
          </cell>
        </row>
        <row r="570">
          <cell r="A570" t="str">
            <v>TFRLFDSLEXT</v>
          </cell>
          <cell r="B570" t="str">
            <v>VAR_cap</v>
          </cell>
          <cell r="C570" t="str">
            <v>-</v>
          </cell>
          <cell r="H570">
            <v>8.8893479086997766E-8</v>
          </cell>
          <cell r="I570">
            <v>7.9742233738010117E-8</v>
          </cell>
          <cell r="J570">
            <v>4.0335128426792597E-8</v>
          </cell>
        </row>
        <row r="571">
          <cell r="A571" t="str">
            <v>T_C-HY-GSL-S2</v>
          </cell>
          <cell r="B571" t="str">
            <v>VAR_fout</v>
          </cell>
          <cell r="C571" t="str">
            <v>CO2_T</v>
          </cell>
          <cell r="H571">
            <v>29.556399697401222</v>
          </cell>
          <cell r="I571">
            <v>3.3259150546101894</v>
          </cell>
        </row>
        <row r="572">
          <cell r="A572" t="str">
            <v>T_C-HY-GSL-S2</v>
          </cell>
          <cell r="B572" t="str">
            <v>VAR_fout</v>
          </cell>
          <cell r="C572" t="str">
            <v>TPCAR</v>
          </cell>
          <cell r="H572">
            <v>0.75901299967097535</v>
          </cell>
          <cell r="I572">
            <v>8.3671287075568687E-2</v>
          </cell>
        </row>
        <row r="573">
          <cell r="A573" t="str">
            <v>T_C-HY-GSL-S2</v>
          </cell>
          <cell r="B573" t="str">
            <v>VAR_fin</v>
          </cell>
          <cell r="C573" t="str">
            <v>TGSL</v>
          </cell>
          <cell r="H573">
            <v>0.40049322083199501</v>
          </cell>
          <cell r="I573">
            <v>4.5066599655964566E-2</v>
          </cell>
        </row>
        <row r="574">
          <cell r="A574" t="str">
            <v>T_C-HY-GSL-S2</v>
          </cell>
          <cell r="B574" t="str">
            <v>VAR_ncap</v>
          </cell>
          <cell r="C574" t="str">
            <v>-</v>
          </cell>
        </row>
        <row r="575">
          <cell r="A575" t="str">
            <v>T_C-HY-GSL-S2</v>
          </cell>
          <cell r="B575" t="str">
            <v>VAR_cap</v>
          </cell>
          <cell r="C575" t="str">
            <v>-</v>
          </cell>
          <cell r="H575">
            <v>6.9351214951497514E-2</v>
          </cell>
          <cell r="I575">
            <v>8.8158502039274479E-3</v>
          </cell>
        </row>
        <row r="576">
          <cell r="A576" t="str">
            <v>TPSHPNGAEXT</v>
          </cell>
          <cell r="B576" t="str">
            <v>VAR_ncap</v>
          </cell>
          <cell r="C576" t="str">
            <v>-</v>
          </cell>
          <cell r="H576">
            <v>8.5393108410004705E-6</v>
          </cell>
          <cell r="I576">
            <v>1.6333316619674901E-4</v>
          </cell>
          <cell r="J576">
            <v>1.3279228908280999E-6</v>
          </cell>
        </row>
        <row r="577">
          <cell r="A577" t="str">
            <v>TPSHPNGAEXT</v>
          </cell>
          <cell r="B577" t="str">
            <v>VAR_cap</v>
          </cell>
          <cell r="C577" t="str">
            <v>-</v>
          </cell>
          <cell r="H577">
            <v>8.9680183793855002E-6</v>
          </cell>
          <cell r="I577">
            <v>1.7105129468830184E-4</v>
          </cell>
          <cell r="J577">
            <v>8.7928006422069991E-6</v>
          </cell>
        </row>
        <row r="578">
          <cell r="A578" t="str">
            <v>T_C-HY-DSL-S1</v>
          </cell>
          <cell r="B578" t="str">
            <v>VAR_fout</v>
          </cell>
          <cell r="C578" t="str">
            <v>CO2_T</v>
          </cell>
          <cell r="H578">
            <v>2.2858985532537477</v>
          </cell>
          <cell r="I578">
            <v>6.9846628647947497E-3</v>
          </cell>
        </row>
        <row r="579">
          <cell r="A579" t="str">
            <v>T_C-HY-DSL-S1</v>
          </cell>
          <cell r="B579" t="str">
            <v>VAR_fout</v>
          </cell>
          <cell r="C579" t="str">
            <v>TPCAR</v>
          </cell>
          <cell r="H579">
            <v>5.2781437520607419E-2</v>
          </cell>
          <cell r="I579">
            <v>9.4059252484422057E-5</v>
          </cell>
        </row>
        <row r="580">
          <cell r="A580" t="str">
            <v>T_C-HY-DSL-S1</v>
          </cell>
          <cell r="B580" t="str">
            <v>VAR_fin</v>
          </cell>
          <cell r="C580" t="str">
            <v>TDSL</v>
          </cell>
          <cell r="H580">
            <v>3.1185519143980198E-2</v>
          </cell>
          <cell r="I580">
            <v>9.5288715754362246E-5</v>
          </cell>
        </row>
        <row r="581">
          <cell r="A581" t="str">
            <v>T_C-HY-DSL-S1</v>
          </cell>
          <cell r="B581" t="str">
            <v>VAR_ncap</v>
          </cell>
          <cell r="C581" t="str">
            <v>-</v>
          </cell>
        </row>
        <row r="582">
          <cell r="A582" t="str">
            <v>T_C-HY-DSL-S1</v>
          </cell>
          <cell r="B582" t="str">
            <v>VAR_cap</v>
          </cell>
          <cell r="C582" t="str">
            <v>-</v>
          </cell>
          <cell r="H582">
            <v>8.0165015922080921E-3</v>
          </cell>
          <cell r="I582">
            <v>1.3128110797402241E-5</v>
          </cell>
        </row>
        <row r="583">
          <cell r="A583" t="str">
            <v>T_C-HY-GSL-S3</v>
          </cell>
          <cell r="B583" t="str">
            <v>VAR_fout</v>
          </cell>
          <cell r="C583" t="str">
            <v>CO2_T</v>
          </cell>
          <cell r="H583">
            <v>20.357537880481438</v>
          </cell>
          <cell r="I583">
            <v>6.2051046276661703E-3</v>
          </cell>
        </row>
        <row r="584">
          <cell r="A584" t="str">
            <v>T_C-HY-GSL-S3</v>
          </cell>
          <cell r="B584" t="str">
            <v>VAR_fout</v>
          </cell>
          <cell r="C584" t="str">
            <v>TPCAR</v>
          </cell>
          <cell r="H584">
            <v>0.70299399031989063</v>
          </cell>
          <cell r="I584">
            <v>8.737672222281718E-5</v>
          </cell>
        </row>
        <row r="585">
          <cell r="A585" t="str">
            <v>T_C-HY-GSL-S3</v>
          </cell>
          <cell r="B585" t="str">
            <v>VAR_fin</v>
          </cell>
          <cell r="C585" t="str">
            <v>TGSL</v>
          </cell>
          <cell r="H585">
            <v>0.27584739675449116</v>
          </cell>
          <cell r="I585">
            <v>8.408000850496169E-5</v>
          </cell>
        </row>
        <row r="586">
          <cell r="A586" t="str">
            <v>T_C-HY-GSL-S3</v>
          </cell>
          <cell r="B586" t="str">
            <v>VAR_ncap</v>
          </cell>
          <cell r="C586" t="str">
            <v>-</v>
          </cell>
        </row>
        <row r="587">
          <cell r="A587" t="str">
            <v>T_C-HY-GSL-S3</v>
          </cell>
          <cell r="B587" t="str">
            <v>VAR_cap</v>
          </cell>
          <cell r="C587" t="str">
            <v>-</v>
          </cell>
          <cell r="H587">
            <v>4.8347277456272687E-2</v>
          </cell>
          <cell r="I587">
            <v>6.7790963686275248E-6</v>
          </cell>
        </row>
        <row r="588">
          <cell r="A588" t="str">
            <v>T_C-HY-DSL-S2</v>
          </cell>
          <cell r="B588" t="str">
            <v>VAR_fout</v>
          </cell>
          <cell r="C588" t="str">
            <v>CO2_T</v>
          </cell>
          <cell r="H588">
            <v>43.69819886472353</v>
          </cell>
          <cell r="I588">
            <v>3.1261663164736309</v>
          </cell>
        </row>
        <row r="589">
          <cell r="A589" t="str">
            <v>T_C-HY-DSL-S2</v>
          </cell>
          <cell r="B589" t="str">
            <v>VAR_fout</v>
          </cell>
          <cell r="C589" t="str">
            <v>TPCAR</v>
          </cell>
          <cell r="H589">
            <v>1.2799886359906361</v>
          </cell>
          <cell r="I589">
            <v>8.3223544152412454E-2</v>
          </cell>
        </row>
        <row r="590">
          <cell r="A590" t="str">
            <v>T_C-HY-DSL-S2</v>
          </cell>
          <cell r="B590" t="str">
            <v>VAR_fin</v>
          </cell>
          <cell r="C590" t="str">
            <v>TDSL</v>
          </cell>
          <cell r="H590">
            <v>0.59615550975066212</v>
          </cell>
          <cell r="I590">
            <v>4.2648926554892712E-2</v>
          </cell>
        </row>
        <row r="591">
          <cell r="A591" t="str">
            <v>T_C-HY-DSL-S2</v>
          </cell>
          <cell r="B591" t="str">
            <v>VAR_ncap</v>
          </cell>
          <cell r="C591" t="str">
            <v>-</v>
          </cell>
        </row>
        <row r="592">
          <cell r="A592" t="str">
            <v>T_C-HY-DSL-S2</v>
          </cell>
          <cell r="B592" t="str">
            <v>VAR_cap</v>
          </cell>
          <cell r="C592" t="str">
            <v>-</v>
          </cell>
          <cell r="H592">
            <v>9.7135401477730657E-2</v>
          </cell>
          <cell r="I592">
            <v>8.7688063403078345E-3</v>
          </cell>
        </row>
        <row r="593">
          <cell r="A593" t="str">
            <v>D-T-ELC-Bus_c_S1</v>
          </cell>
          <cell r="B593" t="str">
            <v>VAR_fout</v>
          </cell>
          <cell r="C593" t="str">
            <v>T-ELC-Bus_c_BatSTGin_S1</v>
          </cell>
          <cell r="H593">
            <v>0.14061563365637364</v>
          </cell>
          <cell r="I593">
            <v>0.13956788161435738</v>
          </cell>
          <cell r="J593">
            <v>0.11943993463377284</v>
          </cell>
        </row>
        <row r="594">
          <cell r="A594" t="str">
            <v>D-T-ELC-Bus_c_S1</v>
          </cell>
          <cell r="B594" t="str">
            <v>VAR_fin</v>
          </cell>
          <cell r="C594" t="str">
            <v>TELC</v>
          </cell>
          <cell r="H594">
            <v>0.14061563365637364</v>
          </cell>
          <cell r="I594">
            <v>0.13956788161435738</v>
          </cell>
          <cell r="J594">
            <v>0.11943993463377284</v>
          </cell>
        </row>
        <row r="595">
          <cell r="A595" t="str">
            <v>D-T-ELC-Bus_c_S1</v>
          </cell>
          <cell r="B595" t="str">
            <v>VAR_ncap</v>
          </cell>
          <cell r="C595" t="str">
            <v>-</v>
          </cell>
          <cell r="H595">
            <v>5.7954782074640903E-6</v>
          </cell>
          <cell r="I595">
            <v>1.44378766652817E-2</v>
          </cell>
          <cell r="J595">
            <v>7.9157643489954407E-3</v>
          </cell>
        </row>
        <row r="596">
          <cell r="A596" t="str">
            <v>D-T-ELC-Bus_c_S1</v>
          </cell>
          <cell r="B596" t="str">
            <v>VAR_cap</v>
          </cell>
          <cell r="C596" t="str">
            <v>-</v>
          </cell>
          <cell r="H596">
            <v>1.77218507387744E-2</v>
          </cell>
          <cell r="I596">
            <v>1.7569672122687899E-2</v>
          </cell>
          <cell r="J596">
            <v>1.51574529132314E-2</v>
          </cell>
        </row>
        <row r="597">
          <cell r="A597" t="str">
            <v>T_C-HY-GSL-S4</v>
          </cell>
          <cell r="B597" t="str">
            <v>VAR_fout</v>
          </cell>
          <cell r="C597" t="str">
            <v>CO2_T</v>
          </cell>
          <cell r="H597">
            <v>1.1646815471602607</v>
          </cell>
          <cell r="I597">
            <v>6.0865933779886399E-3</v>
          </cell>
        </row>
        <row r="598">
          <cell r="A598" t="str">
            <v>T_C-HY-GSL-S4</v>
          </cell>
          <cell r="B598" t="str">
            <v>VAR_fout</v>
          </cell>
          <cell r="C598" t="str">
            <v>TPCAR</v>
          </cell>
          <cell r="H598">
            <v>2.5259345618739593E-2</v>
          </cell>
          <cell r="I598">
            <v>6.8238563713516871E-5</v>
          </cell>
        </row>
        <row r="599">
          <cell r="A599" t="str">
            <v>T_C-HY-GSL-S4</v>
          </cell>
          <cell r="B599" t="str">
            <v>VAR_fin</v>
          </cell>
          <cell r="C599" t="str">
            <v>TGSL</v>
          </cell>
          <cell r="H599">
            <v>1.5781592779949311E-2</v>
          </cell>
          <cell r="I599">
            <v>8.2474165013396146E-5</v>
          </cell>
        </row>
        <row r="600">
          <cell r="A600" t="str">
            <v>T_C-HY-GSL-S4</v>
          </cell>
          <cell r="B600" t="str">
            <v>VAR_ncap</v>
          </cell>
          <cell r="C600" t="str">
            <v>-</v>
          </cell>
        </row>
        <row r="601">
          <cell r="A601" t="str">
            <v>T_C-HY-GSL-S4</v>
          </cell>
          <cell r="B601" t="str">
            <v>VAR_cap</v>
          </cell>
          <cell r="C601" t="str">
            <v>-</v>
          </cell>
          <cell r="H601">
            <v>2.0084588106658295E-3</v>
          </cell>
          <cell r="I601">
            <v>6.2631343113136299E-6</v>
          </cell>
        </row>
        <row r="602">
          <cell r="A602" t="str">
            <v>T_C-HY-DSL-S3</v>
          </cell>
          <cell r="B602" t="str">
            <v>VAR_fout</v>
          </cell>
          <cell r="C602" t="str">
            <v>CO2_T</v>
          </cell>
          <cell r="H602">
            <v>0.46076799596616719</v>
          </cell>
          <cell r="I602">
            <v>4.7508180947601402E-3</v>
          </cell>
        </row>
        <row r="603">
          <cell r="A603" t="str">
            <v>T_C-HY-DSL-S3</v>
          </cell>
          <cell r="B603" t="str">
            <v>VAR_fout</v>
          </cell>
          <cell r="C603" t="str">
            <v>TPCAR</v>
          </cell>
          <cell r="H603">
            <v>9.2377943570628052E-3</v>
          </cell>
          <cell r="I603">
            <v>5.6525000136401969E-5</v>
          </cell>
        </row>
        <row r="604">
          <cell r="A604" t="str">
            <v>T_C-HY-DSL-S3</v>
          </cell>
          <cell r="B604" t="str">
            <v>VAR_fin</v>
          </cell>
          <cell r="C604" t="str">
            <v>TDSL</v>
          </cell>
          <cell r="H604">
            <v>6.2860572437403546E-3</v>
          </cell>
          <cell r="I604">
            <v>6.4813343721147889E-5</v>
          </cell>
        </row>
        <row r="605">
          <cell r="A605" t="str">
            <v>T_C-HY-DSL-S3</v>
          </cell>
          <cell r="B605" t="str">
            <v>VAR_ncap</v>
          </cell>
          <cell r="C605" t="str">
            <v>-</v>
          </cell>
        </row>
        <row r="606">
          <cell r="A606" t="str">
            <v>T_C-HY-DSL-S3</v>
          </cell>
          <cell r="B606" t="str">
            <v>VAR_cap</v>
          </cell>
          <cell r="C606" t="str">
            <v>-</v>
          </cell>
          <cell r="H606">
            <v>6.4246163507984178E-4</v>
          </cell>
          <cell r="I606">
            <v>4.3577392307726618E-6</v>
          </cell>
        </row>
        <row r="607">
          <cell r="A607" t="str">
            <v>D-T-ELC-Bus_c_S2</v>
          </cell>
          <cell r="B607" t="str">
            <v>VAR_fout</v>
          </cell>
          <cell r="C607" t="str">
            <v>T-ELC-Bus_c_BatSTGin_S2</v>
          </cell>
          <cell r="H607">
            <v>0.1733782830788422</v>
          </cell>
          <cell r="I607">
            <v>0.16909058764464238</v>
          </cell>
          <cell r="J607">
            <v>0.14802737146457393</v>
          </cell>
        </row>
        <row r="608">
          <cell r="A608" t="str">
            <v>D-T-ELC-Bus_c_S2</v>
          </cell>
          <cell r="B608" t="str">
            <v>VAR_fin</v>
          </cell>
          <cell r="C608" t="str">
            <v>TELC</v>
          </cell>
          <cell r="H608">
            <v>0.1733782830788422</v>
          </cell>
          <cell r="I608">
            <v>0.16909058764464238</v>
          </cell>
          <cell r="J608">
            <v>0.14802737146457393</v>
          </cell>
        </row>
        <row r="609">
          <cell r="A609" t="str">
            <v>D-T-ELC-Bus_c_S2</v>
          </cell>
          <cell r="B609" t="str">
            <v>VAR_ncap</v>
          </cell>
          <cell r="C609" t="str">
            <v>-</v>
          </cell>
          <cell r="H609">
            <v>7.3727146876607604E-6</v>
          </cell>
          <cell r="I609">
            <v>1.7410695026328801E-2</v>
          </cell>
          <cell r="J609">
            <v>1.00539308948833E-2</v>
          </cell>
        </row>
        <row r="610">
          <cell r="A610" t="str">
            <v>D-T-ELC-Bus_c_S2</v>
          </cell>
          <cell r="B610" t="str">
            <v>VAR_cap</v>
          </cell>
          <cell r="C610" t="str">
            <v>-</v>
          </cell>
          <cell r="H610">
            <v>2.1963808429139101E-2</v>
          </cell>
          <cell r="I610">
            <v>2.12958994935382E-2</v>
          </cell>
          <cell r="J610">
            <v>1.8786780380403101E-2</v>
          </cell>
        </row>
        <row r="611">
          <cell r="A611" t="str">
            <v>T_C-HY-DSL-S4</v>
          </cell>
          <cell r="B611" t="str">
            <v>VAR_fout</v>
          </cell>
          <cell r="C611" t="str">
            <v>CO2_T</v>
          </cell>
          <cell r="H611">
            <v>0.91311495689136568</v>
          </cell>
          <cell r="I611">
            <v>4.8905477333510104E-3</v>
          </cell>
        </row>
        <row r="612">
          <cell r="A612" t="str">
            <v>T_C-HY-DSL-S4</v>
          </cell>
          <cell r="B612" t="str">
            <v>VAR_fout</v>
          </cell>
          <cell r="C612" t="str">
            <v>TPCAR</v>
          </cell>
          <cell r="H612">
            <v>1.9723263084504221E-2</v>
          </cell>
          <cell r="I612">
            <v>5.7895797074034475E-5</v>
          </cell>
        </row>
        <row r="613">
          <cell r="A613" t="str">
            <v>T_C-HY-DSL-S4</v>
          </cell>
          <cell r="B613" t="str">
            <v>VAR_fin</v>
          </cell>
          <cell r="C613" t="str">
            <v>TDSL</v>
          </cell>
          <cell r="H613">
            <v>1.2457229971232813E-2</v>
          </cell>
          <cell r="I613">
            <v>6.6719614370409414E-5</v>
          </cell>
        </row>
        <row r="614">
          <cell r="A614" t="str">
            <v>T_C-HY-DSL-S4</v>
          </cell>
          <cell r="B614" t="str">
            <v>VAR_ncap</v>
          </cell>
          <cell r="C614" t="str">
            <v>-</v>
          </cell>
        </row>
        <row r="615">
          <cell r="A615" t="str">
            <v>T_C-HY-DSL-S4</v>
          </cell>
          <cell r="B615" t="str">
            <v>VAR_cap</v>
          </cell>
          <cell r="C615" t="str">
            <v>-</v>
          </cell>
          <cell r="H615">
            <v>1.5721951485463802E-3</v>
          </cell>
          <cell r="I615">
            <v>5.268067418562594E-6</v>
          </cell>
        </row>
        <row r="616">
          <cell r="A616" t="str">
            <v>D-T-ELC-Bus_c_S3</v>
          </cell>
          <cell r="B616" t="str">
            <v>VAR_fout</v>
          </cell>
          <cell r="C616" t="str">
            <v>T-ELC-Bus_c_BatSTGin_S3</v>
          </cell>
          <cell r="H616">
            <v>5.6047131850889317E-2</v>
          </cell>
          <cell r="I616">
            <v>5.4821525910121717E-2</v>
          </cell>
          <cell r="J616">
            <v>4.6422208926989339E-2</v>
          </cell>
        </row>
        <row r="617">
          <cell r="A617" t="str">
            <v>D-T-ELC-Bus_c_S3</v>
          </cell>
          <cell r="B617" t="str">
            <v>VAR_fin</v>
          </cell>
          <cell r="C617" t="str">
            <v>TELC</v>
          </cell>
          <cell r="H617">
            <v>5.6047131850889317E-2</v>
          </cell>
          <cell r="I617">
            <v>5.4821525910121717E-2</v>
          </cell>
          <cell r="J617">
            <v>4.6422208926989339E-2</v>
          </cell>
        </row>
        <row r="618">
          <cell r="A618" t="str">
            <v>D-T-ELC-Bus_c_S3</v>
          </cell>
          <cell r="B618" t="str">
            <v>VAR_ncap</v>
          </cell>
          <cell r="C618" t="str">
            <v>-</v>
          </cell>
          <cell r="H618">
            <v>1.5350760889730199E-3</v>
          </cell>
          <cell r="I618">
            <v>5.3334031168991297E-3</v>
          </cell>
          <cell r="J618">
            <v>4.0434020042114296E-3</v>
          </cell>
        </row>
        <row r="619">
          <cell r="A619" t="str">
            <v>D-T-ELC-Bus_c_S3</v>
          </cell>
          <cell r="B619" t="str">
            <v>VAR_cap</v>
          </cell>
          <cell r="C619" t="str">
            <v>-</v>
          </cell>
          <cell r="H619">
            <v>6.8793244022460603E-3</v>
          </cell>
          <cell r="I619">
            <v>6.8684792058721503E-3</v>
          </cell>
          <cell r="J619">
            <v>5.8702058892018899E-3</v>
          </cell>
        </row>
        <row r="620">
          <cell r="A620" t="str">
            <v>D-T-ELC-Bus_c_S4</v>
          </cell>
          <cell r="B620" t="str">
            <v>VAR_fout</v>
          </cell>
          <cell r="C620" t="str">
            <v>T-ELC-Bus_c_BatSTGin_S4</v>
          </cell>
          <cell r="H620">
            <v>7.8654569820706973E-5</v>
          </cell>
          <cell r="I620">
            <v>3.6370800738197873E-4</v>
          </cell>
          <cell r="J620">
            <v>2.1880879308271389E-4</v>
          </cell>
        </row>
        <row r="621">
          <cell r="A621" t="str">
            <v>D-T-ELC-Bus_c_S4</v>
          </cell>
          <cell r="B621" t="str">
            <v>VAR_fin</v>
          </cell>
          <cell r="C621" t="str">
            <v>TELC</v>
          </cell>
          <cell r="H621">
            <v>7.8654569820706973E-5</v>
          </cell>
          <cell r="I621">
            <v>3.6370800738197873E-4</v>
          </cell>
          <cell r="J621">
            <v>2.1880879308271389E-4</v>
          </cell>
        </row>
        <row r="622">
          <cell r="A622" t="str">
            <v>D-T-ELC-Bus_c_S4</v>
          </cell>
          <cell r="B622" t="str">
            <v>VAR_ncap</v>
          </cell>
          <cell r="C622" t="str">
            <v>-</v>
          </cell>
          <cell r="H622">
            <v>7.9435331134104895E-6</v>
          </cell>
          <cell r="I622">
            <v>6.5904401001321895E-5</v>
          </cell>
          <cell r="J622">
            <v>3.1256304355834799E-5</v>
          </cell>
        </row>
        <row r="623">
          <cell r="A623" t="str">
            <v>D-T-ELC-Bus_c_S4</v>
          </cell>
          <cell r="B623" t="str">
            <v>VAR_cap</v>
          </cell>
          <cell r="C623" t="str">
            <v>-</v>
          </cell>
          <cell r="H623">
            <v>8.15276932292746E-6</v>
          </cell>
          <cell r="I623">
            <v>7.1329725368078598E-5</v>
          </cell>
          <cell r="J623">
            <v>4.2821777815270697E-5</v>
          </cell>
        </row>
        <row r="624">
          <cell r="A624" t="str">
            <v>D-TH2O</v>
          </cell>
          <cell r="B624" t="str">
            <v>VAR_fout</v>
          </cell>
          <cell r="C624" t="str">
            <v>TH2Ointl</v>
          </cell>
          <cell r="J624">
            <v>3.15568362555268E-6</v>
          </cell>
        </row>
        <row r="625">
          <cell r="A625" t="str">
            <v>D-TH2O</v>
          </cell>
          <cell r="B625" t="str">
            <v>VAR_fout</v>
          </cell>
          <cell r="C625" t="str">
            <v>TH2O</v>
          </cell>
          <cell r="H625">
            <v>6.4365155218086578E-4</v>
          </cell>
          <cell r="I625">
            <v>9.0849121533657887E-2</v>
          </cell>
          <cell r="J625">
            <v>9.0794730899807385E-2</v>
          </cell>
        </row>
        <row r="626">
          <cell r="A626" t="str">
            <v>D-TH2O</v>
          </cell>
          <cell r="B626" t="str">
            <v>VAR_fin</v>
          </cell>
          <cell r="C626" t="str">
            <v>H2</v>
          </cell>
          <cell r="H626">
            <v>6.4365155218086578E-4</v>
          </cell>
          <cell r="I626">
            <v>9.0849121533657887E-2</v>
          </cell>
          <cell r="J626">
            <v>9.079791989829282E-2</v>
          </cell>
        </row>
        <row r="627">
          <cell r="A627" t="str">
            <v>D-TH2O</v>
          </cell>
          <cell r="B627" t="str">
            <v>VAR_ncap</v>
          </cell>
          <cell r="C627" t="str">
            <v>-</v>
          </cell>
          <cell r="H627">
            <v>1.0703290406546599E-6</v>
          </cell>
          <cell r="I627">
            <v>9.0542233283037905E-3</v>
          </cell>
          <cell r="J627">
            <v>2.9149018550683302E-7</v>
          </cell>
        </row>
        <row r="628">
          <cell r="A628" t="str">
            <v>D-TH2O</v>
          </cell>
          <cell r="B628" t="str">
            <v>VAR_cap</v>
          </cell>
          <cell r="C628" t="str">
            <v>-</v>
          </cell>
          <cell r="H628">
            <v>6.5886865145951498E-4</v>
          </cell>
          <cell r="I628">
            <v>9.7130919797633001E-3</v>
          </cell>
          <cell r="J628">
            <v>9.7133834699488098E-3</v>
          </cell>
        </row>
        <row r="629">
          <cell r="A629" t="str">
            <v>TFHGV-HYBDSL</v>
          </cell>
          <cell r="B629" t="str">
            <v>VAR_fout</v>
          </cell>
          <cell r="C629" t="str">
            <v>CO2_T</v>
          </cell>
          <cell r="H629">
            <v>861.62142429264804</v>
          </cell>
          <cell r="I629">
            <v>474.28611288228439</v>
          </cell>
          <cell r="J629">
            <v>4.1859635969225002E-3</v>
          </cell>
        </row>
        <row r="630">
          <cell r="A630" t="str">
            <v>TFHGV-HYBDSL</v>
          </cell>
          <cell r="B630" t="str">
            <v>VAR_fout</v>
          </cell>
          <cell r="C630" t="str">
            <v>TFHGV</v>
          </cell>
          <cell r="H630">
            <v>1.9215080754194289</v>
          </cell>
          <cell r="I630">
            <v>1.0577088385549061</v>
          </cell>
          <cell r="J630">
            <v>9.3351472330224298E-6</v>
          </cell>
        </row>
        <row r="631">
          <cell r="A631" t="str">
            <v>TFHGV-HYBDSL</v>
          </cell>
          <cell r="B631" t="str">
            <v>VAR_fin</v>
          </cell>
          <cell r="C631" t="str">
            <v>TDSL</v>
          </cell>
          <cell r="H631">
            <v>11.754726115861494</v>
          </cell>
          <cell r="I631">
            <v>6.4704790297719477</v>
          </cell>
          <cell r="J631">
            <v>5.7107279630593543E-5</v>
          </cell>
        </row>
        <row r="632">
          <cell r="A632" t="str">
            <v>TFHGV-HYBDSL</v>
          </cell>
          <cell r="B632" t="str">
            <v>VAR_ncap</v>
          </cell>
          <cell r="C632" t="str">
            <v>-</v>
          </cell>
          <cell r="H632">
            <v>3.1969116615999202E-2</v>
          </cell>
          <cell r="I632">
            <v>1.1781339020840301E-6</v>
          </cell>
        </row>
        <row r="633">
          <cell r="A633" t="str">
            <v>TFHGV-HYBDSL</v>
          </cell>
          <cell r="B633" t="str">
            <v>VAR_cap</v>
          </cell>
          <cell r="C633" t="str">
            <v>-</v>
          </cell>
          <cell r="H633">
            <v>3.7979106350353502E-2</v>
          </cell>
          <cell r="I633">
            <v>2.1835647114418301E-2</v>
          </cell>
          <cell r="J633">
            <v>2.0674911188315199E-7</v>
          </cell>
        </row>
        <row r="634">
          <cell r="A634" t="str">
            <v>D-TKER</v>
          </cell>
          <cell r="B634" t="str">
            <v>VAR_fout</v>
          </cell>
          <cell r="C634" t="str">
            <v>CO2</v>
          </cell>
          <cell r="H634">
            <v>188.334049257288</v>
          </cell>
          <cell r="I634">
            <v>156.60425533432601</v>
          </cell>
          <cell r="J634">
            <v>1.92929370912855E-5</v>
          </cell>
        </row>
        <row r="635">
          <cell r="A635" t="str">
            <v>D-TKER</v>
          </cell>
          <cell r="B635" t="str">
            <v>VAR_fout</v>
          </cell>
          <cell r="C635" t="str">
            <v>TKER</v>
          </cell>
          <cell r="H635">
            <v>2.5489872574892098</v>
          </cell>
          <cell r="I635">
            <v>2.1195437197362699</v>
          </cell>
          <cell r="J635">
            <v>2.6111821520942898E-7</v>
          </cell>
        </row>
        <row r="636">
          <cell r="A636" t="str">
            <v>D-TKER</v>
          </cell>
          <cell r="B636" t="str">
            <v>VAR_fin</v>
          </cell>
          <cell r="C636" t="str">
            <v>KER</v>
          </cell>
          <cell r="H636">
            <v>2.5870061711165926</v>
          </cell>
          <cell r="I636">
            <v>2.15115735349349</v>
          </cell>
          <cell r="J636">
            <v>2.6501287213304305E-7</v>
          </cell>
        </row>
        <row r="637">
          <cell r="A637" t="str">
            <v>T_B_u-BEVELC-S1</v>
          </cell>
          <cell r="B637" t="str">
            <v>VAR_fout</v>
          </cell>
          <cell r="C637" t="str">
            <v>TPBSu</v>
          </cell>
          <cell r="H637">
            <v>0.11452503207229799</v>
          </cell>
          <cell r="I637">
            <v>0.1195267058052536</v>
          </cell>
          <cell r="J637">
            <v>0.12786678083862632</v>
          </cell>
        </row>
        <row r="638">
          <cell r="A638" t="str">
            <v>T_B_u-BEVELC-S1</v>
          </cell>
          <cell r="B638" t="str">
            <v>VAR_fin</v>
          </cell>
          <cell r="C638" t="str">
            <v>T-ELC-Bus_u_BatSTGout_S1</v>
          </cell>
          <cell r="H638">
            <v>0.24314476299276994</v>
          </cell>
          <cell r="I638">
            <v>0.2524675465083302</v>
          </cell>
          <cell r="J638">
            <v>0.24137022734067962</v>
          </cell>
        </row>
        <row r="639">
          <cell r="A639" t="str">
            <v>T_B_u-BEVELC-S1</v>
          </cell>
          <cell r="B639" t="str">
            <v>VAR_ncap</v>
          </cell>
          <cell r="C639" t="str">
            <v>-</v>
          </cell>
          <cell r="H639">
            <v>2.64108589014701E-3</v>
          </cell>
          <cell r="I639">
            <v>2.3544320192829001E-4</v>
          </cell>
          <cell r="J639">
            <v>2.4585773033409899E-3</v>
          </cell>
        </row>
        <row r="640">
          <cell r="A640" t="str">
            <v>T_B_u-BEVELC-S1</v>
          </cell>
          <cell r="B640" t="str">
            <v>VAR_cap</v>
          </cell>
          <cell r="C640" t="str">
            <v>-</v>
          </cell>
          <cell r="H640">
            <v>2.6481765084723696E-3</v>
          </cell>
          <cell r="I640">
            <v>2.8768790678499298E-3</v>
          </cell>
          <cell r="J640">
            <v>3.0400303820811506E-3</v>
          </cell>
        </row>
        <row r="641">
          <cell r="A641" t="str">
            <v>TPSHPH2OEXT</v>
          </cell>
          <cell r="B641" t="str">
            <v>VAR_fout</v>
          </cell>
          <cell r="C641" t="str">
            <v>TPSHP</v>
          </cell>
          <cell r="H641">
            <v>6.0182922021506502E-5</v>
          </cell>
          <cell r="I641">
            <v>0.16151469845529001</v>
          </cell>
          <cell r="J641">
            <v>0.16151574456121001</v>
          </cell>
        </row>
        <row r="642">
          <cell r="A642" t="str">
            <v>TPSHPH2OEXT</v>
          </cell>
          <cell r="B642" t="str">
            <v>VAR_fin</v>
          </cell>
          <cell r="C642" t="str">
            <v>TH2O</v>
          </cell>
          <cell r="H642">
            <v>3.3556538339264051E-5</v>
          </cell>
          <cell r="I642">
            <v>9.005668035082838E-2</v>
          </cell>
          <cell r="J642">
            <v>9.0057263634128831E-2</v>
          </cell>
        </row>
        <row r="643">
          <cell r="A643" t="str">
            <v>TPSHPH2OEXT</v>
          </cell>
          <cell r="B643" t="str">
            <v>VAR_ncap</v>
          </cell>
          <cell r="C643" t="str">
            <v>-</v>
          </cell>
          <cell r="H643">
            <v>6.0861874167805897E-5</v>
          </cell>
          <cell r="I643">
            <v>0.161455271779154</v>
          </cell>
          <cell r="J643">
            <v>6.5150009180880902E-6</v>
          </cell>
        </row>
        <row r="644">
          <cell r="A644" t="str">
            <v>TPSHPH2OEXT</v>
          </cell>
          <cell r="B644" t="str">
            <v>VAR_cap</v>
          </cell>
          <cell r="C644" t="str">
            <v>-</v>
          </cell>
          <cell r="H644">
            <v>6.0861874167805897E-5</v>
          </cell>
          <cell r="I644">
            <v>0.16151558822904605</v>
          </cell>
          <cell r="J644">
            <v>0.1615078434513873</v>
          </cell>
        </row>
        <row r="645">
          <cell r="A645" t="str">
            <v>T_B_u-BEVELC-S2</v>
          </cell>
          <cell r="B645" t="str">
            <v>VAR_fout</v>
          </cell>
          <cell r="C645" t="str">
            <v>TPBSu</v>
          </cell>
          <cell r="H645">
            <v>4.1381205497840252E-2</v>
          </cell>
          <cell r="I645">
            <v>4.3141171564980631E-2</v>
          </cell>
          <cell r="J645">
            <v>4.6147432479807897E-2</v>
          </cell>
        </row>
        <row r="646">
          <cell r="A646" t="str">
            <v>T_B_u-BEVELC-S2</v>
          </cell>
          <cell r="B646" t="str">
            <v>VAR_fin</v>
          </cell>
          <cell r="C646" t="str">
            <v>T-ELC-Bus_u_BatSTGout_S2</v>
          </cell>
          <cell r="H646">
            <v>0.12187191828499502</v>
          </cell>
          <cell r="I646">
            <v>0.12558388177750679</v>
          </cell>
          <cell r="J646">
            <v>0.12079239103342139</v>
          </cell>
        </row>
        <row r="647">
          <cell r="A647" t="str">
            <v>T_B_u-BEVELC-S2</v>
          </cell>
          <cell r="B647" t="str">
            <v>VAR_ncap</v>
          </cell>
          <cell r="C647" t="str">
            <v>-</v>
          </cell>
          <cell r="H647">
            <v>7.0381866398168196E-4</v>
          </cell>
          <cell r="I647">
            <v>1.08886854196297E-4</v>
          </cell>
          <cell r="J647">
            <v>6.9232176679364797E-4</v>
          </cell>
        </row>
        <row r="648">
          <cell r="A648" t="str">
            <v>T_B_u-BEVELC-S2</v>
          </cell>
          <cell r="B648" t="str">
            <v>VAR_cap</v>
          </cell>
          <cell r="C648" t="str">
            <v>-</v>
          </cell>
          <cell r="H648">
            <v>7.8656716444771907E-4</v>
          </cell>
          <cell r="I648">
            <v>8.1386173109802905E-4</v>
          </cell>
          <cell r="J648">
            <v>8.7043838102969756E-4</v>
          </cell>
        </row>
        <row r="649">
          <cell r="A649" t="str">
            <v>TFHGV-ICEDSL</v>
          </cell>
          <cell r="B649" t="str">
            <v>VAR_fout</v>
          </cell>
          <cell r="C649" t="str">
            <v>CO2_T</v>
          </cell>
          <cell r="H649">
            <v>4.4707222789789537E-2</v>
          </cell>
          <cell r="I649">
            <v>3.7814476529594798E-2</v>
          </cell>
          <cell r="J649">
            <v>2.45796774706307E-3</v>
          </cell>
        </row>
        <row r="650">
          <cell r="A650" t="str">
            <v>TFHGV-ICEDSL</v>
          </cell>
          <cell r="B650" t="str">
            <v>VAR_fout</v>
          </cell>
          <cell r="C650" t="str">
            <v>TFHGV</v>
          </cell>
          <cell r="H650">
            <v>7.2399788393884827E-5</v>
          </cell>
          <cell r="I650">
            <v>6.1237534521903773E-5</v>
          </cell>
          <cell r="J650">
            <v>3.9804831000820491E-6</v>
          </cell>
        </row>
        <row r="651">
          <cell r="A651" t="str">
            <v>TFHGV-ICEDSL</v>
          </cell>
          <cell r="B651" t="str">
            <v>VAR_fin</v>
          </cell>
          <cell r="C651" t="str">
            <v>TDSL</v>
          </cell>
          <cell r="H651">
            <v>6.0992118403532846E-4</v>
          </cell>
          <cell r="I651">
            <v>5.1588644651561746E-4</v>
          </cell>
          <cell r="J651">
            <v>3.3532984270983304E-5</v>
          </cell>
        </row>
        <row r="652">
          <cell r="A652" t="str">
            <v>TFHGV-ICEDSL</v>
          </cell>
          <cell r="B652" t="str">
            <v>VAR_ncap</v>
          </cell>
          <cell r="C652" t="str">
            <v>-</v>
          </cell>
          <cell r="H652">
            <v>1.3907265791734E-6</v>
          </cell>
          <cell r="I652">
            <v>4.7876355910544303E-7</v>
          </cell>
        </row>
        <row r="653">
          <cell r="A653" t="str">
            <v>TFHGV-ICEDSL</v>
          </cell>
          <cell r="B653" t="str">
            <v>VAR_cap</v>
          </cell>
          <cell r="C653" t="str">
            <v>-</v>
          </cell>
          <cell r="H653">
            <v>1.6214960977676399E-6</v>
          </cell>
          <cell r="I653">
            <v>1.4192908049906605E-6</v>
          </cell>
          <cell r="J653">
            <v>8.4017564108775903E-8</v>
          </cell>
        </row>
        <row r="654">
          <cell r="A654" t="str">
            <v>D-T-ELC-Bus_u_S1</v>
          </cell>
          <cell r="B654" t="str">
            <v>VAR_fout</v>
          </cell>
          <cell r="C654" t="str">
            <v>T-ELC-Bus_u_BatSTGin_S1</v>
          </cell>
          <cell r="H654">
            <v>0.24333761287609279</v>
          </cell>
          <cell r="I654">
            <v>0.25262555377345586</v>
          </cell>
          <cell r="J654">
            <v>0.24148987463322943</v>
          </cell>
        </row>
        <row r="655">
          <cell r="A655" t="str">
            <v>D-T-ELC-Bus_u_S1</v>
          </cell>
          <cell r="B655" t="str">
            <v>VAR_fin</v>
          </cell>
          <cell r="C655" t="str">
            <v>TELC</v>
          </cell>
          <cell r="H655">
            <v>0.24333761287609279</v>
          </cell>
          <cell r="I655">
            <v>0.25262555377345586</v>
          </cell>
          <cell r="J655">
            <v>0.24148987463322943</v>
          </cell>
        </row>
        <row r="656">
          <cell r="A656" t="str">
            <v>D-T-ELC-Bus_u_S1</v>
          </cell>
          <cell r="B656" t="str">
            <v>VAR_ncap</v>
          </cell>
          <cell r="C656" t="str">
            <v>-</v>
          </cell>
          <cell r="H656">
            <v>3.8770073931057398E-3</v>
          </cell>
          <cell r="I656">
            <v>1.89781120990598E-2</v>
          </cell>
          <cell r="J656">
            <v>1.532712946624E-2</v>
          </cell>
        </row>
        <row r="657">
          <cell r="A657" t="str">
            <v>D-T-ELC-Bus_u_S1</v>
          </cell>
          <cell r="B657" t="str">
            <v>VAR_cap</v>
          </cell>
          <cell r="C657" t="str">
            <v>-</v>
          </cell>
          <cell r="H657">
            <v>2.5722687324328E-2</v>
          </cell>
          <cell r="I657">
            <v>2.6702866891431899E-2</v>
          </cell>
          <cell r="J657">
            <v>2.5525123818119499E-2</v>
          </cell>
        </row>
        <row r="658">
          <cell r="A658" t="str">
            <v>T-Plg-DSL-mix_S1</v>
          </cell>
          <cell r="B658" t="str">
            <v>VAR_fout</v>
          </cell>
          <cell r="C658" t="str">
            <v>CO2_T</v>
          </cell>
          <cell r="H658">
            <v>0.15501820618320999</v>
          </cell>
          <cell r="I658">
            <v>7.6763373695734702E-2</v>
          </cell>
          <cell r="J658">
            <v>1.018708283593917E-2</v>
          </cell>
        </row>
        <row r="659">
          <cell r="A659" t="str">
            <v>T-Plg-DSL-mix_S1</v>
          </cell>
          <cell r="B659" t="str">
            <v>VAR_fout</v>
          </cell>
          <cell r="C659" t="str">
            <v>T-PEVmix-ELC_DSL_S1</v>
          </cell>
          <cell r="H659">
            <v>1.5404658163780712E-3</v>
          </cell>
          <cell r="I659">
            <v>7.9584047872281358E-4</v>
          </cell>
          <cell r="J659">
            <v>1.1021719737559738E-4</v>
          </cell>
        </row>
        <row r="660">
          <cell r="A660" t="str">
            <v>T-Plg-DSL-mix_S1</v>
          </cell>
          <cell r="B660" t="str">
            <v>VAR_fin</v>
          </cell>
          <cell r="C660" t="str">
            <v>TDSL</v>
          </cell>
          <cell r="H660">
            <v>2.1148459233725774E-3</v>
          </cell>
          <cell r="I660">
            <v>1.0472493000782354E-3</v>
          </cell>
          <cell r="J660">
            <v>1.3897793773450439E-4</v>
          </cell>
        </row>
        <row r="661">
          <cell r="A661" t="str">
            <v>T_B_u-BEVELC-S3</v>
          </cell>
          <cell r="B661" t="str">
            <v>VAR_fout</v>
          </cell>
          <cell r="C661" t="str">
            <v>TPBSu</v>
          </cell>
          <cell r="H661">
            <v>0.18084383750504213</v>
          </cell>
          <cell r="I661">
            <v>0.1885358726488178</v>
          </cell>
          <cell r="J661">
            <v>0.20168092097245341</v>
          </cell>
        </row>
        <row r="662">
          <cell r="A662" t="str">
            <v>T_B_u-BEVELC-S3</v>
          </cell>
          <cell r="B662" t="str">
            <v>VAR_fin</v>
          </cell>
          <cell r="C662" t="str">
            <v>T-ELC-Bus_u_BatSTGout_S3</v>
          </cell>
          <cell r="H662">
            <v>0.82699546849959749</v>
          </cell>
          <cell r="I662">
            <v>0.79781519147968638</v>
          </cell>
          <cell r="J662">
            <v>0.78763751533391269</v>
          </cell>
        </row>
        <row r="663">
          <cell r="A663" t="str">
            <v>T_B_u-BEVELC-S3</v>
          </cell>
          <cell r="B663" t="str">
            <v>VAR_ncap</v>
          </cell>
          <cell r="C663" t="str">
            <v>-</v>
          </cell>
          <cell r="H663">
            <v>8.2029658228401396E-4</v>
          </cell>
          <cell r="I663">
            <v>2.7350438283833302E-3</v>
          </cell>
          <cell r="J663">
            <v>2.8663725549068599E-3</v>
          </cell>
        </row>
        <row r="664">
          <cell r="A664" t="str">
            <v>T_B_u-BEVELC-S3</v>
          </cell>
          <cell r="B664" t="str">
            <v>VAR_cap</v>
          </cell>
          <cell r="C664" t="str">
            <v>-</v>
          </cell>
          <cell r="H664">
            <v>3.4736348876356002E-3</v>
          </cell>
          <cell r="I664">
            <v>3.5553404106673501E-3</v>
          </cell>
          <cell r="J664">
            <v>3.8031831769051402E-3</v>
          </cell>
        </row>
        <row r="665">
          <cell r="A665" t="str">
            <v>D-T-ELC-Bus_u_S2</v>
          </cell>
          <cell r="B665" t="str">
            <v>VAR_fout</v>
          </cell>
          <cell r="C665" t="str">
            <v>T-ELC-Bus_u_BatSTGin_S2</v>
          </cell>
          <cell r="H665">
            <v>0.12203253185910828</v>
          </cell>
          <cell r="I665">
            <v>0.12571494514517081</v>
          </cell>
          <cell r="J665">
            <v>0.12088969292952582</v>
          </cell>
        </row>
        <row r="666">
          <cell r="A666" t="str">
            <v>D-T-ELC-Bus_u_S2</v>
          </cell>
          <cell r="B666" t="str">
            <v>VAR_fin</v>
          </cell>
          <cell r="C666" t="str">
            <v>TELC</v>
          </cell>
          <cell r="H666">
            <v>0.12203253185910828</v>
          </cell>
          <cell r="I666">
            <v>0.12571494514517081</v>
          </cell>
          <cell r="J666">
            <v>0.12088969292952582</v>
          </cell>
        </row>
        <row r="667">
          <cell r="A667" t="str">
            <v>D-T-ELC-Bus_u_S2</v>
          </cell>
          <cell r="B667" t="str">
            <v>VAR_ncap</v>
          </cell>
          <cell r="C667" t="str">
            <v>-</v>
          </cell>
          <cell r="H667">
            <v>3.4819603258902702E-4</v>
          </cell>
          <cell r="I667">
            <v>1.07450429287519E-2</v>
          </cell>
          <cell r="J667">
            <v>7.32806264744472E-3</v>
          </cell>
        </row>
        <row r="668">
          <cell r="A668" t="str">
            <v>D-T-ELC-Bus_u_S2</v>
          </cell>
          <cell r="B668" t="str">
            <v>VAR_cap</v>
          </cell>
          <cell r="C668" t="str">
            <v>-</v>
          </cell>
          <cell r="H668">
            <v>1.29017112696266E-2</v>
          </cell>
          <cell r="I668">
            <v>1.3288858452895499E-2</v>
          </cell>
          <cell r="J668">
            <v>1.2777862964171801E-2</v>
          </cell>
        </row>
        <row r="669">
          <cell r="A669" t="str">
            <v>T-Plg-DSL-mix_S2</v>
          </cell>
          <cell r="B669" t="str">
            <v>VAR_fout</v>
          </cell>
          <cell r="C669" t="str">
            <v>CO2_T</v>
          </cell>
          <cell r="H669">
            <v>0.950461985846072</v>
          </cell>
          <cell r="I669">
            <v>0.5943843175579584</v>
          </cell>
          <cell r="J669">
            <v>0.10709674142367481</v>
          </cell>
        </row>
        <row r="670">
          <cell r="A670" t="str">
            <v>T-Plg-DSL-mix_S2</v>
          </cell>
          <cell r="B670" t="str">
            <v>VAR_fout</v>
          </cell>
          <cell r="C670" t="str">
            <v>T-PEVmix-ELC_DSL_S2</v>
          </cell>
          <cell r="H670">
            <v>7.7220051643392207E-3</v>
          </cell>
          <cell r="I670">
            <v>5.0973414591732533E-3</v>
          </cell>
          <cell r="J670">
            <v>9.6380660083934106E-4</v>
          </cell>
        </row>
        <row r="671">
          <cell r="A671" t="str">
            <v>T-Plg-DSL-mix_S2</v>
          </cell>
          <cell r="B671" t="str">
            <v>VAR_fin</v>
          </cell>
          <cell r="C671" t="str">
            <v>TDSL</v>
          </cell>
          <cell r="H671">
            <v>1.2966739233916391E-2</v>
          </cell>
          <cell r="I671">
            <v>8.1089265696856466E-3</v>
          </cell>
          <cell r="J671">
            <v>1.461074234975099E-3</v>
          </cell>
        </row>
        <row r="672">
          <cell r="A672" t="str">
            <v>T_B_u-BEVELC-S4</v>
          </cell>
          <cell r="B672" t="str">
            <v>VAR_fout</v>
          </cell>
          <cell r="C672" t="str">
            <v>TPBSu</v>
          </cell>
          <cell r="H672">
            <v>1.3411790922703172E-4</v>
          </cell>
          <cell r="I672">
            <v>1.4696842016598347E-5</v>
          </cell>
          <cell r="J672">
            <v>7.7618703524863276E-6</v>
          </cell>
        </row>
        <row r="673">
          <cell r="A673" t="str">
            <v>T_B_u-BEVELC-S4</v>
          </cell>
          <cell r="B673" t="str">
            <v>VAR_fin</v>
          </cell>
          <cell r="C673" t="str">
            <v>T-ELC-Bus_u_BatSTGout_S4</v>
          </cell>
          <cell r="H673">
            <v>9.2099373095415522E-4</v>
          </cell>
          <cell r="I673">
            <v>9.3693413314258712E-5</v>
          </cell>
          <cell r="J673">
            <v>4.5324743901521453E-5</v>
          </cell>
        </row>
        <row r="674">
          <cell r="A674" t="str">
            <v>T_B_u-BEVELC-S4</v>
          </cell>
          <cell r="B674" t="str">
            <v>VAR_ncap</v>
          </cell>
          <cell r="C674" t="str">
            <v>-</v>
          </cell>
          <cell r="H674">
            <v>5.40106957609873E-7</v>
          </cell>
          <cell r="I674">
            <v>3.1018902352376701E-7</v>
          </cell>
          <cell r="J674">
            <v>1.3289174818682599E-7</v>
          </cell>
        </row>
        <row r="675">
          <cell r="A675" t="str">
            <v>T_B_u-BEVELC-S4</v>
          </cell>
          <cell r="B675" t="str">
            <v>VAR_cap</v>
          </cell>
          <cell r="C675" t="str">
            <v>-</v>
          </cell>
          <cell r="H675">
            <v>1.1050709408248213E-4</v>
          </cell>
          <cell r="I675">
            <v>4.1580427360347105E-7</v>
          </cell>
          <cell r="J675">
            <v>1.8732639692751399E-7</v>
          </cell>
        </row>
        <row r="676">
          <cell r="A676" t="str">
            <v>D-TBDS1</v>
          </cell>
          <cell r="B676" t="str">
            <v>VAR_fout</v>
          </cell>
          <cell r="C676" t="str">
            <v>TDSL</v>
          </cell>
          <cell r="H676">
            <v>2.9720613896082271</v>
          </cell>
          <cell r="I676">
            <v>2.9719844483222579</v>
          </cell>
          <cell r="J676">
            <v>1.3257874774351419</v>
          </cell>
        </row>
        <row r="677">
          <cell r="A677" t="str">
            <v>D-TBDS1</v>
          </cell>
          <cell r="B677" t="str">
            <v>VAR_fout</v>
          </cell>
          <cell r="C677" t="str">
            <v>TKER</v>
          </cell>
          <cell r="H677">
            <v>1.5051276249236599E-3</v>
          </cell>
          <cell r="I677">
            <v>1.0923128335477001E-3</v>
          </cell>
          <cell r="J677">
            <v>1.6907774648373699</v>
          </cell>
        </row>
        <row r="678">
          <cell r="A678" t="str">
            <v>D-TBDS1</v>
          </cell>
          <cell r="B678" t="str">
            <v>VAR_fin</v>
          </cell>
          <cell r="C678" t="str">
            <v>BDS</v>
          </cell>
          <cell r="H678">
            <v>3.0179181753449162</v>
          </cell>
          <cell r="I678">
            <v>3.0174188519524527</v>
          </cell>
          <cell r="J678">
            <v>3.0615558605934727</v>
          </cell>
        </row>
        <row r="679">
          <cell r="A679" t="str">
            <v>D-T-ELC-Bus_u_S3</v>
          </cell>
          <cell r="B679" t="str">
            <v>VAR_fout</v>
          </cell>
          <cell r="C679" t="str">
            <v>T-ELC-Bus_u_BatSTGin_S3</v>
          </cell>
          <cell r="H679">
            <v>0.82713248277270213</v>
          </cell>
          <cell r="I679">
            <v>0.79794628914438792</v>
          </cell>
          <cell r="J679">
            <v>0.78775464270539197</v>
          </cell>
        </row>
        <row r="680">
          <cell r="A680" t="str">
            <v>D-T-ELC-Bus_u_S3</v>
          </cell>
          <cell r="B680" t="str">
            <v>VAR_fin</v>
          </cell>
          <cell r="C680" t="str">
            <v>TELC</v>
          </cell>
          <cell r="H680">
            <v>0.82713248277270213</v>
          </cell>
          <cell r="I680">
            <v>0.79794628914438792</v>
          </cell>
          <cell r="J680">
            <v>0.78775464270539197</v>
          </cell>
        </row>
        <row r="681">
          <cell r="A681" t="str">
            <v>D-T-ELC-Bus_u_S3</v>
          </cell>
          <cell r="B681" t="str">
            <v>VAR_ncap</v>
          </cell>
          <cell r="C681" t="str">
            <v>-</v>
          </cell>
          <cell r="H681">
            <v>2.3847707024501199E-2</v>
          </cell>
          <cell r="I681">
            <v>6.0494773642168001E-2</v>
          </cell>
          <cell r="J681">
            <v>6.2544115841623796E-2</v>
          </cell>
        </row>
        <row r="682">
          <cell r="A682" t="str">
            <v>D-T-ELC-Bus_u_S3</v>
          </cell>
          <cell r="B682" t="str">
            <v>VAR_cap</v>
          </cell>
          <cell r="C682" t="str">
            <v>-</v>
          </cell>
          <cell r="H682">
            <v>8.7427403936172293E-2</v>
          </cell>
          <cell r="I682">
            <v>8.4342480666669203E-2</v>
          </cell>
          <cell r="J682">
            <v>8.3264861131055995E-2</v>
          </cell>
        </row>
        <row r="683">
          <cell r="A683" t="str">
            <v>T-Plg-DSL-mix_S3</v>
          </cell>
          <cell r="B683" t="str">
            <v>VAR_fout</v>
          </cell>
          <cell r="C683" t="str">
            <v>CO2_T</v>
          </cell>
          <cell r="H683">
            <v>607.26246064120505</v>
          </cell>
          <cell r="I683">
            <v>263.24730619102809</v>
          </cell>
          <cell r="J683">
            <v>42.65285330101198</v>
          </cell>
        </row>
        <row r="684">
          <cell r="A684" t="str">
            <v>T-Plg-DSL-mix_S3</v>
          </cell>
          <cell r="B684" t="str">
            <v>VAR_fout</v>
          </cell>
          <cell r="C684" t="str">
            <v>T-PEVmix-ELC_DSL_S3</v>
          </cell>
          <cell r="H684">
            <v>4.5862227586002211</v>
          </cell>
          <cell r="I684">
            <v>2.1056573271791059</v>
          </cell>
          <cell r="J684">
            <v>0.36020797375578995</v>
          </cell>
        </row>
        <row r="685">
          <cell r="A685" t="str">
            <v>T-Plg-DSL-mix_S3</v>
          </cell>
          <cell r="B685" t="str">
            <v>VAR_fin</v>
          </cell>
          <cell r="C685" t="str">
            <v>TDSL</v>
          </cell>
          <cell r="H685">
            <v>8.2846174712306233</v>
          </cell>
          <cell r="I685">
            <v>3.5913684337111529</v>
          </cell>
          <cell r="J685">
            <v>0.58189431515705248</v>
          </cell>
        </row>
        <row r="686">
          <cell r="A686" t="str">
            <v>D-T-ELC-Bus_u_S4</v>
          </cell>
          <cell r="B686" t="str">
            <v>VAR_fout</v>
          </cell>
          <cell r="C686" t="str">
            <v>T-ELC-Bus_u_BatSTGin_S4</v>
          </cell>
          <cell r="H686">
            <v>7.0794318143447468E-3</v>
          </cell>
          <cell r="I686">
            <v>2.5715606004595175E-4</v>
          </cell>
          <cell r="J686">
            <v>1.5434836316700619E-4</v>
          </cell>
        </row>
        <row r="687">
          <cell r="A687" t="str">
            <v>D-T-ELC-Bus_u_S4</v>
          </cell>
          <cell r="B687" t="str">
            <v>VAR_fin</v>
          </cell>
          <cell r="C687" t="str">
            <v>TELC</v>
          </cell>
          <cell r="H687">
            <v>7.0794318143447468E-3</v>
          </cell>
          <cell r="I687">
            <v>2.5715606004595175E-4</v>
          </cell>
          <cell r="J687">
            <v>1.5434836316700619E-4</v>
          </cell>
        </row>
        <row r="688">
          <cell r="A688" t="str">
            <v>D-T-ELC-Bus_u_S4</v>
          </cell>
          <cell r="B688" t="str">
            <v>VAR_ncap</v>
          </cell>
          <cell r="C688" t="str">
            <v>-</v>
          </cell>
          <cell r="H688">
            <v>5.4764771885731703E-5</v>
          </cell>
          <cell r="I688">
            <v>5.4730343747832702E-5</v>
          </cell>
          <cell r="J688">
            <v>2.0454429575274601E-5</v>
          </cell>
        </row>
        <row r="689">
          <cell r="A689" t="str">
            <v>D-T-ELC-Bus_u_S4</v>
          </cell>
          <cell r="B689" t="str">
            <v>VAR_cap</v>
          </cell>
          <cell r="C689" t="str">
            <v>-</v>
          </cell>
          <cell r="H689">
            <v>7.7199498145962898E-4</v>
          </cell>
          <cell r="I689">
            <v>9.2133933197208602E-5</v>
          </cell>
          <cell r="J689">
            <v>3.00589829650954E-5</v>
          </cell>
        </row>
        <row r="690">
          <cell r="A690" t="str">
            <v>T_C-FC-H2O-S1</v>
          </cell>
          <cell r="B690" t="str">
            <v>VAR_fout</v>
          </cell>
          <cell r="C690" t="str">
            <v>TPCAR</v>
          </cell>
          <cell r="H690">
            <v>1.2975518266198315E-5</v>
          </cell>
          <cell r="I690">
            <v>1.3015609283773202E-5</v>
          </cell>
          <cell r="J690">
            <v>1.1113546377452102E-5</v>
          </cell>
        </row>
        <row r="691">
          <cell r="A691" t="str">
            <v>T_C-FC-H2O-S1</v>
          </cell>
          <cell r="B691" t="str">
            <v>VAR_fin</v>
          </cell>
          <cell r="C691" t="str">
            <v>TH2O</v>
          </cell>
          <cell r="H691">
            <v>1.156207757076652E-5</v>
          </cell>
          <cell r="I691">
            <v>1.0844266102934319E-5</v>
          </cell>
          <cell r="J691">
            <v>8.434221132239123E-6</v>
          </cell>
        </row>
        <row r="692">
          <cell r="A692" t="str">
            <v>T_C-FC-H2O-S1</v>
          </cell>
          <cell r="B692" t="str">
            <v>VAR_ncap</v>
          </cell>
          <cell r="C692" t="str">
            <v>-</v>
          </cell>
          <cell r="H692">
            <v>6.2464127390681804E-7</v>
          </cell>
          <cell r="I692">
            <v>1.0518677976193501E-6</v>
          </cell>
          <cell r="J692">
            <v>9.9815457743259699E-7</v>
          </cell>
        </row>
        <row r="693">
          <cell r="A693" t="str">
            <v>T_C-FC-H2O-S1</v>
          </cell>
          <cell r="B693" t="str">
            <v>VAR_cap</v>
          </cell>
          <cell r="C693" t="str">
            <v>-</v>
          </cell>
          <cell r="H693">
            <v>1.6232688891404519E-6</v>
          </cell>
          <cell r="I693">
            <v>1.80644728545511E-6</v>
          </cell>
          <cell r="J693">
            <v>1.5397551517679299E-6</v>
          </cell>
        </row>
        <row r="694">
          <cell r="A694" t="str">
            <v>T_B_c-ICEDSL-S1</v>
          </cell>
          <cell r="B694" t="str">
            <v>VAR_fout</v>
          </cell>
          <cell r="C694" t="str">
            <v>CO2_T</v>
          </cell>
          <cell r="H694">
            <v>2.5131060626387502E-4</v>
          </cell>
          <cell r="I694">
            <v>8.6939168536360502E-4</v>
          </cell>
          <cell r="J694">
            <v>2.6850214589236801E-4</v>
          </cell>
        </row>
        <row r="695">
          <cell r="A695" t="str">
            <v>T_B_c-ICEDSL-S1</v>
          </cell>
          <cell r="B695" t="str">
            <v>VAR_fout</v>
          </cell>
          <cell r="C695" t="str">
            <v>TPBSc</v>
          </cell>
          <cell r="H695">
            <v>5.3086944092856608E-7</v>
          </cell>
          <cell r="I695">
            <v>1.930634914028592E-6</v>
          </cell>
          <cell r="J695">
            <v>5.9625554980388733E-7</v>
          </cell>
        </row>
        <row r="696">
          <cell r="A696" t="str">
            <v>T_B_c-ICEDSL-S1</v>
          </cell>
          <cell r="B696" t="str">
            <v>VAR_fin</v>
          </cell>
          <cell r="C696" t="str">
            <v>TDSL</v>
          </cell>
          <cell r="H696">
            <v>3.4285212314307606E-6</v>
          </cell>
          <cell r="I696">
            <v>1.1860732406051897E-5</v>
          </cell>
          <cell r="J696">
            <v>3.6630579248617734E-6</v>
          </cell>
        </row>
        <row r="697">
          <cell r="A697" t="str">
            <v>T_B_c-ICEDSL-S1</v>
          </cell>
          <cell r="B697" t="str">
            <v>VAR_ncap</v>
          </cell>
          <cell r="C697" t="str">
            <v>-</v>
          </cell>
          <cell r="H697">
            <v>2.57726648011765E-8</v>
          </cell>
          <cell r="I697">
            <v>5.1349809328253598E-8</v>
          </cell>
        </row>
        <row r="698">
          <cell r="A698" t="str">
            <v>T_B_c-ICEDSL-S1</v>
          </cell>
          <cell r="B698" t="str">
            <v>VAR_cap</v>
          </cell>
          <cell r="C698" t="str">
            <v>-</v>
          </cell>
          <cell r="H698">
            <v>3.2824106188905199E-8</v>
          </cell>
          <cell r="I698">
            <v>5.1154427113875701E-8</v>
          </cell>
          <cell r="J698">
            <v>3.0275010817788898E-8</v>
          </cell>
        </row>
        <row r="699">
          <cell r="A699" t="str">
            <v>T-Plg-DSL-mix_S4</v>
          </cell>
          <cell r="B699" t="str">
            <v>VAR_fout</v>
          </cell>
          <cell r="C699" t="str">
            <v>CO2_T</v>
          </cell>
          <cell r="H699">
            <v>0.84750625662257617</v>
          </cell>
          <cell r="I699">
            <v>0.31607237097051266</v>
          </cell>
          <cell r="J699">
            <v>4.7440520884833998E-2</v>
          </cell>
        </row>
        <row r="700">
          <cell r="A700" t="str">
            <v>T-Plg-DSL-mix_S4</v>
          </cell>
          <cell r="B700" t="str">
            <v>VAR_fout</v>
          </cell>
          <cell r="C700" t="str">
            <v>T-PEVmix-ELC_DSL_S4</v>
          </cell>
          <cell r="H700">
            <v>6.0932401509535749E-3</v>
          </cell>
          <cell r="I700">
            <v>2.3868938916885643E-3</v>
          </cell>
          <cell r="J700">
            <v>3.7361908428865641E-4</v>
          </cell>
        </row>
        <row r="701">
          <cell r="A701" t="str">
            <v>T-Plg-DSL-mix_S4</v>
          </cell>
          <cell r="B701" t="str">
            <v>VAR_fin</v>
          </cell>
          <cell r="C701" t="str">
            <v>TDSL</v>
          </cell>
          <cell r="H701">
            <v>1.156215902622886E-2</v>
          </cell>
          <cell r="I701">
            <v>4.3120378031447828E-3</v>
          </cell>
          <cell r="J701">
            <v>6.4721038042065554E-4</v>
          </cell>
        </row>
        <row r="702">
          <cell r="A702" t="str">
            <v>T_C-FC-H2O-S2</v>
          </cell>
          <cell r="B702" t="str">
            <v>VAR_fout</v>
          </cell>
          <cell r="C702" t="str">
            <v>TPCAR</v>
          </cell>
          <cell r="H702">
            <v>1.9891777452648226E-5</v>
          </cell>
          <cell r="I702">
            <v>1.8269522672581699E-5</v>
          </cell>
          <cell r="J702">
            <v>1.8192066851566791E-5</v>
          </cell>
        </row>
        <row r="703">
          <cell r="A703" t="str">
            <v>T_C-FC-H2O-S2</v>
          </cell>
          <cell r="B703" t="str">
            <v>VAR_fin</v>
          </cell>
          <cell r="C703" t="str">
            <v>TH2O</v>
          </cell>
          <cell r="H703">
            <v>2.1804005896147103E-5</v>
          </cell>
          <cell r="I703">
            <v>1.8690962759225802E-5</v>
          </cell>
          <cell r="J703">
            <v>1.6807504673342613E-5</v>
          </cell>
        </row>
        <row r="704">
          <cell r="A704" t="str">
            <v>T_C-FC-H2O-S2</v>
          </cell>
          <cell r="B704" t="str">
            <v>VAR_ncap</v>
          </cell>
          <cell r="C704" t="str">
            <v>-</v>
          </cell>
          <cell r="H704">
            <v>5.6805412596544301E-7</v>
          </cell>
          <cell r="I704">
            <v>8.8713557345451896E-7</v>
          </cell>
          <cell r="J704">
            <v>1.0337640835147701E-6</v>
          </cell>
        </row>
        <row r="705">
          <cell r="A705" t="str">
            <v>T_C-FC-H2O-S2</v>
          </cell>
          <cell r="B705" t="str">
            <v>VAR_cap</v>
          </cell>
          <cell r="C705" t="str">
            <v>-</v>
          </cell>
          <cell r="H705">
            <v>1.4987661889186611E-6</v>
          </cell>
          <cell r="I705">
            <v>1.52996110852899E-6</v>
          </cell>
          <cell r="J705">
            <v>1.472715428368E-6</v>
          </cell>
        </row>
        <row r="706">
          <cell r="A706" t="str">
            <v>T_B_c-ICEDSL-S2</v>
          </cell>
          <cell r="B706" t="str">
            <v>VAR_fout</v>
          </cell>
          <cell r="C706" t="str">
            <v>CO2_T</v>
          </cell>
          <cell r="H706">
            <v>1.3817122976404899E-4</v>
          </cell>
          <cell r="I706">
            <v>9.0385382745073297E-4</v>
          </cell>
          <cell r="J706">
            <v>2.9983429373884598E-4</v>
          </cell>
        </row>
        <row r="707">
          <cell r="A707" t="str">
            <v>T_B_c-ICEDSL-S2</v>
          </cell>
          <cell r="B707" t="str">
            <v>VAR_fout</v>
          </cell>
          <cell r="C707" t="str">
            <v>TPBSc</v>
          </cell>
          <cell r="H707">
            <v>2.0389956396535961E-7</v>
          </cell>
          <cell r="I707">
            <v>1.3987850854501962E-6</v>
          </cell>
          <cell r="J707">
            <v>4.6401721766371708E-7</v>
          </cell>
        </row>
        <row r="708">
          <cell r="A708" t="str">
            <v>T_B_c-ICEDSL-S2</v>
          </cell>
          <cell r="B708" t="str">
            <v>VAR_fin</v>
          </cell>
          <cell r="C708" t="str">
            <v>TDSL</v>
          </cell>
          <cell r="H708">
            <v>1.8850099558533329E-6</v>
          </cell>
          <cell r="I708">
            <v>1.2330884412697593E-5</v>
          </cell>
          <cell r="J708">
            <v>4.0905087822489184E-6</v>
          </cell>
        </row>
        <row r="709">
          <cell r="A709" t="str">
            <v>T_B_c-ICEDSL-S2</v>
          </cell>
          <cell r="B709" t="str">
            <v>VAR_ncap</v>
          </cell>
          <cell r="C709" t="str">
            <v>-</v>
          </cell>
          <cell r="H709">
            <v>1.26552306858886E-8</v>
          </cell>
          <cell r="I709">
            <v>3.8572569921782701E-8</v>
          </cell>
        </row>
        <row r="710">
          <cell r="A710" t="str">
            <v>T_B_c-ICEDSL-S2</v>
          </cell>
          <cell r="B710" t="str">
            <v>VAR_cap</v>
          </cell>
          <cell r="C710" t="str">
            <v>-</v>
          </cell>
          <cell r="H710">
            <v>1.3751572252299999E-8</v>
          </cell>
          <cell r="I710">
            <v>3.16112101047234E-8</v>
          </cell>
          <cell r="J710">
            <v>2.15651970391917E-8</v>
          </cell>
        </row>
        <row r="711">
          <cell r="A711" t="str">
            <v>T_TW-FCLH2O-S1</v>
          </cell>
          <cell r="B711" t="str">
            <v>VAR_fout</v>
          </cell>
          <cell r="C711" t="str">
            <v>TPTWL</v>
          </cell>
          <cell r="H711">
            <v>4.5067705798271398E-4</v>
          </cell>
          <cell r="I711">
            <v>5.3519649601804753E-4</v>
          </cell>
          <cell r="J711">
            <v>4.1550701096364971E-4</v>
          </cell>
        </row>
        <row r="712">
          <cell r="A712" t="str">
            <v>T_TW-FCLH2O-S1</v>
          </cell>
          <cell r="B712" t="str">
            <v>VAR_fin</v>
          </cell>
          <cell r="C712" t="str">
            <v>TH2O</v>
          </cell>
          <cell r="H712">
            <v>9.6221583096411161E-5</v>
          </cell>
          <cell r="I712">
            <v>1.1288210116598102E-4</v>
          </cell>
          <cell r="J712">
            <v>8.5316212817805677E-5</v>
          </cell>
        </row>
        <row r="713">
          <cell r="A713" t="str">
            <v>T_TW-FCLH2O-S1</v>
          </cell>
          <cell r="B713" t="str">
            <v>VAR_ncap</v>
          </cell>
          <cell r="C713" t="str">
            <v>-</v>
          </cell>
          <cell r="H713">
            <v>1.0281562962223699E-4</v>
          </cell>
          <cell r="I713">
            <v>8.8102617191129101E-5</v>
          </cell>
          <cell r="J713">
            <v>1.01777717461103E-4</v>
          </cell>
        </row>
        <row r="714">
          <cell r="A714" t="str">
            <v>T_TW-FCLH2O-S1</v>
          </cell>
          <cell r="B714" t="str">
            <v>VAR_cap</v>
          </cell>
          <cell r="C714" t="str">
            <v>-</v>
          </cell>
          <cell r="H714">
            <v>1.7102992547176881E-4</v>
          </cell>
          <cell r="I714">
            <v>2.0293000836783977E-4</v>
          </cell>
          <cell r="J714">
            <v>1.6395480360265538E-4</v>
          </cell>
        </row>
        <row r="715">
          <cell r="A715" t="str">
            <v>D-T-ELC-TW_Bat_S1</v>
          </cell>
          <cell r="B715" t="str">
            <v>VAR_fout</v>
          </cell>
          <cell r="C715" t="str">
            <v>T-ELC-TWSTGin_S1</v>
          </cell>
          <cell r="H715">
            <v>1.7883142860667885E-2</v>
          </cell>
          <cell r="I715">
            <v>9.0761296829072274E-2</v>
          </cell>
          <cell r="J715">
            <v>0.14904304911875274</v>
          </cell>
        </row>
        <row r="716">
          <cell r="A716" t="str">
            <v>D-T-ELC-TW_Bat_S1</v>
          </cell>
          <cell r="B716" t="str">
            <v>VAR_fin</v>
          </cell>
          <cell r="C716" t="str">
            <v>TELC</v>
          </cell>
          <cell r="H716">
            <v>1.7883142860667885E-2</v>
          </cell>
          <cell r="I716">
            <v>9.0761296829072274E-2</v>
          </cell>
          <cell r="J716">
            <v>0.14904304911875274</v>
          </cell>
        </row>
        <row r="717">
          <cell r="A717" t="str">
            <v>D-T-ELC-TW_Bat_S1</v>
          </cell>
          <cell r="B717" t="str">
            <v>VAR_ncap</v>
          </cell>
          <cell r="C717" t="str">
            <v>-</v>
          </cell>
          <cell r="H717">
            <v>1.8399972029405299E-3</v>
          </cell>
          <cell r="I717">
            <v>7.7455495451387198E-3</v>
          </cell>
          <cell r="J717">
            <v>1.15468136462337E-2</v>
          </cell>
        </row>
        <row r="718">
          <cell r="A718" t="str">
            <v>D-T-ELC-TW_Bat_S1</v>
          </cell>
          <cell r="B718" t="str">
            <v>VAR_cap</v>
          </cell>
          <cell r="C718" t="str">
            <v>-</v>
          </cell>
          <cell r="H718">
            <v>1.8912019965045899E-3</v>
          </cell>
          <cell r="I718">
            <v>9.5940413976638699E-3</v>
          </cell>
          <cell r="J718">
            <v>1.5754146316879599E-2</v>
          </cell>
        </row>
        <row r="719">
          <cell r="A719" t="str">
            <v>T_C-FC-H2O-S3</v>
          </cell>
          <cell r="B719" t="str">
            <v>VAR_fout</v>
          </cell>
          <cell r="C719" t="str">
            <v>TPCAR</v>
          </cell>
          <cell r="H719">
            <v>2.7351146597589804E-5</v>
          </cell>
          <cell r="I719">
            <v>1.89736517368714E-5</v>
          </cell>
          <cell r="J719">
            <v>2.1176994704972899E-5</v>
          </cell>
        </row>
        <row r="720">
          <cell r="A720" t="str">
            <v>T_C-FC-H2O-S3</v>
          </cell>
          <cell r="B720" t="str">
            <v>VAR_fin</v>
          </cell>
          <cell r="C720" t="str">
            <v>TH2O</v>
          </cell>
          <cell r="H720">
            <v>3.2391115644875717E-5</v>
          </cell>
          <cell r="I720">
            <v>2.0839238245635004E-5</v>
          </cell>
          <cell r="J720">
            <v>2.094720132291058E-5</v>
          </cell>
        </row>
        <row r="721">
          <cell r="A721" t="str">
            <v>T_C-FC-H2O-S3</v>
          </cell>
          <cell r="B721" t="str">
            <v>VAR_ncap</v>
          </cell>
          <cell r="C721" t="str">
            <v>-</v>
          </cell>
          <cell r="H721">
            <v>4.81537751966733E-7</v>
          </cell>
          <cell r="I721">
            <v>7.6222521329935496E-7</v>
          </cell>
          <cell r="J721">
            <v>1.03158494232781E-6</v>
          </cell>
        </row>
        <row r="722">
          <cell r="A722" t="str">
            <v>T_C-FC-H2O-S3</v>
          </cell>
          <cell r="B722" t="str">
            <v>VAR_cap</v>
          </cell>
          <cell r="C722" t="str">
            <v>-</v>
          </cell>
          <cell r="H722">
            <v>1.6793374771008694E-6</v>
          </cell>
          <cell r="I722">
            <v>1.2992830739662301E-6</v>
          </cell>
          <cell r="J722">
            <v>1.3860908132098501E-6</v>
          </cell>
        </row>
        <row r="723">
          <cell r="A723" t="str">
            <v>T_B_c-ICEDSL-S3</v>
          </cell>
          <cell r="B723" t="str">
            <v>VAR_fout</v>
          </cell>
          <cell r="C723" t="str">
            <v>CO2_T</v>
          </cell>
          <cell r="I723">
            <v>3.6561386709840001E-4</v>
          </cell>
        </row>
        <row r="724">
          <cell r="A724" t="str">
            <v>T_B_c-ICEDSL-S3</v>
          </cell>
          <cell r="B724" t="str">
            <v>VAR_fout</v>
          </cell>
          <cell r="C724" t="str">
            <v>TPBSc</v>
          </cell>
          <cell r="I724">
            <v>3.7494394067374556E-7</v>
          </cell>
        </row>
        <row r="725">
          <cell r="A725" t="str">
            <v>T_B_c-ICEDSL-S3</v>
          </cell>
          <cell r="B725" t="str">
            <v>VAR_fin</v>
          </cell>
          <cell r="C725" t="str">
            <v>TDSL</v>
          </cell>
          <cell r="I725">
            <v>4.9879108744665665E-6</v>
          </cell>
        </row>
        <row r="726">
          <cell r="A726" t="str">
            <v>T_B_c-ICEDSL-S3</v>
          </cell>
          <cell r="B726" t="str">
            <v>VAR_ncap</v>
          </cell>
          <cell r="C726" t="str">
            <v>-</v>
          </cell>
          <cell r="H726">
            <v>1.1797860942376901E-8</v>
          </cell>
          <cell r="I726">
            <v>2.2319159494198899E-8</v>
          </cell>
        </row>
        <row r="727">
          <cell r="A727" t="str">
            <v>T_B_c-ICEDSL-S3</v>
          </cell>
          <cell r="B727" t="str">
            <v>VAR_cap</v>
          </cell>
          <cell r="C727" t="str">
            <v>-</v>
          </cell>
          <cell r="H727">
            <v>1.1797860942376901E-8</v>
          </cell>
          <cell r="I727">
            <v>3.4117020436575803E-8</v>
          </cell>
          <cell r="J727">
            <v>7.6447863362388402E-9</v>
          </cell>
        </row>
        <row r="728">
          <cell r="A728" t="str">
            <v>T_TW-FCLH2O-S2</v>
          </cell>
          <cell r="B728" t="str">
            <v>VAR_fout</v>
          </cell>
          <cell r="C728" t="str">
            <v>TPTWL</v>
          </cell>
          <cell r="H728">
            <v>1.7826714750249673E-4</v>
          </cell>
          <cell r="I728">
            <v>2.2349409202373534E-4</v>
          </cell>
          <cell r="J728">
            <v>1.668349517457354E-4</v>
          </cell>
        </row>
        <row r="729">
          <cell r="A729" t="str">
            <v>T_TW-FCLH2O-S2</v>
          </cell>
          <cell r="B729" t="str">
            <v>VAR_fin</v>
          </cell>
          <cell r="C729" t="str">
            <v>TH2O</v>
          </cell>
          <cell r="H729">
            <v>6.5440731625036931E-5</v>
          </cell>
          <cell r="I729">
            <v>8.1299376804879096E-5</v>
          </cell>
          <cell r="J729">
            <v>5.9363423357453438E-5</v>
          </cell>
        </row>
        <row r="730">
          <cell r="A730" t="str">
            <v>T_TW-FCLH2O-S2</v>
          </cell>
          <cell r="B730" t="str">
            <v>VAR_ncap</v>
          </cell>
          <cell r="C730" t="str">
            <v>-</v>
          </cell>
          <cell r="H730">
            <v>3.9069308300557001E-5</v>
          </cell>
          <cell r="I730">
            <v>3.1717217445723497E-5</v>
          </cell>
          <cell r="J730">
            <v>3.0326956975937398E-5</v>
          </cell>
        </row>
        <row r="731">
          <cell r="A731" t="str">
            <v>T_TW-FCLH2O-S2</v>
          </cell>
          <cell r="B731" t="str">
            <v>VAR_cap</v>
          </cell>
          <cell r="C731" t="str">
            <v>-</v>
          </cell>
          <cell r="H731">
            <v>6.7624398930930568E-5</v>
          </cell>
          <cell r="I731">
            <v>8.5537805232982307E-5</v>
          </cell>
          <cell r="J731">
            <v>6.4373485655798524E-5</v>
          </cell>
        </row>
        <row r="732">
          <cell r="A732" t="str">
            <v>D-T-ELC-TW_Bat_S2</v>
          </cell>
          <cell r="B732" t="str">
            <v>VAR_fout</v>
          </cell>
          <cell r="C732" t="str">
            <v>T-ELC-TWSTGin_S2</v>
          </cell>
          <cell r="H732">
            <v>3.3116218547578173E-3</v>
          </cell>
          <cell r="I732">
            <v>2.8888104649444839E-3</v>
          </cell>
          <cell r="J732">
            <v>1.9050719659085287E-3</v>
          </cell>
        </row>
        <row r="733">
          <cell r="A733" t="str">
            <v>D-T-ELC-TW_Bat_S2</v>
          </cell>
          <cell r="B733" t="str">
            <v>VAR_fin</v>
          </cell>
          <cell r="C733" t="str">
            <v>TELC</v>
          </cell>
          <cell r="H733">
            <v>3.3116218547578173E-3</v>
          </cell>
          <cell r="I733">
            <v>2.8888104649444839E-3</v>
          </cell>
          <cell r="J733">
            <v>1.9050719659085287E-3</v>
          </cell>
        </row>
        <row r="734">
          <cell r="A734" t="str">
            <v>D-T-ELC-TW_Bat_S2</v>
          </cell>
          <cell r="B734" t="str">
            <v>VAR_ncap</v>
          </cell>
          <cell r="C734" t="str">
            <v>-</v>
          </cell>
          <cell r="H734">
            <v>2.5297455114868398E-4</v>
          </cell>
          <cell r="I734">
            <v>4.05931384322363E-6</v>
          </cell>
          <cell r="J734">
            <v>1.1254349187075E-4</v>
          </cell>
        </row>
        <row r="735">
          <cell r="A735" t="str">
            <v>D-T-ELC-TW_Bat_S2</v>
          </cell>
          <cell r="B735" t="str">
            <v>VAR_cap</v>
          </cell>
          <cell r="C735" t="str">
            <v>-</v>
          </cell>
          <cell r="H735">
            <v>3.5065060899541203E-4</v>
          </cell>
          <cell r="I735">
            <v>3.06188376643288E-4</v>
          </cell>
          <cell r="J735">
            <v>2.0184268666185201E-4</v>
          </cell>
        </row>
        <row r="736">
          <cell r="A736" t="str">
            <v>T_C-FC-H2O-S4</v>
          </cell>
          <cell r="B736" t="str">
            <v>VAR_fout</v>
          </cell>
          <cell r="C736" t="str">
            <v>TPCAR</v>
          </cell>
          <cell r="H736">
            <v>1.939529181570219E-5</v>
          </cell>
          <cell r="I736">
            <v>1.8178558079057868E-5</v>
          </cell>
          <cell r="J736">
            <v>2.0773391317689328E-5</v>
          </cell>
        </row>
        <row r="737">
          <cell r="A737" t="str">
            <v>T_C-FC-H2O-S4</v>
          </cell>
          <cell r="B737" t="str">
            <v>VAR_fin</v>
          </cell>
          <cell r="C737" t="str">
            <v>TH2O</v>
          </cell>
          <cell r="H737">
            <v>2.2678274834304988E-5</v>
          </cell>
          <cell r="I737">
            <v>1.9872765594357335E-5</v>
          </cell>
          <cell r="J737">
            <v>2.0554958264547868E-5</v>
          </cell>
        </row>
        <row r="738">
          <cell r="A738" t="str">
            <v>T_C-FC-H2O-S4</v>
          </cell>
          <cell r="B738" t="str">
            <v>VAR_ncap</v>
          </cell>
          <cell r="C738" t="str">
            <v>-</v>
          </cell>
          <cell r="H738">
            <v>5.7317160800235295E-7</v>
          </cell>
          <cell r="I738">
            <v>9.4983025122325897E-7</v>
          </cell>
          <cell r="J738">
            <v>1.29552818352708E-6</v>
          </cell>
        </row>
        <row r="739">
          <cell r="A739" t="str">
            <v>T_C-FC-H2O-S4</v>
          </cell>
          <cell r="B739" t="str">
            <v>VAR_cap</v>
          </cell>
          <cell r="C739" t="str">
            <v>-</v>
          </cell>
          <cell r="H739">
            <v>1.5304255109995353E-6</v>
          </cell>
          <cell r="I739">
            <v>1.59454004715063E-6</v>
          </cell>
          <cell r="J739">
            <v>1.72910479561065E-6</v>
          </cell>
        </row>
        <row r="740">
          <cell r="A740" t="str">
            <v>T_B_c-ICEDSL-S4</v>
          </cell>
          <cell r="B740" t="str">
            <v>VAR_fout</v>
          </cell>
          <cell r="C740" t="str">
            <v>CO2_T</v>
          </cell>
        </row>
        <row r="741">
          <cell r="A741" t="str">
            <v>T_B_c-ICEDSL-S4</v>
          </cell>
          <cell r="B741" t="str">
            <v>VAR_fout</v>
          </cell>
          <cell r="C741" t="str">
            <v>TPBSc</v>
          </cell>
        </row>
        <row r="742">
          <cell r="A742" t="str">
            <v>T_B_c-ICEDSL-S4</v>
          </cell>
          <cell r="B742" t="str">
            <v>VAR_fin</v>
          </cell>
          <cell r="C742" t="str">
            <v>TDSL</v>
          </cell>
        </row>
        <row r="743">
          <cell r="A743" t="str">
            <v>T_B_c-ICEDSL-S4</v>
          </cell>
          <cell r="B743" t="str">
            <v>VAR_ncap</v>
          </cell>
          <cell r="C743" t="str">
            <v>-</v>
          </cell>
        </row>
        <row r="744">
          <cell r="A744" t="str">
            <v>T_B_c-ICEDSL-S4</v>
          </cell>
          <cell r="B744" t="str">
            <v>VAR_cap</v>
          </cell>
          <cell r="C744" t="str">
            <v>-</v>
          </cell>
        </row>
        <row r="745">
          <cell r="A745" t="str">
            <v>D-T-ELC-HGV</v>
          </cell>
          <cell r="B745" t="str">
            <v>VAR_fout</v>
          </cell>
          <cell r="C745" t="str">
            <v>T-ELC-HGV_BatSTGin</v>
          </cell>
          <cell r="H745">
            <v>1.6153871274295784</v>
          </cell>
          <cell r="I745">
            <v>4.6388915792795995</v>
          </cell>
          <cell r="J745">
            <v>8.031219403354207</v>
          </cell>
        </row>
        <row r="746">
          <cell r="A746" t="str">
            <v>D-T-ELC-HGV</v>
          </cell>
          <cell r="B746" t="str">
            <v>VAR_fin</v>
          </cell>
          <cell r="C746" t="str">
            <v>TELC</v>
          </cell>
          <cell r="H746">
            <v>1.6153871274295784</v>
          </cell>
          <cell r="I746">
            <v>4.6388915792795995</v>
          </cell>
          <cell r="J746">
            <v>8.031219403354207</v>
          </cell>
        </row>
        <row r="747">
          <cell r="A747" t="str">
            <v>D-T-ELC-HGV</v>
          </cell>
          <cell r="B747" t="str">
            <v>VAR_ncap</v>
          </cell>
          <cell r="C747" t="str">
            <v>-</v>
          </cell>
          <cell r="H747">
            <v>0.18426464853469901</v>
          </cell>
          <cell r="I747">
            <v>0.45806409270815801</v>
          </cell>
          <cell r="J747">
            <v>0.93381659056295496</v>
          </cell>
        </row>
        <row r="748">
          <cell r="A748" t="str">
            <v>D-T-ELC-HGV</v>
          </cell>
          <cell r="B748" t="str">
            <v>VAR_cap</v>
          </cell>
          <cell r="C748" t="str">
            <v>-</v>
          </cell>
          <cell r="H748">
            <v>0.20386032706658</v>
          </cell>
          <cell r="I748">
            <v>0.58391432501089002</v>
          </cell>
          <cell r="J748">
            <v>1.01420163354105</v>
          </cell>
        </row>
        <row r="749">
          <cell r="A749" t="str">
            <v>T_TW-FCLH2O-S3</v>
          </cell>
          <cell r="B749" t="str">
            <v>VAR_fout</v>
          </cell>
          <cell r="C749" t="str">
            <v>TPTWL</v>
          </cell>
          <cell r="H749">
            <v>7.9616162369860007E-5</v>
          </cell>
          <cell r="I749">
            <v>1.1283674279729342E-4</v>
          </cell>
          <cell r="J749">
            <v>1.1448498210845582E-4</v>
          </cell>
        </row>
        <row r="750">
          <cell r="A750" t="str">
            <v>T_TW-FCLH2O-S3</v>
          </cell>
          <cell r="B750" t="str">
            <v>VAR_fin</v>
          </cell>
          <cell r="C750" t="str">
            <v>TH2O</v>
          </cell>
          <cell r="H750">
            <v>4.4842411530568915E-5</v>
          </cell>
          <cell r="I750">
            <v>6.3102124409907865E-5</v>
          </cell>
          <cell r="J750">
            <v>6.2801585469844233E-5</v>
          </cell>
        </row>
        <row r="751">
          <cell r="A751" t="str">
            <v>T_TW-FCLH2O-S3</v>
          </cell>
          <cell r="B751" t="str">
            <v>VAR_ncap</v>
          </cell>
          <cell r="C751" t="str">
            <v>-</v>
          </cell>
          <cell r="H751">
            <v>1.5481969078434401E-5</v>
          </cell>
          <cell r="I751">
            <v>1.2924957826800699E-5</v>
          </cell>
          <cell r="J751">
            <v>1.44268400615045E-5</v>
          </cell>
        </row>
        <row r="752">
          <cell r="A752" t="str">
            <v>T_TW-FCLH2O-S3</v>
          </cell>
          <cell r="B752" t="str">
            <v>VAR_cap</v>
          </cell>
          <cell r="C752" t="str">
            <v>-</v>
          </cell>
          <cell r="H752">
            <v>2.9433551079603331E-5</v>
          </cell>
          <cell r="I752">
            <v>4.2325362545265387E-5</v>
          </cell>
          <cell r="J752">
            <v>4.3277788857583984E-5</v>
          </cell>
        </row>
        <row r="753">
          <cell r="A753" t="str">
            <v>D-T-ELC-TW_Bat_S3</v>
          </cell>
          <cell r="B753" t="str">
            <v>VAR_fout</v>
          </cell>
          <cell r="C753" t="str">
            <v>T-ELC-TWSTGin_S3</v>
          </cell>
          <cell r="H753">
            <v>4.7695794980318149E-3</v>
          </cell>
          <cell r="I753">
            <v>4.5622981859685602E-3</v>
          </cell>
          <cell r="J753">
            <v>2.9463435004738465E-3</v>
          </cell>
        </row>
        <row r="754">
          <cell r="A754" t="str">
            <v>D-T-ELC-TW_Bat_S3</v>
          </cell>
          <cell r="B754" t="str">
            <v>VAR_fin</v>
          </cell>
          <cell r="C754" t="str">
            <v>TELC</v>
          </cell>
          <cell r="H754">
            <v>4.7695794980318149E-3</v>
          </cell>
          <cell r="I754">
            <v>4.5622981859685602E-3</v>
          </cell>
          <cell r="J754">
            <v>2.9463435004738465E-3</v>
          </cell>
        </row>
        <row r="755">
          <cell r="A755" t="str">
            <v>D-T-ELC-TW_Bat_S3</v>
          </cell>
          <cell r="B755" t="str">
            <v>VAR_ncap</v>
          </cell>
          <cell r="C755" t="str">
            <v>-</v>
          </cell>
          <cell r="H755">
            <v>3.0723999428938499E-4</v>
          </cell>
          <cell r="I755">
            <v>3.8075916296858603E-5</v>
          </cell>
          <cell r="J755">
            <v>2.9958990326520001E-6</v>
          </cell>
        </row>
        <row r="756">
          <cell r="A756" t="str">
            <v>D-T-ELC-TW_Bat_S3</v>
          </cell>
          <cell r="B756" t="str">
            <v>VAR_cap</v>
          </cell>
          <cell r="C756" t="str">
            <v>-</v>
          </cell>
          <cell r="H756">
            <v>5.0490591985835598E-4</v>
          </cell>
          <cell r="I756">
            <v>4.8273519952983198E-4</v>
          </cell>
          <cell r="J756">
            <v>3.1220183943460599E-4</v>
          </cell>
        </row>
        <row r="757">
          <cell r="A757" t="str">
            <v>T_TW-FCLH2O-S4</v>
          </cell>
          <cell r="B757" t="str">
            <v>VAR_fout</v>
          </cell>
          <cell r="C757" t="str">
            <v>TPTWL</v>
          </cell>
          <cell r="H757">
            <v>3.8602034737852271E-5</v>
          </cell>
          <cell r="I757">
            <v>5.7543500600546213E-5</v>
          </cell>
          <cell r="J757">
            <v>7.1928869963641199E-5</v>
          </cell>
        </row>
        <row r="758">
          <cell r="A758" t="str">
            <v>T_TW-FCLH2O-S4</v>
          </cell>
          <cell r="B758" t="str">
            <v>VAR_fin</v>
          </cell>
          <cell r="C758" t="str">
            <v>TH2O</v>
          </cell>
          <cell r="H758">
            <v>2.4467448122460253E-5</v>
          </cell>
          <cell r="I758">
            <v>3.615300794881285E-5</v>
          </cell>
          <cell r="J758">
            <v>4.446383173419026E-5</v>
          </cell>
        </row>
        <row r="759">
          <cell r="A759" t="str">
            <v>T_TW-FCLH2O-S4</v>
          </cell>
          <cell r="B759" t="str">
            <v>VAR_ncap</v>
          </cell>
          <cell r="C759" t="str">
            <v>-</v>
          </cell>
          <cell r="H759">
            <v>7.5188766921391597E-6</v>
          </cell>
          <cell r="I759">
            <v>6.9667183505399602E-6</v>
          </cell>
          <cell r="J759">
            <v>7.3508921222326598E-6</v>
          </cell>
        </row>
        <row r="760">
          <cell r="A760" t="str">
            <v>T_TW-FCLH2O-S4</v>
          </cell>
          <cell r="B760" t="str">
            <v>VAR_cap</v>
          </cell>
          <cell r="C760" t="str">
            <v>-</v>
          </cell>
          <cell r="H760">
            <v>1.3607820568387532E-5</v>
          </cell>
          <cell r="I760">
            <v>2.0555420051170895E-5</v>
          </cell>
          <cell r="J760">
            <v>2.5788205483962851E-5</v>
          </cell>
        </row>
        <row r="761">
          <cell r="A761" t="str">
            <v>D-T-ELC-TW_Bat_S4</v>
          </cell>
          <cell r="B761" t="str">
            <v>VAR_fout</v>
          </cell>
          <cell r="C761" t="str">
            <v>T-ELC-TWSTGin_S4</v>
          </cell>
          <cell r="H761">
            <v>4.7742445165949426E-3</v>
          </cell>
          <cell r="I761">
            <v>5.3096839793244487E-3</v>
          </cell>
          <cell r="J761">
            <v>4.3074400768853983E-3</v>
          </cell>
        </row>
        <row r="762">
          <cell r="A762" t="str">
            <v>D-T-ELC-TW_Bat_S4</v>
          </cell>
          <cell r="B762" t="str">
            <v>VAR_fin</v>
          </cell>
          <cell r="C762" t="str">
            <v>TELC</v>
          </cell>
          <cell r="H762">
            <v>4.7742445165949426E-3</v>
          </cell>
          <cell r="I762">
            <v>5.3096839793244487E-3</v>
          </cell>
          <cell r="J762">
            <v>4.3074400768853983E-3</v>
          </cell>
        </row>
        <row r="763">
          <cell r="A763" t="str">
            <v>D-T-ELC-TW_Bat_S4</v>
          </cell>
          <cell r="B763" t="str">
            <v>VAR_ncap</v>
          </cell>
          <cell r="C763" t="str">
            <v>-</v>
          </cell>
          <cell r="H763">
            <v>3.0848490832370101E-4</v>
          </cell>
          <cell r="I763">
            <v>5.6715300408471097E-5</v>
          </cell>
          <cell r="J763">
            <v>2.1464842978587501E-5</v>
          </cell>
        </row>
        <row r="764">
          <cell r="A764" t="str">
            <v>D-T-ELC-TW_Bat_S4</v>
          </cell>
          <cell r="B764" t="str">
            <v>VAR_cap</v>
          </cell>
          <cell r="C764" t="str">
            <v>-</v>
          </cell>
          <cell r="H764">
            <v>5.0523379719252999E-4</v>
          </cell>
          <cell r="I764">
            <v>5.6194909760100102E-4</v>
          </cell>
          <cell r="J764">
            <v>4.5588496898197299E-4</v>
          </cell>
        </row>
        <row r="765">
          <cell r="A765" t="str">
            <v>T_B_u-ICENGA-S1</v>
          </cell>
          <cell r="B765" t="str">
            <v>VAR_fout</v>
          </cell>
          <cell r="C765" t="str">
            <v>CO2_T</v>
          </cell>
        </row>
        <row r="766">
          <cell r="A766" t="str">
            <v>T_B_u-ICENGA-S1</v>
          </cell>
          <cell r="B766" t="str">
            <v>VAR_fout</v>
          </cell>
          <cell r="C766" t="str">
            <v>TPBSu</v>
          </cell>
        </row>
        <row r="767">
          <cell r="A767" t="str">
            <v>T_B_u-ICENGA-S1</v>
          </cell>
          <cell r="B767" t="str">
            <v>VAR_fin</v>
          </cell>
          <cell r="C767" t="str">
            <v>TNGA</v>
          </cell>
        </row>
        <row r="768">
          <cell r="A768" t="str">
            <v>T_B_u-ICENGA-S1</v>
          </cell>
          <cell r="B768" t="str">
            <v>VAR_ncap</v>
          </cell>
          <cell r="C768" t="str">
            <v>-</v>
          </cell>
          <cell r="H768">
            <v>1.44267637942071E-8</v>
          </cell>
        </row>
        <row r="769">
          <cell r="A769" t="str">
            <v>T_B_u-ICENGA-S1</v>
          </cell>
          <cell r="B769" t="str">
            <v>VAR_cap</v>
          </cell>
          <cell r="C769" t="str">
            <v>-</v>
          </cell>
          <cell r="H769">
            <v>2.1417835037144007E-8</v>
          </cell>
          <cell r="I769">
            <v>1.8150922776389006E-9</v>
          </cell>
          <cell r="J769">
            <v>2.5317331048059401E-9</v>
          </cell>
        </row>
        <row r="770">
          <cell r="A770" t="str">
            <v>T_B_u-ICENGA-S2</v>
          </cell>
          <cell r="B770" t="str">
            <v>VAR_fout</v>
          </cell>
          <cell r="C770" t="str">
            <v>CO2_T</v>
          </cell>
        </row>
        <row r="771">
          <cell r="A771" t="str">
            <v>T_B_u-ICENGA-S2</v>
          </cell>
          <cell r="B771" t="str">
            <v>VAR_fout</v>
          </cell>
          <cell r="C771" t="str">
            <v>TPBSu</v>
          </cell>
        </row>
        <row r="772">
          <cell r="A772" t="str">
            <v>T_B_u-ICENGA-S2</v>
          </cell>
          <cell r="B772" t="str">
            <v>VAR_fin</v>
          </cell>
          <cell r="C772" t="str">
            <v>TNGA</v>
          </cell>
        </row>
        <row r="773">
          <cell r="A773" t="str">
            <v>T_B_u-ICENGA-S2</v>
          </cell>
          <cell r="B773" t="str">
            <v>VAR_ncap</v>
          </cell>
          <cell r="C773" t="str">
            <v>-</v>
          </cell>
        </row>
        <row r="774">
          <cell r="A774" t="str">
            <v>T_B_u-ICENGA-S2</v>
          </cell>
          <cell r="B774" t="str">
            <v>VAR_cap</v>
          </cell>
          <cell r="C774" t="str">
            <v>-</v>
          </cell>
          <cell r="H774">
            <v>-4.0504709993000343E-9</v>
          </cell>
          <cell r="I774">
            <v>-1.5695155793626599E-8</v>
          </cell>
        </row>
        <row r="775">
          <cell r="A775" t="str">
            <v>T_B_c-ICEDSLEXT</v>
          </cell>
          <cell r="B775" t="str">
            <v>VAR_fout</v>
          </cell>
          <cell r="C775" t="str">
            <v>CO2_T</v>
          </cell>
        </row>
        <row r="776">
          <cell r="A776" t="str">
            <v>T_B_c-ICEDSLEXT</v>
          </cell>
          <cell r="B776" t="str">
            <v>VAR_fout</v>
          </cell>
          <cell r="C776" t="str">
            <v>TPBSc</v>
          </cell>
        </row>
        <row r="777">
          <cell r="A777" t="str">
            <v>T_B_c-ICEDSLEXT</v>
          </cell>
          <cell r="B777" t="str">
            <v>VAR_fin</v>
          </cell>
          <cell r="C777" t="str">
            <v>TDSL</v>
          </cell>
        </row>
        <row r="778">
          <cell r="A778" t="str">
            <v>T_B_c-ICEDSLEXT</v>
          </cell>
          <cell r="B778" t="str">
            <v>VAR_cap</v>
          </cell>
          <cell r="C778" t="str">
            <v>-</v>
          </cell>
        </row>
        <row r="779">
          <cell r="A779" t="str">
            <v>T_B_u-ICENGA-S3</v>
          </cell>
          <cell r="B779" t="str">
            <v>VAR_fout</v>
          </cell>
          <cell r="C779" t="str">
            <v>CO2_T</v>
          </cell>
        </row>
        <row r="780">
          <cell r="A780" t="str">
            <v>T_B_u-ICENGA-S3</v>
          </cell>
          <cell r="B780" t="str">
            <v>VAR_fout</v>
          </cell>
          <cell r="C780" t="str">
            <v>TPBSu</v>
          </cell>
        </row>
        <row r="781">
          <cell r="A781" t="str">
            <v>T_B_u-ICENGA-S3</v>
          </cell>
          <cell r="B781" t="str">
            <v>VAR_fin</v>
          </cell>
          <cell r="C781" t="str">
            <v>TNGA</v>
          </cell>
        </row>
        <row r="782">
          <cell r="A782" t="str">
            <v>T_B_u-ICENGA-S3</v>
          </cell>
          <cell r="B782" t="str">
            <v>VAR_ncap</v>
          </cell>
          <cell r="C782" t="str">
            <v>-</v>
          </cell>
          <cell r="I782">
            <v>1.122403781884E-8</v>
          </cell>
        </row>
        <row r="783">
          <cell r="A783" t="str">
            <v>T_B_u-ICENGA-S3</v>
          </cell>
          <cell r="B783" t="str">
            <v>VAR_cap</v>
          </cell>
          <cell r="C783" t="str">
            <v>-</v>
          </cell>
          <cell r="I783">
            <v>-2.3594197812196E-9</v>
          </cell>
          <cell r="J783">
            <v>3.8444714272147303E-9</v>
          </cell>
        </row>
        <row r="784">
          <cell r="A784" t="str">
            <v>T_B_u-ICENGA-S4</v>
          </cell>
          <cell r="B784" t="str">
            <v>VAR_cap</v>
          </cell>
          <cell r="C784" t="str">
            <v>-</v>
          </cell>
          <cell r="H784">
            <v>-3.2199343881123701E-9</v>
          </cell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F9">
            <v>67.215216037291484</v>
          </cell>
          <cell r="G9">
            <v>83.945537274110549</v>
          </cell>
          <cell r="H9">
            <v>93.308017270355577</v>
          </cell>
        </row>
        <row r="28">
          <cell r="F28">
            <v>0</v>
          </cell>
          <cell r="G28">
            <v>9.4748350035984332E-3</v>
          </cell>
          <cell r="H28">
            <v>5.9867333897605401E-2</v>
          </cell>
        </row>
      </sheetData>
      <sheetData sheetId="56"/>
      <sheetData sheetId="57"/>
      <sheetData sheetId="58">
        <row r="14">
          <cell r="F14">
            <v>62.881254247525256</v>
          </cell>
          <cell r="G14">
            <v>62.88125953769157</v>
          </cell>
          <cell r="H14">
            <v>33.835335971279171</v>
          </cell>
        </row>
        <row r="15">
          <cell r="F15">
            <v>71.44644713286462</v>
          </cell>
          <cell r="G15">
            <v>73.932924658636495</v>
          </cell>
          <cell r="H15">
            <v>74.836056776230464</v>
          </cell>
        </row>
        <row r="16">
          <cell r="F16">
            <v>65.039957519478904</v>
          </cell>
          <cell r="G16">
            <v>64.381689547413231</v>
          </cell>
          <cell r="H16">
            <v>67.134973788047233</v>
          </cell>
        </row>
        <row r="17">
          <cell r="F17">
            <v>12.813258080574515</v>
          </cell>
          <cell r="G17">
            <v>13.257493694055958</v>
          </cell>
          <cell r="H17">
            <v>13.546843895874332</v>
          </cell>
        </row>
        <row r="18">
          <cell r="F18">
            <v>4.2066042632973588E-3</v>
          </cell>
          <cell r="G18">
            <v>5.2278475734705669E-3</v>
          </cell>
          <cell r="H18">
            <v>2.6821612387488707E-5</v>
          </cell>
        </row>
        <row r="19">
          <cell r="F19">
            <v>7.491861317284302</v>
          </cell>
          <cell r="G19">
            <v>5.4495867389513197</v>
          </cell>
          <cell r="H19">
            <v>9.6306054981620619E-4</v>
          </cell>
        </row>
        <row r="20">
          <cell r="F20">
            <v>0</v>
          </cell>
          <cell r="G20">
            <v>2.8372266335344314</v>
          </cell>
          <cell r="H20">
            <v>9.3323567779073375</v>
          </cell>
        </row>
        <row r="21">
          <cell r="F21">
            <v>0</v>
          </cell>
          <cell r="G21">
            <v>7.3582798023619039E-6</v>
          </cell>
          <cell r="H21">
            <v>2.051370316476858E-3</v>
          </cell>
        </row>
        <row r="22">
          <cell r="F22">
            <v>0</v>
          </cell>
          <cell r="G22">
            <v>4.1321773347285942E-6</v>
          </cell>
          <cell r="H22">
            <v>4.5435451840999411E-2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0.64683071839670159</v>
          </cell>
          <cell r="G25">
            <v>0.92704443395832137</v>
          </cell>
          <cell r="H25">
            <v>0.94537044813407178</v>
          </cell>
        </row>
        <row r="26">
          <cell r="F26">
            <v>1.4330172541392288</v>
          </cell>
          <cell r="G26">
            <v>1.0797360755647363</v>
          </cell>
          <cell r="H26">
            <v>0.19704770379712094</v>
          </cell>
        </row>
        <row r="27">
          <cell r="F27">
            <v>0</v>
          </cell>
          <cell r="G27">
            <v>0.47459409701957339</v>
          </cell>
          <cell r="H27">
            <v>1.4946322750053092</v>
          </cell>
        </row>
        <row r="28">
          <cell r="F28">
            <v>5.7323157010688748E-4</v>
          </cell>
          <cell r="G28">
            <v>2.4328112846966167E-4</v>
          </cell>
          <cell r="H28">
            <v>5.1726619780507563E-6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2.8285256729106384E-3</v>
          </cell>
          <cell r="H30">
            <v>0.64656406332493532</v>
          </cell>
        </row>
        <row r="31">
          <cell r="F31">
            <v>0</v>
          </cell>
          <cell r="G31">
            <v>1.020367233440323E-3</v>
          </cell>
          <cell r="H31">
            <v>0.91437838380530556</v>
          </cell>
        </row>
        <row r="32">
          <cell r="F32">
            <v>0</v>
          </cell>
          <cell r="G32">
            <v>1.4033467551029626E-3</v>
          </cell>
          <cell r="H32">
            <v>8.9618334704113269E-3</v>
          </cell>
        </row>
        <row r="33">
          <cell r="F33">
            <v>0.88233521255995673</v>
          </cell>
          <cell r="G33">
            <v>0.88260410561218516</v>
          </cell>
          <cell r="H33">
            <v>0.88262366583452356</v>
          </cell>
        </row>
        <row r="34">
          <cell r="F34">
            <v>0.74355195235966853</v>
          </cell>
          <cell r="G34">
            <v>24.638616163709123</v>
          </cell>
          <cell r="H34">
            <v>39.394305368218482</v>
          </cell>
        </row>
        <row r="35">
          <cell r="F35">
            <v>20.470723601034496</v>
          </cell>
          <cell r="G35">
            <v>40.847645049447884</v>
          </cell>
          <cell r="H35">
            <v>46.227829714996609</v>
          </cell>
        </row>
        <row r="36">
          <cell r="F36">
            <v>11.801971479247381</v>
          </cell>
          <cell r="G36">
            <v>12.452168160550869</v>
          </cell>
          <cell r="H36">
            <v>13.862964501541711</v>
          </cell>
        </row>
        <row r="37">
          <cell r="F37">
            <v>5.6945896350343688</v>
          </cell>
          <cell r="G37">
            <v>5.9851416091251242</v>
          </cell>
          <cell r="H37">
            <v>6.6113241760477353</v>
          </cell>
        </row>
        <row r="38">
          <cell r="F38">
            <v>18.815551373147006</v>
          </cell>
          <cell r="G38">
            <v>36.183417636373782</v>
          </cell>
          <cell r="H38">
            <v>39.969006430554472</v>
          </cell>
        </row>
        <row r="39">
          <cell r="F39">
            <v>0.60840370115618447</v>
          </cell>
          <cell r="G39">
            <v>8.7159876623294594E-2</v>
          </cell>
          <cell r="H39">
            <v>0.42431076834742981</v>
          </cell>
        </row>
        <row r="40">
          <cell r="F40">
            <v>0</v>
          </cell>
          <cell r="G40">
            <v>1.3164170399274993E-2</v>
          </cell>
          <cell r="H40">
            <v>0.24534275766758668</v>
          </cell>
        </row>
        <row r="41">
          <cell r="F41">
            <v>0.16675587277879184</v>
          </cell>
          <cell r="G41">
            <v>0</v>
          </cell>
          <cell r="H41">
            <v>0</v>
          </cell>
        </row>
        <row r="42">
          <cell r="F42">
            <v>2.7764620846172767</v>
          </cell>
          <cell r="G42">
            <v>2.4834411392567497</v>
          </cell>
          <cell r="H42">
            <v>2.2181728593502203</v>
          </cell>
        </row>
        <row r="43">
          <cell r="F43">
            <v>0</v>
          </cell>
          <cell r="G43">
            <v>0.56265859816891228</v>
          </cell>
          <cell r="H43">
            <v>1.5320433556901911</v>
          </cell>
        </row>
        <row r="44">
          <cell r="F44">
            <v>1.020144251489299E-3</v>
          </cell>
          <cell r="G44">
            <v>4.8359796924997851E-4</v>
          </cell>
          <cell r="H44">
            <v>9.7960811081328095E-5</v>
          </cell>
        </row>
        <row r="45">
          <cell r="F45">
            <v>0</v>
          </cell>
          <cell r="G45">
            <v>0.11238321073850047</v>
          </cell>
          <cell r="H45">
            <v>0.32134960443378413</v>
          </cell>
        </row>
        <row r="46">
          <cell r="F46">
            <v>4.4426385400825243E-3</v>
          </cell>
          <cell r="G46">
            <v>0.10481502306675558</v>
          </cell>
          <cell r="H46">
            <v>0.21392808522999046</v>
          </cell>
        </row>
        <row r="47">
          <cell r="F47">
            <v>1.8754644318448434E-3</v>
          </cell>
          <cell r="G47">
            <v>1.4105572765306862E-3</v>
          </cell>
          <cell r="H47">
            <v>3.4942642775521191E-4</v>
          </cell>
        </row>
        <row r="48">
          <cell r="F48">
            <v>4.8787729617606555E-3</v>
          </cell>
          <cell r="G48">
            <v>1.1180266835799611E-3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2.4557149431528604E-3</v>
          </cell>
          <cell r="G50">
            <v>2.3035897553468805E-3</v>
          </cell>
          <cell r="H50">
            <v>9.9983609292166693E-4</v>
          </cell>
        </row>
        <row r="51">
          <cell r="F51">
            <v>9.6985501510318713E-3</v>
          </cell>
          <cell r="G51">
            <v>1.9249714430413917E-3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0.44280048715349424</v>
          </cell>
          <cell r="G53">
            <v>0.56504291505205639</v>
          </cell>
          <cell r="H53">
            <v>0.27554298054138249</v>
          </cell>
        </row>
        <row r="54">
          <cell r="F54">
            <v>1.1059531964295761</v>
          </cell>
          <cell r="G54">
            <v>1.1059517354964505</v>
          </cell>
          <cell r="H54">
            <v>1.1059520067322162</v>
          </cell>
        </row>
        <row r="55">
          <cell r="F55">
            <v>3.0856123650562484E-3</v>
          </cell>
          <cell r="G55">
            <v>5.7876014569149207E-4</v>
          </cell>
          <cell r="H55">
            <v>0</v>
          </cell>
        </row>
        <row r="56">
          <cell r="F56">
            <v>1.4677601603052179E-3</v>
          </cell>
          <cell r="G56">
            <v>7.9379502945826951E-4</v>
          </cell>
          <cell r="H56">
            <v>2.8509040080241323E-4</v>
          </cell>
        </row>
        <row r="57">
          <cell r="F57">
            <v>2.9379183745544867E-3</v>
          </cell>
          <cell r="G57">
            <v>9.2252457249678479E-3</v>
          </cell>
          <cell r="H57">
            <v>5.8481806126494664E-3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70">
          <cell r="F70">
            <v>3.0516970291249283E-2</v>
          </cell>
          <cell r="G70">
            <v>1.9442043272010483E-2</v>
          </cell>
          <cell r="H70">
            <v>9.4495573930780508E-2</v>
          </cell>
        </row>
        <row r="71">
          <cell r="F71">
            <v>6.6205511641296191E-2</v>
          </cell>
          <cell r="G71">
            <v>0.64043119260990911</v>
          </cell>
          <cell r="H71">
            <v>2.8140368400382441</v>
          </cell>
        </row>
        <row r="72">
          <cell r="F72">
            <v>3.2298870436889351E-2</v>
          </cell>
          <cell r="G72">
            <v>0.44119695899260764</v>
          </cell>
          <cell r="H72">
            <v>1.4256712863811478</v>
          </cell>
        </row>
        <row r="73">
          <cell r="F73">
            <v>0.23561233182144478</v>
          </cell>
          <cell r="G73">
            <v>0.3199495272156978</v>
          </cell>
          <cell r="H73">
            <v>0.45289977720896224</v>
          </cell>
        </row>
        <row r="74">
          <cell r="F74">
            <v>0.63484947065488906</v>
          </cell>
          <cell r="G74">
            <v>0.4845150055544456</v>
          </cell>
          <cell r="H74">
            <v>0.68799813835712942</v>
          </cell>
        </row>
        <row r="75">
          <cell r="F75">
            <v>0.11888593828086283</v>
          </cell>
          <cell r="G75">
            <v>8.8923275934780721E-2</v>
          </cell>
          <cell r="H75">
            <v>0.12462499097033369</v>
          </cell>
        </row>
        <row r="76">
          <cell r="F76">
            <v>0.4210419565045842</v>
          </cell>
          <cell r="G76">
            <v>0.68095885701264181</v>
          </cell>
          <cell r="H76">
            <v>0.84953436563744444</v>
          </cell>
        </row>
        <row r="90">
          <cell r="F90">
            <v>0</v>
          </cell>
          <cell r="G90">
            <v>1.0131147414187707E-4</v>
          </cell>
          <cell r="H90">
            <v>1.0351081396703227E-4</v>
          </cell>
        </row>
        <row r="91">
          <cell r="F91">
            <v>0</v>
          </cell>
          <cell r="G91">
            <v>0</v>
          </cell>
          <cell r="H91">
            <v>0</v>
          </cell>
        </row>
        <row r="92">
          <cell r="F92">
            <v>1.6924305225047174</v>
          </cell>
          <cell r="G92">
            <v>2.4305760456461436</v>
          </cell>
          <cell r="H92">
            <v>2.477912859116628</v>
          </cell>
        </row>
        <row r="93">
          <cell r="F93">
            <v>12.342953031245132</v>
          </cell>
          <cell r="G93">
            <v>13.005965663359824</v>
          </cell>
          <cell r="H93">
            <v>13.243801642829158</v>
          </cell>
        </row>
        <row r="94">
          <cell r="F94">
            <v>2.9480480748354213E-3</v>
          </cell>
          <cell r="G94">
            <v>1.2511600892725441E-3</v>
          </cell>
          <cell r="H94">
            <v>2.6602261601403873E-5</v>
          </cell>
        </row>
        <row r="95">
          <cell r="F95">
            <v>0</v>
          </cell>
          <cell r="G95">
            <v>0</v>
          </cell>
          <cell r="H95">
            <v>0</v>
          </cell>
        </row>
        <row r="96">
          <cell r="F96">
            <v>0</v>
          </cell>
          <cell r="G96">
            <v>3.4346383171057595E-3</v>
          </cell>
          <cell r="H96">
            <v>0.81590227038622742</v>
          </cell>
        </row>
        <row r="97">
          <cell r="F97">
            <v>0</v>
          </cell>
          <cell r="G97">
            <v>0</v>
          </cell>
          <cell r="H97">
            <v>0</v>
          </cell>
        </row>
        <row r="98">
          <cell r="F98">
            <v>0.90180045751198468</v>
          </cell>
          <cell r="G98">
            <v>0.9017989834345872</v>
          </cell>
          <cell r="H98">
            <v>0.90358853154160546</v>
          </cell>
        </row>
        <row r="99">
          <cell r="F99">
            <v>1.7123285920381226</v>
          </cell>
          <cell r="G99">
            <v>1.6868310652907215</v>
          </cell>
          <cell r="H99">
            <v>0.52340229539345329</v>
          </cell>
        </row>
        <row r="100">
          <cell r="F100">
            <v>4.3116252019336368E-5</v>
          </cell>
          <cell r="G100">
            <v>1.1561557906139955E-4</v>
          </cell>
          <cell r="H100">
            <v>3.3829792718287675E-6</v>
          </cell>
        </row>
        <row r="101">
          <cell r="F101">
            <v>2.3667667897730595</v>
          </cell>
          <cell r="G101">
            <v>2.079643581342594</v>
          </cell>
          <cell r="H101">
            <v>2.934351378398159</v>
          </cell>
        </row>
        <row r="102">
          <cell r="F102">
            <v>4.3767603905837741E-5</v>
          </cell>
          <cell r="G102">
            <v>4.3592761445811174E-5</v>
          </cell>
          <cell r="H102">
            <v>4.4203528919855617E-5</v>
          </cell>
        </row>
        <row r="103">
          <cell r="F103">
            <v>0.99017178697618213</v>
          </cell>
          <cell r="G103">
            <v>0.11362782797575027</v>
          </cell>
          <cell r="H103">
            <v>0.74014337085870441</v>
          </cell>
        </row>
        <row r="104">
          <cell r="F104">
            <v>0.82677470305929135</v>
          </cell>
          <cell r="G104">
            <v>0</v>
          </cell>
          <cell r="H104">
            <v>0</v>
          </cell>
        </row>
        <row r="105">
          <cell r="F105">
            <v>5.8732851789980955</v>
          </cell>
          <cell r="G105">
            <v>6.4436725214773727</v>
          </cell>
          <cell r="H105">
            <v>7.9331496856624257</v>
          </cell>
        </row>
        <row r="106">
          <cell r="F106">
            <v>6.0203147379527333E-3</v>
          </cell>
          <cell r="G106">
            <v>0.57167478032725549</v>
          </cell>
          <cell r="H106">
            <v>1.0904296334058041</v>
          </cell>
        </row>
        <row r="107">
          <cell r="F107">
            <v>8.904154527336767E-4</v>
          </cell>
          <cell r="G107">
            <v>6.3410372981654727E-4</v>
          </cell>
          <cell r="H107">
            <v>1.409966287433313E-4</v>
          </cell>
        </row>
        <row r="108">
          <cell r="F108">
            <v>2.9931716224596387E-3</v>
          </cell>
          <cell r="G108">
            <v>6.2889013840053298E-2</v>
          </cell>
          <cell r="H108">
            <v>0.10696404261499522</v>
          </cell>
        </row>
        <row r="109">
          <cell r="F109">
            <v>1.1053661046194586E-2</v>
          </cell>
          <cell r="G109">
            <v>2.5106564122497356E-3</v>
          </cell>
          <cell r="H109">
            <v>0</v>
          </cell>
        </row>
        <row r="110">
          <cell r="F110">
            <v>6.4923986062743501E-3</v>
          </cell>
          <cell r="G110">
            <v>5.9617258377768056E-3</v>
          </cell>
          <cell r="H110">
            <v>2.484909046779075E-3</v>
          </cell>
        </row>
        <row r="111">
          <cell r="F111">
            <v>0</v>
          </cell>
          <cell r="G111">
            <v>0</v>
          </cell>
          <cell r="H111">
            <v>0</v>
          </cell>
        </row>
        <row r="112">
          <cell r="F112">
            <v>1.9799881619811548E-2</v>
          </cell>
          <cell r="G112">
            <v>3.881499794985103E-3</v>
          </cell>
          <cell r="H112">
            <v>0</v>
          </cell>
        </row>
        <row r="113">
          <cell r="F113">
            <v>1.1778929214920546</v>
          </cell>
          <cell r="G113">
            <v>1.5030698232911868</v>
          </cell>
          <cell r="H113">
            <v>0.73297147533175722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5">
          <cell r="F115">
            <v>1.1649253894596705</v>
          </cell>
          <cell r="G115">
            <v>1.0059190530183821</v>
          </cell>
          <cell r="H115">
            <v>1.0059189893307441</v>
          </cell>
        </row>
        <row r="116">
          <cell r="F116">
            <v>4.3703363585002371E-3</v>
          </cell>
          <cell r="G116">
            <v>8.6814021853723778E-4</v>
          </cell>
          <cell r="H116">
            <v>0</v>
          </cell>
        </row>
        <row r="117">
          <cell r="F117">
            <v>2.295173449705902E-3</v>
          </cell>
          <cell r="G117">
            <v>1.213936328535324E-3</v>
          </cell>
          <cell r="H117">
            <v>4.1868263910945527E-4</v>
          </cell>
        </row>
        <row r="118">
          <cell r="F118">
            <v>0</v>
          </cell>
          <cell r="G118">
            <v>0</v>
          </cell>
          <cell r="H118">
            <v>0</v>
          </cell>
        </row>
        <row r="119">
          <cell r="F119">
            <v>2.0299830329338587E-3</v>
          </cell>
          <cell r="G119">
            <v>5.8080339828793202E-3</v>
          </cell>
          <cell r="H119">
            <v>3.305064017802237E-3</v>
          </cell>
        </row>
        <row r="123">
          <cell r="F123">
            <v>10.778309860159956</v>
          </cell>
          <cell r="G123">
            <v>11.356743469737618</v>
          </cell>
          <cell r="H123">
            <v>12.54491257427012</v>
          </cell>
        </row>
      </sheetData>
      <sheetData sheetId="59">
        <row r="13">
          <cell r="F13">
            <v>16.016570410207162</v>
          </cell>
          <cell r="G13">
            <v>16.571865356569432</v>
          </cell>
          <cell r="H13">
            <v>16.93355310109126</v>
          </cell>
        </row>
        <row r="14">
          <cell r="F14">
            <v>190.4978221908589</v>
          </cell>
          <cell r="G14">
            <v>190.48508938193666</v>
          </cell>
          <cell r="H14">
            <v>102.30465951115572</v>
          </cell>
        </row>
        <row r="15">
          <cell r="F15">
            <v>71.44644713286462</v>
          </cell>
          <cell r="G15">
            <v>73.932924658636495</v>
          </cell>
          <cell r="H15">
            <v>74.836056776230464</v>
          </cell>
        </row>
        <row r="16">
          <cell r="F16">
            <v>65.039957519478904</v>
          </cell>
          <cell r="G16">
            <v>64.381689547413231</v>
          </cell>
          <cell r="H16">
            <v>67.134973788047233</v>
          </cell>
        </row>
        <row r="18">
          <cell r="F18">
            <v>1.3501290380991729E-2</v>
          </cell>
          <cell r="G18">
            <v>1.6532247958680444E-2</v>
          </cell>
          <cell r="H18">
            <v>8.9454851575172385E-5</v>
          </cell>
        </row>
        <row r="19">
          <cell r="F19">
            <v>20.95877905990028</v>
          </cell>
          <cell r="G19">
            <v>15.245434958324228</v>
          </cell>
          <cell r="H19">
            <v>2.6942000699260874E-3</v>
          </cell>
        </row>
        <row r="20">
          <cell r="F20">
            <v>0</v>
          </cell>
          <cell r="G20">
            <v>8.4767119408482667</v>
          </cell>
          <cell r="H20">
            <v>27.335344961048065</v>
          </cell>
        </row>
        <row r="21">
          <cell r="F21">
            <v>0</v>
          </cell>
          <cell r="G21">
            <v>1.5407783613488297E-5</v>
          </cell>
          <cell r="H21">
            <v>3.5286443043040963E-3</v>
          </cell>
        </row>
        <row r="22">
          <cell r="F22">
            <v>0</v>
          </cell>
          <cell r="G22">
            <v>1.3126368393952535E-5</v>
          </cell>
          <cell r="H22">
            <v>0.1091429595771123</v>
          </cell>
          <cell r="P22">
            <v>0.38577777570871324</v>
          </cell>
          <cell r="Q22">
            <v>5.5436660659037504E-2</v>
          </cell>
          <cell r="R22">
            <v>0.37238980267806815</v>
          </cell>
        </row>
        <row r="23">
          <cell r="F23">
            <v>0</v>
          </cell>
          <cell r="G23">
            <v>0</v>
          </cell>
          <cell r="H23">
            <v>0</v>
          </cell>
          <cell r="P23">
            <v>8.9335637593435283E-2</v>
          </cell>
          <cell r="Q23">
            <v>3.7261884264635559E-2</v>
          </cell>
          <cell r="R23">
            <v>0.64544120664640414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2.2261486229918463</v>
          </cell>
          <cell r="G25">
            <v>3.0275543759495247</v>
          </cell>
          <cell r="H25">
            <v>3.0872429515970561</v>
          </cell>
        </row>
        <row r="26">
          <cell r="F26">
            <v>40.494210278668049</v>
          </cell>
          <cell r="G26">
            <v>33.9205348767101</v>
          </cell>
          <cell r="H26">
            <v>16.930555791935138</v>
          </cell>
        </row>
        <row r="27">
          <cell r="F27">
            <v>0</v>
          </cell>
          <cell r="G27">
            <v>9.837604912816369</v>
          </cell>
          <cell r="H27">
            <v>27.678375463061275</v>
          </cell>
        </row>
        <row r="28">
          <cell r="F28">
            <v>5.9353934784673462E-3</v>
          </cell>
          <cell r="G28">
            <v>2.3449312091133045E-3</v>
          </cell>
          <cell r="H28">
            <v>5.5299523480618459E-5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6.7345849355015192E-3</v>
          </cell>
          <cell r="H30">
            <v>1.5394382460117513</v>
          </cell>
        </row>
        <row r="31">
          <cell r="F31">
            <v>0</v>
          </cell>
          <cell r="G31">
            <v>4.6360333701303685E-3</v>
          </cell>
          <cell r="H31">
            <v>3.5459972905925428</v>
          </cell>
        </row>
        <row r="32">
          <cell r="F32">
            <v>0</v>
          </cell>
          <cell r="G32">
            <v>9.355645034019755E-3</v>
          </cell>
          <cell r="H32">
            <v>5.9745556469408892E-2</v>
          </cell>
        </row>
        <row r="33">
          <cell r="F33">
            <v>0.88233521255995673</v>
          </cell>
          <cell r="G33">
            <v>0.88260410561218516</v>
          </cell>
          <cell r="H33">
            <v>0.88262366583452356</v>
          </cell>
        </row>
        <row r="34">
          <cell r="F34">
            <v>0.74355195235966853</v>
          </cell>
          <cell r="G34">
            <v>24.638616163709123</v>
          </cell>
          <cell r="H34">
            <v>39.394305368218482</v>
          </cell>
        </row>
        <row r="35">
          <cell r="F35">
            <v>20.470723601034496</v>
          </cell>
          <cell r="G35">
            <v>40.847645049447884</v>
          </cell>
          <cell r="H35">
            <v>46.227829714996609</v>
          </cell>
        </row>
        <row r="36">
          <cell r="F36">
            <v>11.801971479247381</v>
          </cell>
          <cell r="G36">
            <v>12.452168160550869</v>
          </cell>
          <cell r="H36">
            <v>13.862964501541711</v>
          </cell>
        </row>
        <row r="37">
          <cell r="F37">
            <v>5.6945896350343688</v>
          </cell>
          <cell r="G37">
            <v>5.9851416091251242</v>
          </cell>
          <cell r="H37">
            <v>6.6113241760477353</v>
          </cell>
        </row>
        <row r="38">
          <cell r="F38">
            <v>18.815551373147006</v>
          </cell>
          <cell r="G38">
            <v>36.183417636373782</v>
          </cell>
          <cell r="H38">
            <v>39.969006430554472</v>
          </cell>
        </row>
        <row r="39">
          <cell r="F39">
            <v>1.6904032805515756</v>
          </cell>
          <cell r="G39">
            <v>0.28686894372834759</v>
          </cell>
          <cell r="H39">
            <v>2.5882694059377105</v>
          </cell>
        </row>
        <row r="40">
          <cell r="F40">
            <v>0</v>
          </cell>
          <cell r="G40">
            <v>4.1495976395085322E-2</v>
          </cell>
          <cell r="H40">
            <v>1.0757628553193508</v>
          </cell>
        </row>
        <row r="41">
          <cell r="F41">
            <v>0.63379365866745518</v>
          </cell>
          <cell r="G41">
            <v>0</v>
          </cell>
          <cell r="H41">
            <v>0</v>
          </cell>
        </row>
        <row r="42">
          <cell r="F42">
            <v>8.0317865461426816</v>
          </cell>
          <cell r="G42">
            <v>7.0463001119759472</v>
          </cell>
          <cell r="H42">
            <v>6.0346188237104492</v>
          </cell>
        </row>
        <row r="43">
          <cell r="F43">
            <v>0</v>
          </cell>
          <cell r="G43">
            <v>1.7023410826801937</v>
          </cell>
          <cell r="H43">
            <v>4.3896768216553435</v>
          </cell>
        </row>
        <row r="44">
          <cell r="F44">
            <v>1.6461200903139527E-2</v>
          </cell>
          <cell r="G44">
            <v>7.8034094850336841E-3</v>
          </cell>
          <cell r="H44">
            <v>1.5807103647254694E-3</v>
          </cell>
        </row>
        <row r="45">
          <cell r="F45">
            <v>0</v>
          </cell>
          <cell r="G45">
            <v>2.0149248581545454</v>
          </cell>
          <cell r="H45">
            <v>5.7614949944648828</v>
          </cell>
        </row>
        <row r="46">
          <cell r="F46">
            <v>8.5026574929809116E-3</v>
          </cell>
          <cell r="G46">
            <v>0.19057276921228283</v>
          </cell>
          <cell r="H46">
            <v>0.35654680871665034</v>
          </cell>
        </row>
        <row r="47">
          <cell r="B47">
            <v>0</v>
          </cell>
        </row>
        <row r="48">
          <cell r="F48">
            <v>2.0065763877069834E-2</v>
          </cell>
          <cell r="G48">
            <v>4.2413231086620316E-3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1.131705410005767E-2</v>
          </cell>
          <cell r="G50">
            <v>9.9211632950363844E-3</v>
          </cell>
          <cell r="H50">
            <v>4.2951753625910874E-3</v>
          </cell>
        </row>
        <row r="51">
          <cell r="F51">
            <v>3.4838066616023823E-2</v>
          </cell>
          <cell r="G51">
            <v>6.6560942390682908E-3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1.6514965208309913</v>
          </cell>
          <cell r="G53">
            <v>2.0652157711643717</v>
          </cell>
          <cell r="H53">
            <v>0.96768132009029995</v>
          </cell>
        </row>
        <row r="54">
          <cell r="F54">
            <v>3.0028042014910188</v>
          </cell>
          <cell r="G54">
            <v>2.9495790756731139</v>
          </cell>
          <cell r="H54">
            <v>2.8714870700603945</v>
          </cell>
        </row>
        <row r="55">
          <cell r="F55">
            <v>9.847998323131206E-3</v>
          </cell>
          <cell r="G55">
            <v>1.7700211006386757E-3</v>
          </cell>
          <cell r="H55">
            <v>0</v>
          </cell>
        </row>
        <row r="56">
          <cell r="F56">
            <v>5.0430050505984826E-3</v>
          </cell>
          <cell r="G56">
            <v>2.7744701858980177E-3</v>
          </cell>
          <cell r="H56">
            <v>1.0442748893416389E-3</v>
          </cell>
        </row>
        <row r="57">
          <cell r="F57">
            <v>5.7890408116755172E-3</v>
          </cell>
          <cell r="G57">
            <v>1.7083896459854447E-2</v>
          </cell>
          <cell r="H57">
            <v>1.0170783446649255E-2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4.3598260853506883E-2</v>
          </cell>
          <cell r="G63">
            <v>2.7777197675888654E-2</v>
          </cell>
          <cell r="H63">
            <v>0.13499556678468153</v>
          </cell>
        </row>
        <row r="64">
          <cell r="F64">
            <v>7.6359854286181056E-2</v>
          </cell>
          <cell r="G64">
            <v>0.73864308008470858</v>
          </cell>
          <cell r="H64">
            <v>3.2455704243028296</v>
          </cell>
        </row>
        <row r="65">
          <cell r="F65">
            <v>3.6119545736192867E-2</v>
          </cell>
          <cell r="G65">
            <v>0.49336047700715452</v>
          </cell>
          <cell r="H65">
            <v>1.5942298971075759</v>
          </cell>
        </row>
        <row r="66">
          <cell r="F66">
            <v>0.26055620351405295</v>
          </cell>
          <cell r="G66">
            <v>0.35382146524990993</v>
          </cell>
          <cell r="H66">
            <v>0.50084646638491692</v>
          </cell>
        </row>
        <row r="67">
          <cell r="F67">
            <v>0.70205932091416545</v>
          </cell>
          <cell r="G67">
            <v>0.53580918093062335</v>
          </cell>
          <cell r="H67">
            <v>0.76083401415049468</v>
          </cell>
        </row>
        <row r="68">
          <cell r="F68">
            <v>0.13147341425526252</v>
          </cell>
          <cell r="G68">
            <v>9.8338213412362485E-2</v>
          </cell>
          <cell r="H68">
            <v>0.13781948323992044</v>
          </cell>
        </row>
        <row r="69">
          <cell r="F69">
            <v>0.46561629765371187</v>
          </cell>
          <cell r="G69">
            <v>0.75304897423044881</v>
          </cell>
          <cell r="H69">
            <v>0.93947069474747691</v>
          </cell>
        </row>
        <row r="90">
          <cell r="F90">
            <v>0</v>
          </cell>
          <cell r="G90">
            <v>0</v>
          </cell>
          <cell r="H90">
            <v>0</v>
          </cell>
        </row>
        <row r="91">
          <cell r="F91">
            <v>1.1839843476316729</v>
          </cell>
          <cell r="G91">
            <v>1.1839824122982492</v>
          </cell>
          <cell r="H91">
            <v>1.1863319308978408</v>
          </cell>
        </row>
        <row r="92">
          <cell r="F92">
            <v>0.8561642960190613</v>
          </cell>
          <cell r="G92">
            <v>0.84341553264536073</v>
          </cell>
          <cell r="H92">
            <v>0.26170114769672664</v>
          </cell>
        </row>
        <row r="93">
          <cell r="F93">
            <v>5.046052917784203E-5</v>
          </cell>
          <cell r="G93">
            <v>1.353091474190398E-4</v>
          </cell>
          <cell r="H93">
            <v>3.959224567515594E-6</v>
          </cell>
        </row>
        <row r="94">
          <cell r="F94">
            <v>3.3810954139615177</v>
          </cell>
          <cell r="G94">
            <v>2.9709194019179899</v>
          </cell>
          <cell r="H94">
            <v>4.1919305405688023</v>
          </cell>
        </row>
        <row r="95">
          <cell r="F95">
            <v>8.7535207811675442E-5</v>
          </cell>
          <cell r="G95">
            <v>8.7185522891622375E-5</v>
          </cell>
          <cell r="H95">
            <v>8.840705783971122E-5</v>
          </cell>
        </row>
        <row r="96">
          <cell r="F96">
            <v>0</v>
          </cell>
          <cell r="G96">
            <v>1.1918996957867882E-4</v>
          </cell>
          <cell r="H96">
            <v>1.2177742819650863E-4</v>
          </cell>
        </row>
        <row r="97">
          <cell r="F97">
            <v>3.5927699533866511</v>
          </cell>
          <cell r="G97">
            <v>3.7855811565792066</v>
          </cell>
          <cell r="H97">
            <v>4.181637524756713</v>
          </cell>
        </row>
      </sheetData>
      <sheetData sheetId="60">
        <row r="14">
          <cell r="F14">
            <v>2.3634304347363404</v>
          </cell>
          <cell r="G14">
            <v>2.3634304562513426</v>
          </cell>
          <cell r="H14">
            <v>1.3501646407914953</v>
          </cell>
        </row>
        <row r="15">
          <cell r="F15">
            <v>7.4589840857090888</v>
          </cell>
          <cell r="G15">
            <v>7.5971729297686732</v>
          </cell>
          <cell r="H15">
            <v>7.727198967174175</v>
          </cell>
        </row>
        <row r="16">
          <cell r="F16">
            <v>4.9852791408807677</v>
          </cell>
          <cell r="G16">
            <v>5.0155158590742115</v>
          </cell>
          <cell r="H16">
            <v>5.3654743940160623</v>
          </cell>
        </row>
        <row r="17">
          <cell r="F17">
            <v>4.3596226339219717</v>
          </cell>
          <cell r="G17">
            <v>4.3596226907004896</v>
          </cell>
          <cell r="H17">
            <v>4.3596228930077139</v>
          </cell>
        </row>
        <row r="18">
          <cell r="F18">
            <v>4.8365452854785412E-2</v>
          </cell>
          <cell r="G18">
            <v>4.8344611746908968E-2</v>
          </cell>
          <cell r="H18">
            <v>6.1973821693160278E-4</v>
          </cell>
        </row>
        <row r="19">
          <cell r="F19">
            <v>0.27948867630014196</v>
          </cell>
          <cell r="G19">
            <v>0.21747324140433891</v>
          </cell>
          <cell r="H19">
            <v>5.9316316277702175E-5</v>
          </cell>
        </row>
        <row r="20">
          <cell r="F20">
            <v>0</v>
          </cell>
          <cell r="G20">
            <v>0.145645008850045</v>
          </cell>
          <cell r="H20">
            <v>0.34815026076015099</v>
          </cell>
        </row>
        <row r="21">
          <cell r="F21">
            <v>0</v>
          </cell>
          <cell r="G21">
            <v>2.8845410669911799E-6</v>
          </cell>
          <cell r="H21">
            <v>2.3702529270610328E-4</v>
          </cell>
        </row>
        <row r="22">
          <cell r="F22">
            <v>1.6018870632035999E-4</v>
          </cell>
          <cell r="G22">
            <v>6.6688008042689562E-4</v>
          </cell>
          <cell r="H22">
            <v>5.7981494908319955E-2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-3.3222895414472889E-7</v>
          </cell>
          <cell r="G24">
            <v>0</v>
          </cell>
          <cell r="H24">
            <v>0</v>
          </cell>
        </row>
        <row r="25">
          <cell r="F25">
            <v>2.4132787538108179E-2</v>
          </cell>
          <cell r="G25">
            <v>5.9131308600830615E-2</v>
          </cell>
          <cell r="H25">
            <v>0.10358517159927304</v>
          </cell>
        </row>
        <row r="26">
          <cell r="F26">
            <v>6.9925894937452909E-2</v>
          </cell>
          <cell r="G26">
            <v>4.9804456570410036E-2</v>
          </cell>
          <cell r="H26">
            <v>3.7568273795487994E-5</v>
          </cell>
        </row>
        <row r="27">
          <cell r="F27">
            <v>0</v>
          </cell>
          <cell r="G27">
            <v>4.8545978959438803E-2</v>
          </cell>
          <cell r="H27">
            <v>8.1660249380125352E-2</v>
          </cell>
        </row>
        <row r="28">
          <cell r="F28">
            <v>3.7161033721067396E-4</v>
          </cell>
          <cell r="G28">
            <v>1.2433455516291562E-4</v>
          </cell>
          <cell r="H28">
            <v>5.2710446065642209E-5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3.25560663185577E-4</v>
          </cell>
          <cell r="H30">
            <v>6.9399363126039754E-2</v>
          </cell>
        </row>
        <row r="31">
          <cell r="F31">
            <v>0</v>
          </cell>
          <cell r="G31">
            <v>1.32962241455801E-4</v>
          </cell>
          <cell r="H31">
            <v>9.944551406908983E-2</v>
          </cell>
        </row>
        <row r="32">
          <cell r="F32">
            <v>0</v>
          </cell>
          <cell r="G32">
            <v>5.5681694940800602E-5</v>
          </cell>
          <cell r="H32">
            <v>3.557360083840569E-4</v>
          </cell>
        </row>
        <row r="33">
          <cell r="F33">
            <v>0.14669710680475279</v>
          </cell>
          <cell r="G33">
            <v>0.14674203134543268</v>
          </cell>
          <cell r="H33">
            <v>0.14674519968348901</v>
          </cell>
        </row>
        <row r="34">
          <cell r="F34">
            <v>0.14881309110875962</v>
          </cell>
          <cell r="G34">
            <v>7.0370657001361048</v>
          </cell>
          <cell r="H34">
            <v>9.9121832154799385</v>
          </cell>
        </row>
        <row r="35">
          <cell r="F35">
            <v>5.9011141803844005</v>
          </cell>
          <cell r="G35">
            <v>11.775186960472936</v>
          </cell>
          <cell r="H35">
            <v>13.3261370274386</v>
          </cell>
        </row>
        <row r="36">
          <cell r="F36">
            <v>3.4021664059472032</v>
          </cell>
          <cell r="G36">
            <v>3.5895997601636149</v>
          </cell>
          <cell r="H36">
            <v>3.9962902293207803</v>
          </cell>
        </row>
        <row r="37">
          <cell r="F37">
            <v>1.6415863117329179</v>
          </cell>
          <cell r="G37">
            <v>1.725345295350788</v>
          </cell>
          <cell r="H37">
            <v>1.905855200004634</v>
          </cell>
        </row>
        <row r="38">
          <cell r="F38">
            <v>5.4239761980282086</v>
          </cell>
          <cell r="G38">
            <v>10.430626172998588</v>
          </cell>
          <cell r="H38">
            <v>11.521900806760099</v>
          </cell>
        </row>
        <row r="39">
          <cell r="F39">
            <v>2.2729210814015903E-2</v>
          </cell>
          <cell r="G39">
            <v>2.0730138648420417E-2</v>
          </cell>
          <cell r="H39">
            <v>4.7835258431108432E-2</v>
          </cell>
        </row>
        <row r="40">
          <cell r="F40">
            <v>0</v>
          </cell>
          <cell r="G40">
            <v>2.0389690269927E-3</v>
          </cell>
          <cell r="H40">
            <v>3.1460678796899483E-2</v>
          </cell>
        </row>
        <row r="41">
          <cell r="F41">
            <v>1.0847297296829634E-2</v>
          </cell>
          <cell r="G41">
            <v>0</v>
          </cell>
          <cell r="H41">
            <v>0</v>
          </cell>
        </row>
        <row r="42">
          <cell r="F42">
            <v>0.14416708067864337</v>
          </cell>
          <cell r="G42">
            <v>0.11467269784474998</v>
          </cell>
          <cell r="H42">
            <v>0.1029186161570021</v>
          </cell>
        </row>
        <row r="43">
          <cell r="F43">
            <v>0</v>
          </cell>
          <cell r="G43">
            <v>4.2097749493471101E-2</v>
          </cell>
          <cell r="H43">
            <v>6.08495836250788E-2</v>
          </cell>
        </row>
        <row r="44">
          <cell r="F44">
            <v>2.8820480771561425E-4</v>
          </cell>
          <cell r="G44">
            <v>1.2583963673909113E-4</v>
          </cell>
          <cell r="H44">
            <v>4.6442878548690666E-5</v>
          </cell>
        </row>
        <row r="45">
          <cell r="F45">
            <v>0</v>
          </cell>
          <cell r="G45">
            <v>1.1023055378265799E-2</v>
          </cell>
          <cell r="H45">
            <v>3.2740199089976232E-2</v>
          </cell>
        </row>
        <row r="46">
          <cell r="F46">
            <v>3.5386796974438701E-4</v>
          </cell>
          <cell r="G46">
            <v>1.2443119537910712E-2</v>
          </cell>
          <cell r="H46">
            <v>2.1159407123674936E-2</v>
          </cell>
        </row>
        <row r="47">
          <cell r="F47">
            <v>1.4622845346432301E-4</v>
          </cell>
          <cell r="G47">
            <v>1.466886684483198E-4</v>
          </cell>
          <cell r="H47">
            <v>6.6149726314730479E-5</v>
          </cell>
        </row>
        <row r="48">
          <cell r="F48">
            <v>4.3333234901007803E-4</v>
          </cell>
          <cell r="G48">
            <v>1.6206124955023908E-4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2.1831641230041657E-4</v>
          </cell>
          <cell r="G50">
            <v>2.0473859181736884E-4</v>
          </cell>
          <cell r="H50">
            <v>8.8810930277410997E-5</v>
          </cell>
        </row>
        <row r="51">
          <cell r="F51">
            <v>7.192994386642776E-4</v>
          </cell>
          <cell r="G51">
            <v>2.7966009416382457E-4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3.2857473185933142E-2</v>
          </cell>
          <cell r="G53">
            <v>4.1928155985646108E-2</v>
          </cell>
          <cell r="H53">
            <v>2.0446257932479034E-2</v>
          </cell>
        </row>
        <row r="54">
          <cell r="F54">
            <v>8.4745598994727764E-2</v>
          </cell>
          <cell r="G54">
            <v>8.4745202058084834E-2</v>
          </cell>
          <cell r="H54">
            <v>8.4745167897398541E-2</v>
          </cell>
        </row>
        <row r="55">
          <cell r="F55">
            <v>1.8095905792793812E-4</v>
          </cell>
          <cell r="G55">
            <v>9.3617459768800121E-5</v>
          </cell>
          <cell r="H55">
            <v>0</v>
          </cell>
        </row>
        <row r="56">
          <cell r="F56">
            <v>1.1196724711018546E-4</v>
          </cell>
          <cell r="G56">
            <v>9.0898097660053353E-5</v>
          </cell>
          <cell r="H56">
            <v>3.647804533087493E-5</v>
          </cell>
        </row>
        <row r="57">
          <cell r="F57">
            <v>1.7298456395789102E-4</v>
          </cell>
          <cell r="G57">
            <v>5.4110645851876882E-4</v>
          </cell>
          <cell r="H57">
            <v>3.4369026312673629E-4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9.9998765106441165E-2</v>
          </cell>
          <cell r="G63">
            <v>9.9999079603665095E-2</v>
          </cell>
          <cell r="H63">
            <v>9.9999292044936891E-2</v>
          </cell>
        </row>
        <row r="64">
          <cell r="F64">
            <v>1.1842662710487619E-2</v>
          </cell>
          <cell r="G64">
            <v>0.49034720072199767</v>
          </cell>
          <cell r="H64">
            <v>0.93880361062943884</v>
          </cell>
        </row>
        <row r="65">
          <cell r="F65">
            <v>9.6637038464675567E-3</v>
          </cell>
          <cell r="G65">
            <v>0.23802529752427812</v>
          </cell>
          <cell r="H65">
            <v>0.3667298182924103</v>
          </cell>
        </row>
        <row r="66">
          <cell r="F66">
            <v>0.12281823279256507</v>
          </cell>
          <cell r="G66">
            <v>0.25300464325090938</v>
          </cell>
          <cell r="H66">
            <v>0.31465342592632561</v>
          </cell>
        </row>
        <row r="67">
          <cell r="F67">
            <v>0.36051965973872502</v>
          </cell>
          <cell r="G67">
            <v>0.39234610445854989</v>
          </cell>
          <cell r="H67">
            <v>0.48040712980472944</v>
          </cell>
        </row>
        <row r="68">
          <cell r="F68">
            <v>6.0154016857042081E-2</v>
          </cell>
          <cell r="G68">
            <v>6.5312576333812516E-2</v>
          </cell>
          <cell r="H68">
            <v>7.9365852178765989E-2</v>
          </cell>
        </row>
        <row r="69">
          <cell r="F69">
            <v>0.22576916048784709</v>
          </cell>
          <cell r="G69">
            <v>0.47070655849064952</v>
          </cell>
          <cell r="H69">
            <v>0.57755003874686295</v>
          </cell>
        </row>
      </sheetData>
      <sheetData sheetId="61">
        <row r="14">
          <cell r="F14">
            <v>0</v>
          </cell>
          <cell r="G14">
            <v>0</v>
          </cell>
          <cell r="H14">
            <v>0</v>
          </cell>
        </row>
        <row r="15">
          <cell r="F15">
            <v>6.8341092516871999E-7</v>
          </cell>
          <cell r="G15">
            <v>1.1572767895856539E-6</v>
          </cell>
          <cell r="H15">
            <v>0.64007679581262555</v>
          </cell>
        </row>
        <row r="16">
          <cell r="F16">
            <v>7.3361360847337101E-7</v>
          </cell>
          <cell r="G16">
            <v>0.19263814131673282</v>
          </cell>
          <cell r="H16">
            <v>0.32497523079350149</v>
          </cell>
        </row>
        <row r="17">
          <cell r="F17">
            <v>5.8332082944127999E-8</v>
          </cell>
          <cell r="G17">
            <v>1.0151666519380601E-7</v>
          </cell>
          <cell r="H17">
            <v>3.80182141971467E-7</v>
          </cell>
        </row>
        <row r="18">
          <cell r="F18">
            <v>5.3482556721407898E-6</v>
          </cell>
          <cell r="G18">
            <v>1.3036116387635E-6</v>
          </cell>
          <cell r="H18">
            <v>1.3494892113778299E-6</v>
          </cell>
        </row>
        <row r="19">
          <cell r="F19">
            <v>7.5987019849830403E-2</v>
          </cell>
          <cell r="G19">
            <v>3.83039964467169E-8</v>
          </cell>
          <cell r="H19">
            <v>2.4711643836849201E-8</v>
          </cell>
        </row>
        <row r="20">
          <cell r="F20">
            <v>0</v>
          </cell>
          <cell r="G20">
            <v>0.145645008850045</v>
          </cell>
          <cell r="H20">
            <v>0.20250527152733899</v>
          </cell>
        </row>
        <row r="21">
          <cell r="F21">
            <v>0</v>
          </cell>
          <cell r="G21">
            <v>5.9908763094371402E-6</v>
          </cell>
          <cell r="H21">
            <v>3.1241602872401003E-4</v>
          </cell>
        </row>
        <row r="22">
          <cell r="F22">
            <v>6.6518611093171402E-4</v>
          </cell>
          <cell r="G22">
            <v>4.6241700364116003E-6</v>
          </cell>
          <cell r="H22">
            <v>7.7453364645512598E-2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2.35826466064042E-2</v>
          </cell>
          <cell r="G25">
            <v>3.5018328710696399E-2</v>
          </cell>
          <cell r="H25">
            <v>4.9644545210219701E-2</v>
          </cell>
        </row>
        <row r="26">
          <cell r="F26">
            <v>2.53530124579039E-3</v>
          </cell>
          <cell r="G26">
            <v>5.7281402079606202E-6</v>
          </cell>
          <cell r="H26">
            <v>2.6115755727180302E-8</v>
          </cell>
        </row>
        <row r="27">
          <cell r="F27">
            <v>0</v>
          </cell>
          <cell r="G27">
            <v>4.8545978959438803E-2</v>
          </cell>
          <cell r="H27">
            <v>3.3114290046416299E-2</v>
          </cell>
        </row>
        <row r="28">
          <cell r="F28">
            <v>5.1643963503530202E-6</v>
          </cell>
          <cell r="G28">
            <v>1.40328786129412E-5</v>
          </cell>
          <cell r="H28">
            <v>3.5127497914213099E-5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3.25560663185577E-4</v>
          </cell>
          <cell r="H30">
            <v>6.9073859374409394E-2</v>
          </cell>
        </row>
        <row r="31">
          <cell r="F31">
            <v>0</v>
          </cell>
          <cell r="G31">
            <v>2.7614803321836598E-4</v>
          </cell>
          <cell r="H31">
            <v>0.134019210605652</v>
          </cell>
        </row>
        <row r="32">
          <cell r="F32">
            <v>0</v>
          </cell>
          <cell r="G32">
            <v>3.55680010842451E-4</v>
          </cell>
          <cell r="H32">
            <v>1.2781862930717901E-7</v>
          </cell>
        </row>
        <row r="33">
          <cell r="F33">
            <v>2.2900328756947499E-2</v>
          </cell>
          <cell r="G33">
            <v>2.3214853241423302E-6</v>
          </cell>
          <cell r="H33">
            <v>0.12631491737734099</v>
          </cell>
        </row>
        <row r="34">
          <cell r="F34">
            <v>4.2926528539207779E-3</v>
          </cell>
          <cell r="G34">
            <v>6.8882522707357596</v>
          </cell>
          <cell r="H34">
            <v>4.1332976459883355</v>
          </cell>
        </row>
        <row r="35">
          <cell r="F35">
            <v>0.79881058979368103</v>
          </cell>
          <cell r="G35">
            <v>6.5865030238467996</v>
          </cell>
          <cell r="H35">
            <v>5.5511885838961996</v>
          </cell>
        </row>
        <row r="36">
          <cell r="F36">
            <v>0.40045392835102001</v>
          </cell>
          <cell r="G36">
            <v>0.77054379542553197</v>
          </cell>
          <cell r="H36">
            <v>2.3938338401167871</v>
          </cell>
        </row>
        <row r="37">
          <cell r="F37">
            <v>0.16812452421895679</v>
          </cell>
          <cell r="G37">
            <v>0.30875114443163981</v>
          </cell>
          <cell r="H37">
            <v>1.3434707520593978</v>
          </cell>
        </row>
        <row r="38">
          <cell r="F38">
            <v>0.73008036389083797</v>
          </cell>
          <cell r="G38">
            <v>5.4141002821150899</v>
          </cell>
          <cell r="H38">
            <v>4.9889627695677303</v>
          </cell>
        </row>
        <row r="39">
          <cell r="F39">
            <v>2.0723575282906199E-2</v>
          </cell>
          <cell r="G39">
            <v>2.8245632646218058E-7</v>
          </cell>
          <cell r="H39">
            <v>3.1321423321195599E-2</v>
          </cell>
        </row>
        <row r="40">
          <cell r="F40">
            <v>0</v>
          </cell>
          <cell r="G40">
            <v>2.0389690269927E-3</v>
          </cell>
          <cell r="H40">
            <v>2.9421797358413201E-2</v>
          </cell>
        </row>
        <row r="41">
          <cell r="F41">
            <v>0</v>
          </cell>
          <cell r="G41">
            <v>0</v>
          </cell>
          <cell r="H41">
            <v>0</v>
          </cell>
        </row>
        <row r="42">
          <cell r="F42">
            <v>6.03875341073382E-2</v>
          </cell>
          <cell r="G42">
            <v>1.7012352955296298E-2</v>
          </cell>
          <cell r="H42">
            <v>6.5028703370606594E-2</v>
          </cell>
        </row>
        <row r="43">
          <cell r="F43">
            <v>0</v>
          </cell>
          <cell r="G43">
            <v>4.2097749493471101E-2</v>
          </cell>
          <cell r="H43">
            <v>3.0297835537944202E-2</v>
          </cell>
        </row>
        <row r="44">
          <cell r="F44">
            <v>2.7403149525916598E-7</v>
          </cell>
          <cell r="G44">
            <v>8.8860820876413595E-8</v>
          </cell>
          <cell r="H44">
            <v>2.8375003648007298E-8</v>
          </cell>
        </row>
        <row r="45">
          <cell r="F45">
            <v>0</v>
          </cell>
          <cell r="G45">
            <v>1.1023055378265799E-2</v>
          </cell>
          <cell r="H45">
            <v>2.17171631871125E-2</v>
          </cell>
        </row>
        <row r="46">
          <cell r="F46">
            <v>3.5386796974438701E-4</v>
          </cell>
          <cell r="G46">
            <v>1.2089291899522601E-2</v>
          </cell>
          <cell r="H46">
            <v>1.2236225311259201E-2</v>
          </cell>
        </row>
        <row r="47">
          <cell r="F47">
            <v>1.4622845346432301E-4</v>
          </cell>
          <cell r="G47">
            <v>5.1306074034462795E-7</v>
          </cell>
          <cell r="H47">
            <v>4.0070880700940701E-6</v>
          </cell>
        </row>
        <row r="48">
          <cell r="F48">
            <v>0</v>
          </cell>
          <cell r="G48">
            <v>0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1.3742686328993621E-4</v>
          </cell>
          <cell r="G50">
            <v>1.2130228617588481E-5</v>
          </cell>
          <cell r="H50">
            <v>2.1934002953850381E-5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3.2670346537051601E-2</v>
          </cell>
          <cell r="G53">
            <v>9.1301232521368795E-3</v>
          </cell>
          <cell r="H53">
            <v>9.9770636839194714E-7</v>
          </cell>
        </row>
        <row r="54">
          <cell r="F54">
            <v>4.4082179536554397E-2</v>
          </cell>
          <cell r="G54">
            <v>3.1152743490741E-2</v>
          </cell>
          <cell r="H54">
            <v>4.3490160783926597E-2</v>
          </cell>
        </row>
        <row r="55">
          <cell r="F55">
            <v>0</v>
          </cell>
          <cell r="G55">
            <v>0</v>
          </cell>
          <cell r="H55">
            <v>0</v>
          </cell>
        </row>
        <row r="56">
          <cell r="F56">
            <v>4.4005878832685901E-5</v>
          </cell>
          <cell r="G56">
            <v>6.0783629911085003E-7</v>
          </cell>
          <cell r="H56">
            <v>1.7504769638055398E-5</v>
          </cell>
        </row>
        <row r="57">
          <cell r="F57">
            <v>1.5241893780419999E-5</v>
          </cell>
          <cell r="G57">
            <v>4.1816760460922802E-4</v>
          </cell>
          <cell r="H57">
            <v>3.3830802431611798E-5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3.8780720807208702E-7</v>
          </cell>
          <cell r="G63">
            <v>5.6165605951999904E-7</v>
          </cell>
          <cell r="H63">
            <v>3.9523351029878701E-7</v>
          </cell>
        </row>
        <row r="64">
          <cell r="F64">
            <v>3.7987237880243402E-3</v>
          </cell>
          <cell r="G64">
            <v>0.48565681196602201</v>
          </cell>
          <cell r="H64">
            <v>0.69457793314307703</v>
          </cell>
        </row>
        <row r="65">
          <cell r="F65">
            <v>3.3570997984470798E-3</v>
          </cell>
          <cell r="G65">
            <v>0.23387636428665701</v>
          </cell>
          <cell r="H65">
            <v>0.248850775954643</v>
          </cell>
        </row>
        <row r="66">
          <cell r="F66">
            <v>4.3584944510052799E-2</v>
          </cell>
          <cell r="G66">
            <v>0.20165515228995701</v>
          </cell>
          <cell r="H66">
            <v>0.205873841300206</v>
          </cell>
        </row>
        <row r="67">
          <cell r="F67">
            <v>9.215749812679E-2</v>
          </cell>
          <cell r="G67">
            <v>0.26421070033736505</v>
          </cell>
          <cell r="H67">
            <v>0.33173187886469802</v>
          </cell>
        </row>
        <row r="68">
          <cell r="F68">
            <v>2.35664063162562E-2</v>
          </cell>
          <cell r="G68">
            <v>3.86673917684663E-2</v>
          </cell>
          <cell r="H68">
            <v>5.5838720790906904E-2</v>
          </cell>
        </row>
        <row r="69">
          <cell r="F69">
            <v>7.8274890204738795E-2</v>
          </cell>
          <cell r="G69">
            <v>0.37753193183654599</v>
          </cell>
          <cell r="H69">
            <v>0.37447962756245901</v>
          </cell>
        </row>
      </sheetData>
      <sheetData sheetId="62"/>
      <sheetData sheetId="63"/>
      <sheetData sheetId="64"/>
      <sheetData sheetId="65"/>
      <sheetData sheetId="66">
        <row r="72">
          <cell r="F72">
            <v>0</v>
          </cell>
          <cell r="G72">
            <v>0</v>
          </cell>
          <cell r="H72">
            <v>0</v>
          </cell>
        </row>
        <row r="157">
          <cell r="F157">
            <v>0</v>
          </cell>
          <cell r="G157">
            <v>0</v>
          </cell>
          <cell r="H157">
            <v>8.2889433045806407E-4</v>
          </cell>
        </row>
      </sheetData>
      <sheetData sheetId="67">
        <row r="5">
          <cell r="F5">
            <v>2.1664806761055246E-3</v>
          </cell>
          <cell r="G5">
            <v>1.5813047881184455E-2</v>
          </cell>
          <cell r="H5">
            <v>1.4302264035466878E-2</v>
          </cell>
        </row>
        <row r="12">
          <cell r="F12">
            <v>1.0520613852214823E-4</v>
          </cell>
          <cell r="G12">
            <v>2.4832819934203124E-4</v>
          </cell>
          <cell r="H12">
            <v>1.2548948481258884E-4</v>
          </cell>
        </row>
        <row r="19">
          <cell r="F19">
            <v>4.3847660007064286</v>
          </cell>
          <cell r="G19">
            <v>5.1162530791975387</v>
          </cell>
          <cell r="H19">
            <v>5.116255919253069</v>
          </cell>
        </row>
        <row r="20">
          <cell r="F20">
            <v>7.6579787332932767</v>
          </cell>
          <cell r="G20">
            <v>8.50926682904222</v>
          </cell>
          <cell r="H20">
            <v>9.9632058264866004</v>
          </cell>
        </row>
        <row r="21">
          <cell r="F21">
            <v>2.4517293203261216E-4</v>
          </cell>
          <cell r="G21">
            <v>1.0722141247916372E-3</v>
          </cell>
          <cell r="H21">
            <v>1.0791418471893977E-3</v>
          </cell>
        </row>
        <row r="28">
          <cell r="F28">
            <v>9.0290666329689664</v>
          </cell>
          <cell r="G28">
            <v>35.912388614711325</v>
          </cell>
          <cell r="H28">
            <v>40.120481976316015</v>
          </cell>
        </row>
        <row r="29">
          <cell r="F29">
            <v>0</v>
          </cell>
          <cell r="G29">
            <v>0</v>
          </cell>
          <cell r="H29">
            <v>4.1480291607165216E-4</v>
          </cell>
        </row>
        <row r="30">
          <cell r="F30">
            <v>0</v>
          </cell>
          <cell r="G30">
            <v>0</v>
          </cell>
          <cell r="H30">
            <v>1.9533970368785386E-4</v>
          </cell>
        </row>
        <row r="31">
          <cell r="F31">
            <v>0.76145626056140103</v>
          </cell>
          <cell r="G31">
            <v>1.4448946934633879</v>
          </cell>
          <cell r="H31">
            <v>1.1496342736418388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8">
          <cell r="F38">
            <v>5.8961147794228221</v>
          </cell>
          <cell r="G38">
            <v>7.6390478236157895</v>
          </cell>
          <cell r="H38">
            <v>8.1099428275736809</v>
          </cell>
        </row>
        <row r="39">
          <cell r="F39">
            <v>5.3810923887519708</v>
          </cell>
          <cell r="G39">
            <v>6.9717811879156084</v>
          </cell>
          <cell r="H39">
            <v>7.401543771666935</v>
          </cell>
        </row>
      </sheetData>
      <sheetData sheetId="68">
        <row r="3">
          <cell r="F3">
            <v>54.429720449081501</v>
          </cell>
          <cell r="G3">
            <v>54.96614912892057</v>
          </cell>
          <cell r="H3">
            <v>56.37025323780594</v>
          </cell>
        </row>
        <row r="6">
          <cell r="F6">
            <v>2.1228712535490639</v>
          </cell>
          <cell r="G6">
            <v>6.7754279085566944</v>
          </cell>
          <cell r="H6">
            <v>6.8980990987745079</v>
          </cell>
        </row>
        <row r="11">
          <cell r="F11">
            <v>76.943504966613489</v>
          </cell>
          <cell r="G11">
            <v>77.091572996147221</v>
          </cell>
          <cell r="H11">
            <v>81.017603802011521</v>
          </cell>
        </row>
        <row r="18">
          <cell r="F18">
            <v>2.2535582696409798E-3</v>
          </cell>
          <cell r="G18">
            <v>2.5928858867473818E-4</v>
          </cell>
          <cell r="H18">
            <v>0</v>
          </cell>
        </row>
        <row r="19">
          <cell r="F19">
            <v>15.292830291808189</v>
          </cell>
          <cell r="G19">
            <v>14.799946240816237</v>
          </cell>
          <cell r="H19">
            <v>19.798164391651166</v>
          </cell>
        </row>
        <row r="21">
          <cell r="F21">
            <v>10.778408715402861</v>
          </cell>
          <cell r="G21">
            <v>9.548300316296686</v>
          </cell>
          <cell r="H21">
            <v>5.9487851698123251</v>
          </cell>
        </row>
        <row r="22">
          <cell r="F22">
            <v>0.20078389623332407</v>
          </cell>
          <cell r="G22">
            <v>0.21585120668769051</v>
          </cell>
          <cell r="H22">
            <v>0.15953850977105005</v>
          </cell>
        </row>
        <row r="23">
          <cell r="F23">
            <v>10.060963226984221</v>
          </cell>
          <cell r="G23">
            <v>11.462520832922772</v>
          </cell>
          <cell r="H23">
            <v>11.287566623340599</v>
          </cell>
        </row>
        <row r="24">
          <cell r="F24">
            <v>4.2658654336887958</v>
          </cell>
          <cell r="G24">
            <v>6.0302344621027713</v>
          </cell>
          <cell r="H24">
            <v>7.8169489000972945</v>
          </cell>
        </row>
        <row r="33">
          <cell r="F33">
            <v>22.883142368662845</v>
          </cell>
          <cell r="G33">
            <v>23.564273101614944</v>
          </cell>
          <cell r="H33">
            <v>24.108876830206874</v>
          </cell>
        </row>
        <row r="34">
          <cell r="F34">
            <v>5.4232659827633913</v>
          </cell>
          <cell r="G34">
            <v>3.1926810623212152</v>
          </cell>
          <cell r="H34">
            <v>4.1903791360996749E-6</v>
          </cell>
        </row>
        <row r="35">
          <cell r="F35">
            <v>3.2274383858308543E-3</v>
          </cell>
          <cell r="G35">
            <v>2.5656517792245687E-4</v>
          </cell>
          <cell r="H35">
            <v>0</v>
          </cell>
        </row>
        <row r="36">
          <cell r="F36">
            <v>0.12571792093159653</v>
          </cell>
          <cell r="G36">
            <v>0.14007770733574174</v>
          </cell>
          <cell r="H36">
            <v>0.25346918105827698</v>
          </cell>
        </row>
        <row r="37">
          <cell r="F37">
            <v>8.2255501708004797</v>
          </cell>
          <cell r="G37">
            <v>3.0854303904475602</v>
          </cell>
          <cell r="H37">
            <v>0.44378335573491784</v>
          </cell>
        </row>
        <row r="38">
          <cell r="F38">
            <v>1.9668039487821922</v>
          </cell>
          <cell r="G38">
            <v>2.1650343807333359</v>
          </cell>
          <cell r="H38">
            <v>0.73295120565555782</v>
          </cell>
        </row>
        <row r="39">
          <cell r="F39">
            <v>3.2308088950196003</v>
          </cell>
          <cell r="G39">
            <v>3.2308108102816564</v>
          </cell>
          <cell r="H39">
            <v>4.3332886279920011</v>
          </cell>
        </row>
        <row r="55">
          <cell r="F55">
            <v>17.765730998459905</v>
          </cell>
          <cell r="G55">
            <v>17.765730373832334</v>
          </cell>
          <cell r="H55">
            <v>17.765730562674278</v>
          </cell>
        </row>
        <row r="56">
          <cell r="F56">
            <v>6.1471607041225944</v>
          </cell>
          <cell r="G56">
            <v>8.6207100397017751</v>
          </cell>
          <cell r="H56">
            <v>11.007774364989604</v>
          </cell>
        </row>
        <row r="57">
          <cell r="F57">
            <v>4.3664692580746856</v>
          </cell>
          <cell r="G57">
            <v>2.6330116262399117</v>
          </cell>
          <cell r="H57">
            <v>0.20184805276736506</v>
          </cell>
        </row>
        <row r="58">
          <cell r="F58">
            <v>2.2529537082090533E-3</v>
          </cell>
          <cell r="G58">
            <v>1.8097466237705293E-4</v>
          </cell>
          <cell r="H58">
            <v>0</v>
          </cell>
        </row>
        <row r="59">
          <cell r="F59">
            <v>8.4997951749818732</v>
          </cell>
          <cell r="G59">
            <v>4.394625555443584</v>
          </cell>
          <cell r="H59">
            <v>0.98904602305450795</v>
          </cell>
        </row>
        <row r="60">
          <cell r="F60">
            <v>2.7718820702345615E-3</v>
          </cell>
          <cell r="G60">
            <v>2.0214569220790737E-3</v>
          </cell>
          <cell r="H60">
            <v>8.6033821846326418E-4</v>
          </cell>
        </row>
        <row r="61">
          <cell r="F61">
            <v>1.5155179363335587E-3</v>
          </cell>
          <cell r="G61">
            <v>1.7501979735544851E-4</v>
          </cell>
          <cell r="H61">
            <v>0</v>
          </cell>
        </row>
        <row r="62">
          <cell r="F62">
            <v>7.1989240916957984</v>
          </cell>
          <cell r="G62">
            <v>6.7733242764264876</v>
          </cell>
          <cell r="H62">
            <v>9.3562693176916767</v>
          </cell>
        </row>
        <row r="63">
          <cell r="F63">
            <v>7.1660446990794062</v>
          </cell>
          <cell r="G63">
            <v>7.2037549698897054</v>
          </cell>
          <cell r="H63">
            <v>8.7048094863922021</v>
          </cell>
        </row>
        <row r="64">
          <cell r="F64">
            <v>7.7152939025494334</v>
          </cell>
          <cell r="G64">
            <v>7.9689619959703775</v>
          </cell>
          <cell r="H64">
            <v>9.2290402064229244</v>
          </cell>
        </row>
        <row r="65">
          <cell r="F65">
            <v>0.54480481572638817</v>
          </cell>
          <cell r="G65">
            <v>0.54480636721956943</v>
          </cell>
          <cell r="H65">
            <v>0.54481110074958505</v>
          </cell>
        </row>
        <row r="66">
          <cell r="F66">
            <v>5.6909998017327075</v>
          </cell>
          <cell r="G66">
            <v>5.0415025670046552</v>
          </cell>
          <cell r="H66">
            <v>3.2361391323779065</v>
          </cell>
        </row>
        <row r="67">
          <cell r="F67">
            <v>0.20078389623332407</v>
          </cell>
          <cell r="G67">
            <v>0.21585120668769051</v>
          </cell>
          <cell r="H67">
            <v>0.15953850977105005</v>
          </cell>
        </row>
        <row r="68">
          <cell r="F68">
            <v>2.297105124358934</v>
          </cell>
          <cell r="G68">
            <v>2.2971064861102581</v>
          </cell>
          <cell r="H68">
            <v>3.1199678121542407</v>
          </cell>
        </row>
        <row r="69">
          <cell r="F69">
            <v>7.8756856738948766</v>
          </cell>
          <cell r="G69">
            <v>9.1365128084854348</v>
          </cell>
          <cell r="H69">
            <v>9.1365193025439027</v>
          </cell>
        </row>
        <row r="70">
          <cell r="F70">
            <v>1.7535576420815513</v>
          </cell>
          <cell r="G70">
            <v>5.3364498830360096</v>
          </cell>
          <cell r="H70">
            <v>5.4109335928279885</v>
          </cell>
        </row>
        <row r="71">
          <cell r="F71">
            <v>77.22889613670624</v>
          </cell>
          <cell r="G71">
            <v>77.934725607429613</v>
          </cell>
          <cell r="H71">
            <v>78.863287802635696</v>
          </cell>
        </row>
      </sheetData>
      <sheetData sheetId="69">
        <row r="3">
          <cell r="F3">
            <v>53.975174693225767</v>
          </cell>
          <cell r="G3">
            <v>52.172427012949989</v>
          </cell>
          <cell r="H3">
            <v>48.260729349149912</v>
          </cell>
        </row>
        <row r="6">
          <cell r="F6">
            <v>6.9857399004096115</v>
          </cell>
          <cell r="G6">
            <v>9.1855833413746932</v>
          </cell>
          <cell r="H6">
            <v>13.860813083872962</v>
          </cell>
        </row>
        <row r="11">
          <cell r="F11">
            <v>57.942702003982163</v>
          </cell>
          <cell r="G11">
            <v>57.038141675572668</v>
          </cell>
          <cell r="H11">
            <v>53.355906948917948</v>
          </cell>
        </row>
        <row r="12">
          <cell r="F12">
            <v>11.150568518180059</v>
          </cell>
          <cell r="G12">
            <v>5.4343867612359684</v>
          </cell>
          <cell r="H12">
            <v>4.2200765453353306E-6</v>
          </cell>
        </row>
        <row r="13">
          <cell r="F13">
            <v>5.2958283996308207E-4</v>
          </cell>
          <cell r="G13">
            <v>3.5343363160591379E-4</v>
          </cell>
          <cell r="H13">
            <v>0.42233728424297035</v>
          </cell>
        </row>
        <row r="14">
          <cell r="F14">
            <v>14.268350734104002</v>
          </cell>
          <cell r="G14">
            <v>9.6169856542563448</v>
          </cell>
          <cell r="H14">
            <v>5.1545189710275912</v>
          </cell>
        </row>
        <row r="15">
          <cell r="F15">
            <v>1.1923414385084512</v>
          </cell>
          <cell r="G15">
            <v>1.6204083852982982</v>
          </cell>
          <cell r="H15">
            <v>2.0496828195751085</v>
          </cell>
        </row>
        <row r="16">
          <cell r="F16">
            <v>0</v>
          </cell>
          <cell r="G16">
            <v>0</v>
          </cell>
          <cell r="H16">
            <v>0</v>
          </cell>
        </row>
        <row r="17">
          <cell r="F17">
            <v>8.3305128583547994</v>
          </cell>
          <cell r="G17">
            <v>9.2532925490753133</v>
          </cell>
          <cell r="H17">
            <v>8.9440161566935714</v>
          </cell>
        </row>
        <row r="19">
          <cell r="F19">
            <v>0.66055031787157714</v>
          </cell>
          <cell r="G19">
            <v>0.73653508444957427</v>
          </cell>
          <cell r="H19">
            <v>0.77782081985134044</v>
          </cell>
        </row>
        <row r="20">
          <cell r="F20">
            <v>1.9583241365380183E-3</v>
          </cell>
          <cell r="G20">
            <v>4.4792914345275214E-3</v>
          </cell>
          <cell r="H20">
            <v>2.1562756521034442E-3</v>
          </cell>
        </row>
        <row r="21">
          <cell r="F21">
            <v>12.579572402420759</v>
          </cell>
          <cell r="G21">
            <v>17.233080017417009</v>
          </cell>
          <cell r="H21">
            <v>20.113428914269175</v>
          </cell>
        </row>
        <row r="28">
          <cell r="F28">
            <v>3.9675273107563949</v>
          </cell>
          <cell r="G28">
            <v>4.8657146626226844</v>
          </cell>
          <cell r="H28">
            <v>5.0951775997680295</v>
          </cell>
        </row>
        <row r="47">
          <cell r="F47">
            <v>11.580822489780838</v>
          </cell>
          <cell r="G47">
            <v>15.846857842440322</v>
          </cell>
          <cell r="H47">
            <v>18.489072622326635</v>
          </cell>
        </row>
        <row r="48">
          <cell r="F48">
            <v>9.1300379123505788</v>
          </cell>
          <cell r="G48">
            <v>4.449730741618863</v>
          </cell>
          <cell r="H48">
            <v>0.34579499807679331</v>
          </cell>
        </row>
        <row r="49">
          <cell r="F49">
            <v>9.7648021526750206</v>
          </cell>
          <cell r="G49">
            <v>5.1984335180937942</v>
          </cell>
          <cell r="H49">
            <v>1.9491682428326229</v>
          </cell>
        </row>
        <row r="50">
          <cell r="F50">
            <v>8.6335088645678297</v>
          </cell>
          <cell r="G50">
            <v>11.067656580475422</v>
          </cell>
          <cell r="H50">
            <v>11.379135290823353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6.8699770515235112</v>
          </cell>
          <cell r="G52">
            <v>7.630971651334244</v>
          </cell>
          <cell r="H52">
            <v>7.375918720696288</v>
          </cell>
        </row>
        <row r="53">
          <cell r="F53">
            <v>5.7276299036326481</v>
          </cell>
          <cell r="G53">
            <v>4.8630174472014165</v>
          </cell>
          <cell r="H53">
            <v>3.3475290117803804</v>
          </cell>
        </row>
        <row r="54">
          <cell r="F54">
            <v>0.5506454800835362</v>
          </cell>
          <cell r="G54">
            <v>0.71173507512877876</v>
          </cell>
          <cell r="H54">
            <v>0.73428263939063332</v>
          </cell>
        </row>
        <row r="55">
          <cell r="F55">
            <v>0.66055031787157714</v>
          </cell>
          <cell r="G55">
            <v>0.73653508444957427</v>
          </cell>
          <cell r="H55">
            <v>0.77782081985134044</v>
          </cell>
        </row>
        <row r="56">
          <cell r="F56">
            <v>0</v>
          </cell>
          <cell r="G56">
            <v>0</v>
          </cell>
          <cell r="H56">
            <v>0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6.9857399004096115</v>
          </cell>
          <cell r="G58">
            <v>9.1855833413746932</v>
          </cell>
          <cell r="H58">
            <v>13.860813083872962</v>
          </cell>
        </row>
        <row r="59">
          <cell r="F59">
            <v>60.169517990585135</v>
          </cell>
          <cell r="G59">
            <v>59.908816699778377</v>
          </cell>
          <cell r="H59">
            <v>58.417701362997803</v>
          </cell>
        </row>
      </sheetData>
      <sheetData sheetId="70">
        <row r="3">
          <cell r="F3">
            <v>45.902996091456217</v>
          </cell>
          <cell r="G3">
            <v>44.394967399650483</v>
          </cell>
          <cell r="H3">
            <v>40.795408633364488</v>
          </cell>
        </row>
        <row r="10">
          <cell r="F10">
            <v>15.515325227145388</v>
          </cell>
          <cell r="G10">
            <v>20.11552335700982</v>
          </cell>
          <cell r="H10">
            <v>29.844853045952206</v>
          </cell>
        </row>
        <row r="15">
          <cell r="F15">
            <v>67.873429457080761</v>
          </cell>
          <cell r="G15">
            <v>67.905763552450253</v>
          </cell>
          <cell r="H15">
            <v>62.866157734121785</v>
          </cell>
        </row>
        <row r="16">
          <cell r="F16">
            <v>15.6053647888124</v>
          </cell>
          <cell r="G16">
            <v>5.9870109760499712</v>
          </cell>
          <cell r="H16">
            <v>5.1024805550446646E-6</v>
          </cell>
        </row>
        <row r="17">
          <cell r="F17">
            <v>5.3009954974458375E-4</v>
          </cell>
          <cell r="G17">
            <v>3.547193011138348E-4</v>
          </cell>
          <cell r="H17">
            <v>0.57737058770584981</v>
          </cell>
        </row>
        <row r="18">
          <cell r="F18">
            <v>28.483408926064261</v>
          </cell>
          <cell r="G18">
            <v>18.82148201865002</v>
          </cell>
          <cell r="H18">
            <v>11.986672714353565</v>
          </cell>
        </row>
        <row r="19">
          <cell r="F19">
            <v>1.8143626712608718</v>
          </cell>
          <cell r="G19">
            <v>2.97275426136353</v>
          </cell>
          <cell r="H19">
            <v>2.8444361555508966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11.839977144584312</v>
          </cell>
          <cell r="G21">
            <v>12.813273505775591</v>
          </cell>
          <cell r="H21">
            <v>12.475280153248592</v>
          </cell>
        </row>
        <row r="22">
          <cell r="F22">
            <v>13.524122460645019</v>
          </cell>
          <cell r="G22">
            <v>11.462811145601199</v>
          </cell>
          <cell r="H22">
            <v>6.9204655166348941</v>
          </cell>
        </row>
        <row r="23">
          <cell r="F23">
            <v>1.1577151700693655</v>
          </cell>
          <cell r="G23">
            <v>1.2422166447145679</v>
          </cell>
          <cell r="H23">
            <v>1.2294294726438126</v>
          </cell>
        </row>
        <row r="24">
          <cell r="F24">
            <v>3.3955770255704354E-3</v>
          </cell>
          <cell r="G24">
            <v>1.2247896999121138E-2</v>
          </cell>
          <cell r="H24">
            <v>7.7551566152883637E-3</v>
          </cell>
        </row>
        <row r="25">
          <cell r="F25">
            <v>50.36977820118193</v>
          </cell>
          <cell r="G25">
            <v>60.67274795958717</v>
          </cell>
          <cell r="H25">
            <v>65.317772122091512</v>
          </cell>
        </row>
        <row r="26">
          <cell r="F26">
            <v>190.67208449627424</v>
          </cell>
          <cell r="G26">
            <v>181.89066268049254</v>
          </cell>
          <cell r="H26">
            <v>164.22534471544674</v>
          </cell>
        </row>
        <row r="102">
          <cell r="F102">
            <v>3.0132207029568706E-2</v>
          </cell>
          <cell r="G102">
            <v>1.9733083519179129E-2</v>
          </cell>
          <cell r="H102">
            <v>1.6744693018244015E-2</v>
          </cell>
        </row>
        <row r="104">
          <cell r="F104">
            <v>47.763724633773833</v>
          </cell>
          <cell r="G104">
            <v>54.46691635091728</v>
          </cell>
          <cell r="H104">
            <v>54.640923842070606</v>
          </cell>
        </row>
        <row r="105">
          <cell r="F105">
            <v>11.280621507637852</v>
          </cell>
          <cell r="G105">
            <v>4.0729943868941358</v>
          </cell>
          <cell r="H105">
            <v>0.4164693563231352</v>
          </cell>
        </row>
        <row r="106">
          <cell r="F106">
            <v>14.564586274011337</v>
          </cell>
          <cell r="G106">
            <v>6.3349159995660802</v>
          </cell>
          <cell r="H106">
            <v>2.4178079891757323</v>
          </cell>
        </row>
        <row r="107">
          <cell r="F107">
            <v>16.884830195680053</v>
          </cell>
          <cell r="G107">
            <v>20.270059964837646</v>
          </cell>
          <cell r="H107">
            <v>18.961373076317798</v>
          </cell>
        </row>
        <row r="108">
          <cell r="F108">
            <v>0</v>
          </cell>
          <cell r="G108">
            <v>0</v>
          </cell>
          <cell r="H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</row>
        <row r="110">
          <cell r="F110">
            <v>7.9181095786993341</v>
          </cell>
          <cell r="G110">
            <v>8.3960568188864517</v>
          </cell>
          <cell r="H110">
            <v>7.8586451889061699</v>
          </cell>
        </row>
        <row r="111">
          <cell r="F111">
            <v>7.5548061705878267</v>
          </cell>
          <cell r="G111">
            <v>6.1772480905988845</v>
          </cell>
          <cell r="H111">
            <v>3.5311680872274032</v>
          </cell>
        </row>
        <row r="112">
          <cell r="F112">
            <v>0.41287657719705312</v>
          </cell>
          <cell r="G112">
            <v>0.44134273794389389</v>
          </cell>
          <cell r="H112">
            <v>0.36609861555396311</v>
          </cell>
        </row>
        <row r="113">
          <cell r="F113">
            <v>3.439566950903844E-2</v>
          </cell>
          <cell r="G113">
            <v>3.3153127190014113E-2</v>
          </cell>
          <cell r="H113">
            <v>2.9423226542176523E-2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6">
          <cell r="F116">
            <v>121.95940804127127</v>
          </cell>
          <cell r="G116">
            <v>120.32794391736338</v>
          </cell>
          <cell r="H116">
            <v>118.08350712108744</v>
          </cell>
        </row>
        <row r="223">
          <cell r="F223">
            <v>0</v>
          </cell>
          <cell r="G223">
            <v>0</v>
          </cell>
          <cell r="H223">
            <v>0</v>
          </cell>
        </row>
        <row r="224">
          <cell r="F224">
            <v>24.081521840081333</v>
          </cell>
          <cell r="G224">
            <v>26.685348212573693</v>
          </cell>
          <cell r="H224">
            <v>28.406811573729247</v>
          </cell>
        </row>
        <row r="231">
          <cell r="F231">
            <v>1.8900827776018496</v>
          </cell>
          <cell r="G231">
            <v>1.741193359760727</v>
          </cell>
          <cell r="H231">
            <v>1.5717999797884485</v>
          </cell>
        </row>
        <row r="233">
          <cell r="F233">
            <v>57.575387935560848</v>
          </cell>
          <cell r="G233">
            <v>66.992236002150875</v>
          </cell>
          <cell r="H233">
            <v>69.909738400766855</v>
          </cell>
        </row>
        <row r="234">
          <cell r="F234">
            <v>12.737965178022016</v>
          </cell>
          <cell r="G234">
            <v>4.806434135078522</v>
          </cell>
          <cell r="H234">
            <v>0.47451468638247946</v>
          </cell>
        </row>
        <row r="235">
          <cell r="F235">
            <v>16.943085885055101</v>
          </cell>
          <cell r="G235">
            <v>7.7613924724362207</v>
          </cell>
          <cell r="H235">
            <v>3.0545948028254815</v>
          </cell>
        </row>
        <row r="236">
          <cell r="F236">
            <v>21.454607198063449</v>
          </cell>
          <cell r="G236">
            <v>26.236157467234566</v>
          </cell>
          <cell r="H236">
            <v>25.607368128237976</v>
          </cell>
        </row>
        <row r="238">
          <cell r="F238">
            <v>0</v>
          </cell>
          <cell r="G238">
            <v>0</v>
          </cell>
          <cell r="H238">
            <v>0</v>
          </cell>
        </row>
        <row r="239">
          <cell r="F239">
            <v>9.6093648992029035</v>
          </cell>
          <cell r="G239">
            <v>10.363876215806634</v>
          </cell>
          <cell r="H239">
            <v>10.032567980257303</v>
          </cell>
        </row>
        <row r="240">
          <cell r="F240">
            <v>8.6295898063821053</v>
          </cell>
          <cell r="G240">
            <v>7.1795630188852932</v>
          </cell>
          <cell r="H240">
            <v>4.2655847341742383</v>
          </cell>
        </row>
        <row r="241">
          <cell r="F241">
            <v>0.52780580424959156</v>
          </cell>
          <cell r="G241">
            <v>0.57469945685985424</v>
          </cell>
          <cell r="H241">
            <v>0.4998674637878795</v>
          </cell>
        </row>
        <row r="242">
          <cell r="F242">
            <v>1.1577151700693655</v>
          </cell>
          <cell r="G242">
            <v>1.2422166447145679</v>
          </cell>
          <cell r="H242">
            <v>1.2294294726438126</v>
          </cell>
        </row>
        <row r="243">
          <cell r="F243">
            <v>0</v>
          </cell>
          <cell r="G243">
            <v>0</v>
          </cell>
          <cell r="H243">
            <v>0</v>
          </cell>
        </row>
        <row r="244">
          <cell r="F244">
            <v>15.515325227145388</v>
          </cell>
          <cell r="G244">
            <v>20.11552335700982</v>
          </cell>
          <cell r="H244">
            <v>29.844853045952206</v>
          </cell>
        </row>
        <row r="245">
          <cell r="F245">
            <v>146.04092988135261</v>
          </cell>
          <cell r="G245">
            <v>147.0132921299371</v>
          </cell>
          <cell r="H245">
            <v>146.49031869481666</v>
          </cell>
        </row>
      </sheetData>
      <sheetData sheetId="71">
        <row r="21">
          <cell r="F21">
            <v>16.823907388489097</v>
          </cell>
          <cell r="G21">
            <v>4.7766448632915619</v>
          </cell>
          <cell r="H21">
            <v>0.8285213177123415</v>
          </cell>
        </row>
        <row r="22">
          <cell r="F22">
            <v>31.907548864236876</v>
          </cell>
          <cell r="G22">
            <v>14.528840613573337</v>
          </cell>
          <cell r="H22">
            <v>1.3014473839710525</v>
          </cell>
        </row>
        <row r="23">
          <cell r="F23">
            <v>2.5489864732644061</v>
          </cell>
          <cell r="G23">
            <v>2.1195410814676721</v>
          </cell>
          <cell r="H23">
            <v>-2.2771242698116367E-6</v>
          </cell>
        </row>
        <row r="24">
          <cell r="F24">
            <v>4.6786312831605418E-3</v>
          </cell>
          <cell r="G24">
            <v>2.3124061136053694E-3</v>
          </cell>
          <cell r="H24">
            <v>7.7522105012342891E-5</v>
          </cell>
        </row>
        <row r="25">
          <cell r="F25">
            <v>1.3797262302314934</v>
          </cell>
          <cell r="G25">
            <v>1.2392926987808974</v>
          </cell>
          <cell r="H25">
            <v>9.1449087304801738E-2</v>
          </cell>
        </row>
        <row r="26">
          <cell r="F26">
            <v>2.9720613896082271</v>
          </cell>
          <cell r="G26">
            <v>2.9719844483222579</v>
          </cell>
          <cell r="H26">
            <v>1.3257874774351419</v>
          </cell>
        </row>
        <row r="27">
          <cell r="F27">
            <v>1.3377506707230942E-3</v>
          </cell>
          <cell r="G27">
            <v>8.7563925624694564E-4</v>
          </cell>
          <cell r="H27">
            <v>7.6238554837308257E-5</v>
          </cell>
        </row>
        <row r="28">
          <cell r="F28">
            <v>1.5051276249236599E-3</v>
          </cell>
          <cell r="G28">
            <v>1.0923128335477001E-3</v>
          </cell>
          <cell r="H28">
            <v>1.6907774648373699</v>
          </cell>
        </row>
        <row r="32">
          <cell r="F32">
            <v>8.361366760928006E-2</v>
          </cell>
          <cell r="G32">
            <v>0.92206180804225379</v>
          </cell>
          <cell r="H32">
            <v>1.1166272025586534</v>
          </cell>
        </row>
      </sheetData>
      <sheetData sheetId="72">
        <row r="11">
          <cell r="F11">
            <v>65.874345719106543</v>
          </cell>
          <cell r="G11">
            <v>52.509683281143225</v>
          </cell>
          <cell r="H11">
            <v>0</v>
          </cell>
        </row>
        <row r="12">
          <cell r="F12">
            <v>16.468586483639768</v>
          </cell>
          <cell r="G12">
            <v>27.050437311435193</v>
          </cell>
          <cell r="H12">
            <v>74.082855475506761</v>
          </cell>
        </row>
        <row r="13">
          <cell r="F13">
            <v>5.0244928296679403E-5</v>
          </cell>
          <cell r="G13">
            <v>4.7391961247222829E-2</v>
          </cell>
          <cell r="H13">
            <v>4.7345099031230888E-2</v>
          </cell>
        </row>
        <row r="14">
          <cell r="F14">
            <v>0</v>
          </cell>
          <cell r="G14">
            <v>0</v>
          </cell>
          <cell r="H14">
            <v>0</v>
          </cell>
        </row>
      </sheetData>
      <sheetData sheetId="73"/>
      <sheetData sheetId="74">
        <row r="53">
          <cell r="F53">
            <v>2.2419134222608665</v>
          </cell>
          <cell r="G53">
            <v>2.4617008683079056</v>
          </cell>
          <cell r="H53">
            <v>2.5529236845057763</v>
          </cell>
        </row>
        <row r="54">
          <cell r="F54">
            <v>0</v>
          </cell>
          <cell r="G54">
            <v>0</v>
          </cell>
          <cell r="H54">
            <v>0</v>
          </cell>
        </row>
        <row r="55">
          <cell r="F55">
            <v>4.0971177142300865</v>
          </cell>
          <cell r="G55">
            <v>3.5801615564440801</v>
          </cell>
          <cell r="H55">
            <v>3.2317412130232634</v>
          </cell>
        </row>
        <row r="56">
          <cell r="F56">
            <v>1.6436772605005441</v>
          </cell>
          <cell r="G56">
            <v>0.95175094616642297</v>
          </cell>
          <cell r="H56">
            <v>0.29173546569857006</v>
          </cell>
        </row>
        <row r="57">
          <cell r="F57">
            <v>2.7843424177113802</v>
          </cell>
          <cell r="G57">
            <v>1.5147893386956759</v>
          </cell>
          <cell r="H57">
            <v>0.67856637283023657</v>
          </cell>
        </row>
        <row r="58">
          <cell r="F58">
            <v>3.8224375709941043</v>
          </cell>
          <cell r="G58">
            <v>1.5953684050107781</v>
          </cell>
          <cell r="H58">
            <v>0.15888243949857134</v>
          </cell>
        </row>
        <row r="59">
          <cell r="F59">
            <v>0</v>
          </cell>
          <cell r="G59">
            <v>-1.5413608279196787</v>
          </cell>
          <cell r="H59">
            <v>-5.0944430301456318</v>
          </cell>
        </row>
        <row r="60">
          <cell r="F60">
            <v>0</v>
          </cell>
          <cell r="G60">
            <v>-0.31217689085554451</v>
          </cell>
          <cell r="H60">
            <v>-1.8193823894315611</v>
          </cell>
        </row>
        <row r="61">
          <cell r="F61">
            <v>0</v>
          </cell>
          <cell r="G61">
            <v>0</v>
          </cell>
          <cell r="H61">
            <v>-1.4210538791761611E-5</v>
          </cell>
        </row>
        <row r="62">
          <cell r="F62">
            <v>0</v>
          </cell>
          <cell r="G62">
            <v>0</v>
          </cell>
          <cell r="H62">
            <v>0</v>
          </cell>
        </row>
        <row r="63">
          <cell r="F63">
            <v>0</v>
          </cell>
          <cell r="G63">
            <v>-3.2815633244499824E-6</v>
          </cell>
          <cell r="H63">
            <v>-8.8840290407978172E-6</v>
          </cell>
        </row>
        <row r="77">
          <cell r="B77">
            <v>0</v>
          </cell>
          <cell r="C77">
            <v>3.5118171545936945</v>
          </cell>
        </row>
        <row r="78">
          <cell r="B78">
            <v>0</v>
          </cell>
          <cell r="C78">
            <v>1.2141596355248303</v>
          </cell>
        </row>
        <row r="79">
          <cell r="B79">
            <v>0</v>
          </cell>
          <cell r="C79">
            <v>2.1878499084808838</v>
          </cell>
        </row>
      </sheetData>
      <sheetData sheetId="75">
        <row r="99">
          <cell r="J99">
            <v>13.34880866613015</v>
          </cell>
          <cell r="K99">
            <v>7.4172542116503566</v>
          </cell>
          <cell r="L99">
            <v>2.0428876000201535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9" workbookViewId="0">
      <selection activeCell="B99" sqref="B99"/>
    </sheetView>
  </sheetViews>
  <sheetFormatPr defaultRowHeight="15.5" x14ac:dyDescent="0.35"/>
  <cols>
    <col min="2" max="2" width="49.58203125" bestFit="1" customWidth="1"/>
    <col min="3" max="3" width="81.5" bestFit="1" customWidth="1"/>
    <col min="4" max="4" width="11.5" bestFit="1" customWidth="1"/>
  </cols>
  <sheetData>
    <row r="2" spans="2:5" x14ac:dyDescent="0.3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35">
      <c r="B3" t="s">
        <v>15</v>
      </c>
      <c r="C3" t="s">
        <v>359</v>
      </c>
      <c r="D3" t="s">
        <v>8</v>
      </c>
    </row>
    <row r="4" spans="2:5" x14ac:dyDescent="0.35">
      <c r="B4" t="s">
        <v>19</v>
      </c>
      <c r="C4" t="s">
        <v>360</v>
      </c>
      <c r="D4" t="s">
        <v>8</v>
      </c>
    </row>
    <row r="5" spans="2:5" x14ac:dyDescent="0.35">
      <c r="B5" t="s">
        <v>24</v>
      </c>
      <c r="C5" t="s">
        <v>361</v>
      </c>
      <c r="D5" t="s">
        <v>8</v>
      </c>
    </row>
    <row r="6" spans="2:5" x14ac:dyDescent="0.35">
      <c r="B6" t="s">
        <v>29</v>
      </c>
      <c r="C6" t="s">
        <v>362</v>
      </c>
      <c r="D6" t="s">
        <v>8</v>
      </c>
    </row>
    <row r="7" spans="2:5" x14ac:dyDescent="0.35">
      <c r="B7" t="s">
        <v>152</v>
      </c>
      <c r="C7" t="s">
        <v>363</v>
      </c>
      <c r="D7" t="s">
        <v>8</v>
      </c>
    </row>
    <row r="8" spans="2:5" x14ac:dyDescent="0.35">
      <c r="B8" t="s">
        <v>91</v>
      </c>
      <c r="C8" t="s">
        <v>364</v>
      </c>
      <c r="D8" t="s">
        <v>8</v>
      </c>
    </row>
    <row r="9" spans="2:5" x14ac:dyDescent="0.35">
      <c r="B9" t="s">
        <v>190</v>
      </c>
      <c r="C9" t="s">
        <v>365</v>
      </c>
      <c r="D9" t="s">
        <v>8</v>
      </c>
    </row>
    <row r="10" spans="2:5" x14ac:dyDescent="0.35">
      <c r="B10" t="s">
        <v>241</v>
      </c>
      <c r="C10" t="s">
        <v>366</v>
      </c>
      <c r="D10" t="s">
        <v>240</v>
      </c>
      <c r="E10" t="s">
        <v>369</v>
      </c>
    </row>
    <row r="11" spans="2:5" x14ac:dyDescent="0.35">
      <c r="B11" t="s">
        <v>296</v>
      </c>
      <c r="C11" t="s">
        <v>367</v>
      </c>
      <c r="D11" t="s">
        <v>240</v>
      </c>
      <c r="E11" t="s">
        <v>686</v>
      </c>
    </row>
    <row r="12" spans="2:5" x14ac:dyDescent="0.35">
      <c r="B12" t="s">
        <v>303</v>
      </c>
      <c r="C12" t="s">
        <v>371</v>
      </c>
      <c r="D12" t="s">
        <v>8</v>
      </c>
    </row>
    <row r="13" spans="2:5" x14ac:dyDescent="0.35">
      <c r="B13" t="s">
        <v>370</v>
      </c>
      <c r="C13" t="s">
        <v>372</v>
      </c>
      <c r="D13" t="s">
        <v>8</v>
      </c>
    </row>
    <row r="14" spans="2:5" x14ac:dyDescent="0.35">
      <c r="B14" t="s">
        <v>373</v>
      </c>
      <c r="C14" t="s">
        <v>374</v>
      </c>
      <c r="D14" t="s">
        <v>8</v>
      </c>
    </row>
    <row r="15" spans="2:5" x14ac:dyDescent="0.35">
      <c r="B15" t="s">
        <v>306</v>
      </c>
      <c r="C15" t="s">
        <v>375</v>
      </c>
      <c r="D15" t="s">
        <v>240</v>
      </c>
    </row>
    <row r="16" spans="2:5" x14ac:dyDescent="0.35">
      <c r="B16" t="s">
        <v>376</v>
      </c>
      <c r="C16" t="s">
        <v>377</v>
      </c>
      <c r="D16" t="s">
        <v>8</v>
      </c>
    </row>
    <row r="17" spans="2:5" x14ac:dyDescent="0.35">
      <c r="B17" t="s">
        <v>378</v>
      </c>
      <c r="C17" t="s">
        <v>379</v>
      </c>
      <c r="D17" t="s">
        <v>8</v>
      </c>
    </row>
    <row r="18" spans="2:5" x14ac:dyDescent="0.35">
      <c r="B18" t="s">
        <v>311</v>
      </c>
      <c r="C18" t="s">
        <v>380</v>
      </c>
      <c r="D18" t="s">
        <v>240</v>
      </c>
    </row>
    <row r="19" spans="2:5" x14ac:dyDescent="0.35">
      <c r="B19" t="s">
        <v>381</v>
      </c>
      <c r="C19" t="s">
        <v>382</v>
      </c>
      <c r="D19" t="s">
        <v>8</v>
      </c>
    </row>
    <row r="20" spans="2:5" x14ac:dyDescent="0.35">
      <c r="B20" t="s">
        <v>383</v>
      </c>
      <c r="C20" t="s">
        <v>384</v>
      </c>
      <c r="D20" t="s">
        <v>8</v>
      </c>
    </row>
    <row r="21" spans="2:5" x14ac:dyDescent="0.35">
      <c r="B21" t="s">
        <v>385</v>
      </c>
      <c r="C21" t="s">
        <v>386</v>
      </c>
      <c r="D21" t="s">
        <v>8</v>
      </c>
    </row>
    <row r="22" spans="2:5" x14ac:dyDescent="0.35">
      <c r="B22" t="s">
        <v>387</v>
      </c>
      <c r="C22" t="s">
        <v>387</v>
      </c>
      <c r="D22" t="s">
        <v>8</v>
      </c>
    </row>
    <row r="23" spans="2:5" x14ac:dyDescent="0.35">
      <c r="B23" t="s">
        <v>388</v>
      </c>
      <c r="C23" t="s">
        <v>389</v>
      </c>
      <c r="D23" t="s">
        <v>240</v>
      </c>
    </row>
    <row r="24" spans="2:5" x14ac:dyDescent="0.35">
      <c r="B24" t="s">
        <v>390</v>
      </c>
      <c r="C24" t="s">
        <v>390</v>
      </c>
      <c r="D24" t="s">
        <v>8</v>
      </c>
    </row>
    <row r="25" spans="2:5" x14ac:dyDescent="0.35">
      <c r="B25" t="s">
        <v>406</v>
      </c>
      <c r="C25" t="s">
        <v>407</v>
      </c>
      <c r="D25" t="s">
        <v>8</v>
      </c>
    </row>
    <row r="26" spans="2:5" x14ac:dyDescent="0.35">
      <c r="B26" t="s">
        <v>408</v>
      </c>
      <c r="C26" t="s">
        <v>416</v>
      </c>
      <c r="D26" t="s">
        <v>240</v>
      </c>
      <c r="E26" t="s">
        <v>417</v>
      </c>
    </row>
    <row r="27" spans="2:5" x14ac:dyDescent="0.35">
      <c r="B27" t="s">
        <v>424</v>
      </c>
      <c r="C27" t="s">
        <v>418</v>
      </c>
      <c r="D27" t="s">
        <v>8</v>
      </c>
      <c r="E27" t="s">
        <v>421</v>
      </c>
    </row>
    <row r="28" spans="2:5" x14ac:dyDescent="0.35">
      <c r="B28" t="s">
        <v>425</v>
      </c>
      <c r="C28" t="s">
        <v>419</v>
      </c>
      <c r="D28" t="s">
        <v>8</v>
      </c>
      <c r="E28" t="s">
        <v>420</v>
      </c>
    </row>
    <row r="29" spans="2:5" x14ac:dyDescent="0.35">
      <c r="B29" t="s">
        <v>426</v>
      </c>
      <c r="C29" t="s">
        <v>422</v>
      </c>
      <c r="D29" t="s">
        <v>8</v>
      </c>
      <c r="E29" t="s">
        <v>423</v>
      </c>
    </row>
    <row r="30" spans="2:5" x14ac:dyDescent="0.35">
      <c r="B30" t="s">
        <v>431</v>
      </c>
      <c r="C30" t="s">
        <v>432</v>
      </c>
      <c r="D30" t="s">
        <v>8</v>
      </c>
    </row>
    <row r="31" spans="2:5" x14ac:dyDescent="0.35">
      <c r="B31" t="s">
        <v>434</v>
      </c>
      <c r="C31" t="s">
        <v>435</v>
      </c>
      <c r="D31" t="s">
        <v>8</v>
      </c>
    </row>
    <row r="32" spans="2:5" x14ac:dyDescent="0.35">
      <c r="B32" t="s">
        <v>440</v>
      </c>
      <c r="C32" t="s">
        <v>441</v>
      </c>
      <c r="D32" t="s">
        <v>240</v>
      </c>
    </row>
    <row r="33" spans="2:5" x14ac:dyDescent="0.35">
      <c r="B33" t="s">
        <v>444</v>
      </c>
      <c r="C33" t="s">
        <v>444</v>
      </c>
      <c r="D33" t="s">
        <v>442</v>
      </c>
      <c r="E33" t="s">
        <v>447</v>
      </c>
    </row>
    <row r="34" spans="2:5" x14ac:dyDescent="0.35">
      <c r="B34" t="s">
        <v>474</v>
      </c>
      <c r="C34" t="s">
        <v>477</v>
      </c>
      <c r="D34" t="s">
        <v>8</v>
      </c>
      <c r="E34" t="s">
        <v>478</v>
      </c>
    </row>
    <row r="35" spans="2:5" x14ac:dyDescent="0.35">
      <c r="B35" t="s">
        <v>475</v>
      </c>
      <c r="C35" t="s">
        <v>479</v>
      </c>
      <c r="D35" t="s">
        <v>8</v>
      </c>
      <c r="E35" t="s">
        <v>478</v>
      </c>
    </row>
    <row r="36" spans="2:5" x14ac:dyDescent="0.35">
      <c r="B36" t="s">
        <v>476</v>
      </c>
      <c r="C36" t="s">
        <v>480</v>
      </c>
      <c r="D36" t="s">
        <v>240</v>
      </c>
    </row>
    <row r="37" spans="2:5" x14ac:dyDescent="0.35">
      <c r="B37" t="s">
        <v>496</v>
      </c>
      <c r="C37" t="s">
        <v>497</v>
      </c>
      <c r="D37" t="s">
        <v>8</v>
      </c>
      <c r="E37" t="s">
        <v>498</v>
      </c>
    </row>
    <row r="38" spans="2:5" x14ac:dyDescent="0.35">
      <c r="B38" t="s">
        <v>684</v>
      </c>
      <c r="C38" t="s">
        <v>685</v>
      </c>
      <c r="D38" t="s">
        <v>8</v>
      </c>
      <c r="E38" t="s">
        <v>498</v>
      </c>
    </row>
    <row r="39" spans="2:5" x14ac:dyDescent="0.35">
      <c r="B39" t="s">
        <v>687</v>
      </c>
      <c r="C39" t="s">
        <v>688</v>
      </c>
      <c r="D39" t="s">
        <v>240</v>
      </c>
      <c r="E39" t="s">
        <v>498</v>
      </c>
    </row>
    <row r="40" spans="2:5" x14ac:dyDescent="0.35">
      <c r="B40" t="s">
        <v>674</v>
      </c>
      <c r="C40" t="s">
        <v>675</v>
      </c>
      <c r="D40" t="s">
        <v>8</v>
      </c>
    </row>
    <row r="41" spans="2:5" x14ac:dyDescent="0.35">
      <c r="B41" t="s">
        <v>697</v>
      </c>
      <c r="C41" t="s">
        <v>698</v>
      </c>
      <c r="D41" t="s">
        <v>8</v>
      </c>
    </row>
    <row r="42" spans="2:5" x14ac:dyDescent="0.35">
      <c r="B42" t="s">
        <v>689</v>
      </c>
      <c r="C42" t="s">
        <v>690</v>
      </c>
      <c r="D42" t="s">
        <v>240</v>
      </c>
    </row>
    <row r="43" spans="2:5" x14ac:dyDescent="0.35">
      <c r="B43" t="s">
        <v>740</v>
      </c>
      <c r="C43" t="s">
        <v>741</v>
      </c>
      <c r="D43" t="s">
        <v>8</v>
      </c>
    </row>
    <row r="44" spans="2:5" x14ac:dyDescent="0.35">
      <c r="B44" t="s">
        <v>756</v>
      </c>
      <c r="C44" t="s">
        <v>757</v>
      </c>
      <c r="D44" t="s">
        <v>8</v>
      </c>
    </row>
    <row r="45" spans="2:5" x14ac:dyDescent="0.35">
      <c r="B45" t="s">
        <v>1091</v>
      </c>
      <c r="C45" t="s">
        <v>1125</v>
      </c>
      <c r="D45" t="s">
        <v>240</v>
      </c>
    </row>
    <row r="46" spans="2:5" x14ac:dyDescent="0.35">
      <c r="B46" t="s">
        <v>1236</v>
      </c>
      <c r="C46" t="s">
        <v>1126</v>
      </c>
      <c r="D46" t="s">
        <v>8</v>
      </c>
      <c r="E46" t="s">
        <v>1127</v>
      </c>
    </row>
    <row r="47" spans="2:5" x14ac:dyDescent="0.35">
      <c r="B47" t="s">
        <v>1128</v>
      </c>
      <c r="C47" t="s">
        <v>1129</v>
      </c>
      <c r="D47" t="s">
        <v>1131</v>
      </c>
    </row>
    <row r="48" spans="2:5" x14ac:dyDescent="0.3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35">
      <c r="B49" t="s">
        <v>1304</v>
      </c>
      <c r="C49" t="s">
        <v>1305</v>
      </c>
      <c r="D49" t="s">
        <v>8</v>
      </c>
    </row>
    <row r="50" spans="2:5" x14ac:dyDescent="0.3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35">
      <c r="B51" t="s">
        <v>1370</v>
      </c>
      <c r="C51" t="s">
        <v>1471</v>
      </c>
      <c r="D51" t="s">
        <v>1229</v>
      </c>
    </row>
    <row r="52" spans="2:5" x14ac:dyDescent="0.35">
      <c r="B52" t="s">
        <v>1394</v>
      </c>
      <c r="C52" t="s">
        <v>1394</v>
      </c>
      <c r="D52" t="s">
        <v>8</v>
      </c>
    </row>
    <row r="53" spans="2:5" x14ac:dyDescent="0.3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35">
      <c r="B54" t="s">
        <v>1393</v>
      </c>
      <c r="C54" t="s">
        <v>1470</v>
      </c>
      <c r="D54" t="s">
        <v>1229</v>
      </c>
    </row>
    <row r="55" spans="2:5" x14ac:dyDescent="0.35">
      <c r="B55" t="s">
        <v>1473</v>
      </c>
      <c r="C55" t="s">
        <v>1473</v>
      </c>
      <c r="D55" t="s">
        <v>8</v>
      </c>
    </row>
    <row r="56" spans="2:5" x14ac:dyDescent="0.35">
      <c r="B56" t="s">
        <v>1478</v>
      </c>
      <c r="C56" t="s">
        <v>1530</v>
      </c>
      <c r="D56" t="s">
        <v>1131</v>
      </c>
    </row>
    <row r="57" spans="2:5" x14ac:dyDescent="0.35">
      <c r="B57" t="s">
        <v>1480</v>
      </c>
      <c r="C57" t="s">
        <v>1486</v>
      </c>
      <c r="D57" t="s">
        <v>1229</v>
      </c>
    </row>
    <row r="58" spans="2:5" x14ac:dyDescent="0.35">
      <c r="B58" t="s">
        <v>1472</v>
      </c>
      <c r="C58" t="s">
        <v>1472</v>
      </c>
      <c r="D58" t="s">
        <v>8</v>
      </c>
    </row>
    <row r="59" spans="2:5" x14ac:dyDescent="0.35">
      <c r="B59" t="s">
        <v>1482</v>
      </c>
      <c r="C59" t="s">
        <v>1529</v>
      </c>
      <c r="D59" t="s">
        <v>1131</v>
      </c>
    </row>
    <row r="60" spans="2:5" x14ac:dyDescent="0.35">
      <c r="B60" t="s">
        <v>1484</v>
      </c>
      <c r="C60" t="s">
        <v>1534</v>
      </c>
      <c r="D60" t="s">
        <v>1229</v>
      </c>
    </row>
    <row r="61" spans="2:5" x14ac:dyDescent="0.35">
      <c r="B61" t="s">
        <v>1487</v>
      </c>
      <c r="C61" t="s">
        <v>1528</v>
      </c>
      <c r="D61" t="s">
        <v>8</v>
      </c>
    </row>
    <row r="62" spans="2:5" x14ac:dyDescent="0.35">
      <c r="B62" t="s">
        <v>1503</v>
      </c>
      <c r="C62" t="s">
        <v>1595</v>
      </c>
      <c r="D62" t="s">
        <v>1131</v>
      </c>
    </row>
    <row r="63" spans="2:5" x14ac:dyDescent="0.35">
      <c r="B63" t="s">
        <v>1518</v>
      </c>
      <c r="C63" t="s">
        <v>1533</v>
      </c>
      <c r="D63" t="s">
        <v>1229</v>
      </c>
    </row>
    <row r="64" spans="2:5" x14ac:dyDescent="0.35">
      <c r="B64" t="s">
        <v>1643</v>
      </c>
      <c r="C64" t="s">
        <v>1593</v>
      </c>
      <c r="D64" t="s">
        <v>8</v>
      </c>
    </row>
    <row r="65" spans="2:4" x14ac:dyDescent="0.35">
      <c r="B65" t="s">
        <v>1644</v>
      </c>
      <c r="C65" t="s">
        <v>1595</v>
      </c>
      <c r="D65" t="s">
        <v>1131</v>
      </c>
    </row>
    <row r="66" spans="2:4" x14ac:dyDescent="0.35">
      <c r="B66" t="s">
        <v>1645</v>
      </c>
      <c r="C66" t="s">
        <v>1594</v>
      </c>
      <c r="D66" t="s">
        <v>1229</v>
      </c>
    </row>
    <row r="67" spans="2:4" x14ac:dyDescent="0.35">
      <c r="B67" t="s">
        <v>1646</v>
      </c>
      <c r="C67" t="s">
        <v>1647</v>
      </c>
      <c r="D67" t="s">
        <v>8</v>
      </c>
    </row>
    <row r="68" spans="2:4" x14ac:dyDescent="0.35">
      <c r="B68" t="s">
        <v>1649</v>
      </c>
      <c r="C68" t="s">
        <v>1595</v>
      </c>
      <c r="D68" t="s">
        <v>1131</v>
      </c>
    </row>
    <row r="69" spans="2:4" x14ac:dyDescent="0.35">
      <c r="B69" t="s">
        <v>1650</v>
      </c>
      <c r="C69" t="s">
        <v>1648</v>
      </c>
      <c r="D69" t="s">
        <v>1229</v>
      </c>
    </row>
    <row r="70" spans="2:4" x14ac:dyDescent="0.35">
      <c r="B70" t="s">
        <v>1696</v>
      </c>
      <c r="C70" t="s">
        <v>1651</v>
      </c>
      <c r="D70" t="s">
        <v>8</v>
      </c>
    </row>
    <row r="71" spans="2:4" x14ac:dyDescent="0.35">
      <c r="B71" t="s">
        <v>1674</v>
      </c>
      <c r="C71" t="s">
        <v>1697</v>
      </c>
      <c r="D71" t="s">
        <v>1699</v>
      </c>
    </row>
    <row r="72" spans="2:4" x14ac:dyDescent="0.35">
      <c r="B72" t="s">
        <v>1685</v>
      </c>
      <c r="C72" t="s">
        <v>1698</v>
      </c>
      <c r="D72" t="s">
        <v>1700</v>
      </c>
    </row>
    <row r="73" spans="2:4" x14ac:dyDescent="0.35">
      <c r="B73" t="s">
        <v>1701</v>
      </c>
      <c r="C73" t="s">
        <v>1701</v>
      </c>
      <c r="D73" t="s">
        <v>442</v>
      </c>
    </row>
    <row r="74" spans="2:4" x14ac:dyDescent="0.35">
      <c r="B74" t="s">
        <v>1715</v>
      </c>
      <c r="C74" t="s">
        <v>1721</v>
      </c>
      <c r="D74" t="s">
        <v>442</v>
      </c>
    </row>
    <row r="75" spans="2:4" x14ac:dyDescent="0.35">
      <c r="B75" t="s">
        <v>1720</v>
      </c>
      <c r="C75" t="s">
        <v>1722</v>
      </c>
      <c r="D75" t="s">
        <v>8</v>
      </c>
    </row>
    <row r="76" spans="2:4" x14ac:dyDescent="0.35">
      <c r="B76" t="s">
        <v>1768</v>
      </c>
      <c r="C76" t="s">
        <v>1786</v>
      </c>
      <c r="D76" t="s">
        <v>8</v>
      </c>
    </row>
    <row r="77" spans="2:4" x14ac:dyDescent="0.35">
      <c r="B77" t="s">
        <v>1789</v>
      </c>
      <c r="C77" t="s">
        <v>1787</v>
      </c>
      <c r="D77" t="s">
        <v>1857</v>
      </c>
    </row>
    <row r="78" spans="2:4" x14ac:dyDescent="0.35">
      <c r="B78" t="s">
        <v>1856</v>
      </c>
      <c r="C78" t="s">
        <v>1859</v>
      </c>
      <c r="D78" t="s">
        <v>1858</v>
      </c>
    </row>
    <row r="79" spans="2:4" x14ac:dyDescent="0.35">
      <c r="B79" t="s">
        <v>1899</v>
      </c>
      <c r="C79" t="s">
        <v>1918</v>
      </c>
      <c r="D79" t="s">
        <v>1858</v>
      </c>
    </row>
    <row r="80" spans="2:4" x14ac:dyDescent="0.35">
      <c r="B80" t="s">
        <v>1900</v>
      </c>
      <c r="C80" t="s">
        <v>1919</v>
      </c>
      <c r="D80" t="s">
        <v>1858</v>
      </c>
    </row>
    <row r="81" spans="2:4" x14ac:dyDescent="0.35">
      <c r="B81" t="s">
        <v>1920</v>
      </c>
      <c r="C81" t="s">
        <v>1971</v>
      </c>
      <c r="D81" t="s">
        <v>1972</v>
      </c>
    </row>
    <row r="82" spans="2:4" x14ac:dyDescent="0.35">
      <c r="B82" t="s">
        <v>1973</v>
      </c>
      <c r="C82" t="s">
        <v>1974</v>
      </c>
      <c r="D82" t="s">
        <v>1975</v>
      </c>
    </row>
    <row r="83" spans="2:4" x14ac:dyDescent="0.35">
      <c r="B83" t="s">
        <v>1977</v>
      </c>
      <c r="C83" t="s">
        <v>1976</v>
      </c>
      <c r="D83" t="s">
        <v>1975</v>
      </c>
    </row>
    <row r="84" spans="2:4" x14ac:dyDescent="0.35">
      <c r="B84" t="s">
        <v>2121</v>
      </c>
      <c r="C84" t="s">
        <v>2131</v>
      </c>
      <c r="D84" t="s">
        <v>1975</v>
      </c>
    </row>
    <row r="85" spans="2:4" x14ac:dyDescent="0.35">
      <c r="B85" t="s">
        <v>2133</v>
      </c>
      <c r="C85" t="s">
        <v>2132</v>
      </c>
      <c r="D85" t="s">
        <v>1975</v>
      </c>
    </row>
    <row r="86" spans="2:4" x14ac:dyDescent="0.35">
      <c r="B86" t="s">
        <v>2143</v>
      </c>
      <c r="C86" t="s">
        <v>2155</v>
      </c>
      <c r="D86" t="s">
        <v>2154</v>
      </c>
    </row>
    <row r="87" spans="2:4" x14ac:dyDescent="0.35">
      <c r="B87" t="s">
        <v>2158</v>
      </c>
      <c r="C87" t="s">
        <v>2159</v>
      </c>
      <c r="D87" t="s">
        <v>2156</v>
      </c>
    </row>
    <row r="88" spans="2:4" x14ac:dyDescent="0.35">
      <c r="B88" t="s">
        <v>2178</v>
      </c>
      <c r="C88" t="s">
        <v>2179</v>
      </c>
      <c r="D88" t="s">
        <v>1857</v>
      </c>
    </row>
    <row r="89" spans="2:4" x14ac:dyDescent="0.35">
      <c r="B89" t="s">
        <v>2243</v>
      </c>
      <c r="C89" t="s">
        <v>2362</v>
      </c>
      <c r="D89" t="s">
        <v>1972</v>
      </c>
    </row>
    <row r="90" spans="2:4" x14ac:dyDescent="0.35">
      <c r="B90" t="s">
        <v>2294</v>
      </c>
      <c r="C90" t="s">
        <v>2363</v>
      </c>
      <c r="D90" t="s">
        <v>1972</v>
      </c>
    </row>
    <row r="91" spans="2:4" x14ac:dyDescent="0.35">
      <c r="B91" t="s">
        <v>2318</v>
      </c>
      <c r="C91" t="s">
        <v>2364</v>
      </c>
    </row>
    <row r="92" spans="2:4" x14ac:dyDescent="0.35">
      <c r="B92" t="s">
        <v>2342</v>
      </c>
      <c r="C92" t="s">
        <v>2365</v>
      </c>
    </row>
    <row r="93" spans="2:4" x14ac:dyDescent="0.35">
      <c r="B93" t="s">
        <v>2352</v>
      </c>
      <c r="C93" t="s">
        <v>2366</v>
      </c>
    </row>
    <row r="94" spans="2:4" x14ac:dyDescent="0.35">
      <c r="B94" t="s">
        <v>2367</v>
      </c>
      <c r="C94" t="s">
        <v>2447</v>
      </c>
      <c r="D94" t="s">
        <v>1858</v>
      </c>
    </row>
    <row r="95" spans="2:4" x14ac:dyDescent="0.35">
      <c r="B95" t="s">
        <v>2406</v>
      </c>
      <c r="C95" t="s">
        <v>2447</v>
      </c>
      <c r="D95" t="s">
        <v>1858</v>
      </c>
    </row>
    <row r="96" spans="2:4" x14ac:dyDescent="0.35">
      <c r="B96" t="s">
        <v>2429</v>
      </c>
      <c r="C96" t="s">
        <v>2447</v>
      </c>
      <c r="D96" t="s">
        <v>1858</v>
      </c>
    </row>
    <row r="97" spans="2:4" x14ac:dyDescent="0.35">
      <c r="B97" t="s">
        <v>2448</v>
      </c>
      <c r="C97" t="s">
        <v>2447</v>
      </c>
      <c r="D97" t="s">
        <v>2154</v>
      </c>
    </row>
    <row r="98" spans="2:4" x14ac:dyDescent="0.3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S2340"/>
  <sheetViews>
    <sheetView tabSelected="1" topLeftCell="B1" zoomScale="90" zoomScaleNormal="90" workbookViewId="0">
      <pane xSplit="4" ySplit="1" topLeftCell="F2" activePane="bottomRight" state="frozen"/>
      <selection activeCell="B1" sqref="B1"/>
      <selection pane="topRight" activeCell="F1" sqref="F1"/>
      <selection pane="bottomLeft" activeCell="B2" sqref="B2"/>
      <selection pane="bottomRight" activeCell="F1" sqref="F1:I1048576"/>
    </sheetView>
  </sheetViews>
  <sheetFormatPr defaultColWidth="11" defaultRowHeight="15.5" x14ac:dyDescent="0.35"/>
  <cols>
    <col min="1" max="1" width="11.5" bestFit="1" customWidth="1"/>
    <col min="2" max="2" width="10.6640625" customWidth="1"/>
    <col min="3" max="3" width="6.5" customWidth="1"/>
    <col min="4" max="4" width="63.58203125" customWidth="1"/>
    <col min="5" max="5" width="12.5" bestFit="1" customWidth="1"/>
    <col min="6" max="12" width="9.4140625" customWidth="1"/>
    <col min="13" max="13" width="16.4140625" bestFit="1" customWidth="1"/>
    <col min="14" max="18" width="15.4140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2050</v>
      </c>
    </row>
    <row r="2" spans="1:14" x14ac:dyDescent="0.3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301.55156848449508</v>
      </c>
      <c r="G2" s="3">
        <f t="shared" ref="G2:K2" si="0">G3+G8+G11+G12+G16+G17+G18+G19</f>
        <v>298.76897526775628</v>
      </c>
      <c r="H2" s="3">
        <f t="shared" si="0"/>
        <v>338.20472514871244</v>
      </c>
      <c r="I2" s="3">
        <f t="shared" si="0"/>
        <v>444.85985993495387</v>
      </c>
      <c r="J2" s="3">
        <f t="shared" si="0"/>
        <v>418.46769736924313</v>
      </c>
      <c r="K2" s="3">
        <f t="shared" si="0"/>
        <v>509.37796111783268</v>
      </c>
      <c r="L2" s="3">
        <f t="shared" ref="L2" si="1">L3+L8+L11+L12+L16+L17+L18+L19</f>
        <v>553.32146574942897</v>
      </c>
      <c r="N2" s="1"/>
    </row>
    <row r="3" spans="1:14" x14ac:dyDescent="0.3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46.334115216000257</v>
      </c>
      <c r="G3" s="1">
        <f t="shared" ref="G3:K3" si="4">SUM(G4:G7)</f>
        <v>50.490587884073356</v>
      </c>
      <c r="H3" s="1">
        <f t="shared" si="4"/>
        <v>53.544916746486351</v>
      </c>
      <c r="I3" s="1">
        <f t="shared" si="4"/>
        <v>53.546451685739477</v>
      </c>
      <c r="J3" s="1">
        <f t="shared" si="4"/>
        <v>53.533503363728187</v>
      </c>
      <c r="K3" s="1">
        <f t="shared" si="4"/>
        <v>53.533511276656583</v>
      </c>
      <c r="L3" s="1">
        <f t="shared" ref="L3" si="5">SUM(L4:L7)</f>
        <v>53.53351533873127</v>
      </c>
      <c r="N3" s="1"/>
    </row>
    <row r="4" spans="1:14" x14ac:dyDescent="0.3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11.111976141568594</v>
      </c>
      <c r="G4" s="1" cm="1">
        <f t="array" ref="G4">SUMPRODUCT(("RNWWOD1"=[1]OUT_PrimaryEnergyCons!$A$1:$A$1000)*1,[1]OUT_PrimaryEnergyCons!E$1:E$1000)</f>
        <v>11.952923578006255</v>
      </c>
      <c r="H4" s="1" cm="1">
        <f t="array" ref="H4">SUMPRODUCT(("RNWWOD1"=[1]OUT_PrimaryEnergyCons!$A$1:$A$1000)*1,[1]OUT_PrimaryEnergyCons!F$1:F$1000)</f>
        <v>13.357213022457403</v>
      </c>
      <c r="I4" s="1" cm="1">
        <f t="array" ref="I4">SUMPRODUCT(("RNWWOD1"=[1]OUT_PrimaryEnergyCons!$A$1:$A$1000)*1,[1]OUT_PrimaryEnergyCons!G$1:G$1000)</f>
        <v>15.656186912610261</v>
      </c>
      <c r="J4" s="1" cm="1">
        <f t="array" ref="J4">SUMPRODUCT(("RNWWOD1"=[2]OUT_PrimaryEnergyCons!$A$1:$A$1000)*1,[2]OUT_PrimaryEnergyCons!H$1:H$1000)</f>
        <v>16.424570315265452</v>
      </c>
      <c r="K4" s="1" cm="1">
        <f t="array" ref="K4">SUMPRODUCT(("RNWWOD1"=[2]OUT_PrimaryEnergyCons!$A$1:$A$1000)*1,[2]OUT_PrimaryEnergyCons!I$1:I$1000)</f>
        <v>17.113643085642458</v>
      </c>
      <c r="L4" s="1" cm="1">
        <f t="array" ref="L4">SUMPRODUCT(("RNWWOD1"=[2]OUT_PrimaryEnergyCons!$A$1:$A$1000)*1,[2]OUT_PrimaryEnergyCons!J$1:J$1000)</f>
        <v>18.429672360527391</v>
      </c>
      <c r="N4" s="1"/>
    </row>
    <row r="5" spans="1:14" x14ac:dyDescent="0.3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7.5117708343997647</v>
      </c>
      <c r="G5" s="1" cm="1">
        <f t="array" ref="G5">SUMPRODUCT(("RNWWOD2"=[1]OUT_PrimaryEnergyCons!$A$1:$A$1000)*1,[1]OUT_PrimaryEnergyCons!E$1:E$1000)</f>
        <v>7.5431833211157198</v>
      </c>
      <c r="H5" s="1" cm="1">
        <f t="array" ref="H5">SUMPRODUCT(("RNWWOD2"=[1]OUT_PrimaryEnergyCons!$A$1:$A$1000)*1,[1]OUT_PrimaryEnergyCons!F$1:F$1000)</f>
        <v>7.5903684650464012</v>
      </c>
      <c r="I5" s="1" cm="1">
        <f t="array" ref="I5">SUMPRODUCT(("RNWWOD2"=[1]OUT_PrimaryEnergyCons!$A$1:$A$1000)*1,[1]OUT_PrimaryEnergyCons!G$1:G$1000)</f>
        <v>7.6690331077722877</v>
      </c>
      <c r="J5" s="1" cm="1">
        <f t="array" ref="J5">SUMPRODUCT(("RNWWOD2"=[2]OUT_PrimaryEnergyCons!$A$1:$A$1000)*1,[2]OUT_PrimaryEnergyCons!H$1:H$1000)</f>
        <v>7.6690271300403188</v>
      </c>
      <c r="K5" s="1" cm="1">
        <f t="array" ref="K5">SUMPRODUCT(("RNWWOD2"=[2]OUT_PrimaryEnergyCons!$A$1:$A$1000)*1,[2]OUT_PrimaryEnergyCons!I$1:I$1000)</f>
        <v>7.6690272116527298</v>
      </c>
      <c r="L5" s="1" cm="1">
        <f t="array" ref="L5">SUMPRODUCT(("RNWWOD2"=[2]OUT_PrimaryEnergyCons!$A$1:$A$1000)*1,[2]OUT_PrimaryEnergyCons!J$1:J$1000)</f>
        <v>7.6690277106077609</v>
      </c>
      <c r="N5" s="1"/>
    </row>
    <row r="6" spans="1:14" x14ac:dyDescent="0.3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3.1683463948340496</v>
      </c>
      <c r="G6" s="1" cm="1">
        <f t="array" ref="G6">SUMPRODUCT(("RNWWOD3"=[1]OUT_PrimaryEnergyCons!$A$1:$A$1000)*1,[1]OUT_PrimaryEnergyCons!E$1:E$1000)</f>
        <v>3.4957144759587795</v>
      </c>
      <c r="H6" s="1" cm="1">
        <f t="array" ref="H6">SUMPRODUCT(("RNWWOD3"=[1]OUT_PrimaryEnergyCons!$A$1:$A$1000)*1,[1]OUT_PrimaryEnergyCons!F$1:F$1000)</f>
        <v>3.9868298124432071</v>
      </c>
      <c r="I6" s="1" cm="1">
        <f t="array" ref="I6">SUMPRODUCT(("RNWWOD3"=[1]OUT_PrimaryEnergyCons!$A$1:$A$1000)*1,[1]OUT_PrimaryEnergyCons!G$1:G$1000)</f>
        <v>4.805389453080994</v>
      </c>
      <c r="J6" s="1" cm="1">
        <f t="array" ref="J6">SUMPRODUCT(("RNWWOD3"=[2]OUT_PrimaryEnergyCons!$A$1:$A$1000)*1,[2]OUT_PrimaryEnergyCons!H$1:H$1000)</f>
        <v>4.8053862902790394</v>
      </c>
      <c r="K6" s="1" cm="1">
        <f t="array" ref="K6">SUMPRODUCT(("RNWWOD3"=[2]OUT_PrimaryEnergyCons!$A$1:$A$1000)*1,[2]OUT_PrimaryEnergyCons!I$1:I$1000)</f>
        <v>4.8053862695841012</v>
      </c>
      <c r="L6" s="1" cm="1">
        <f t="array" ref="L6">SUMPRODUCT(("RNWWOD3"=[2]OUT_PrimaryEnergyCons!$A$1:$A$1000)*1,[2]OUT_PrimaryEnergyCons!J$1:J$1000)</f>
        <v>4.8053860791299483</v>
      </c>
      <c r="N6" s="1"/>
    </row>
    <row r="7" spans="1:14" x14ac:dyDescent="0.3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24.542021845197844</v>
      </c>
      <c r="G7" s="1" cm="1">
        <f t="array" ref="G7">SUMPRODUCT(("RNWWOD4"=[1]OUT_PrimaryEnergyCons!$A$1:$A$1000)*1+("RNWWOD5"=[1]OUT_PrimaryEnergyCons!$A$1:$A$1000)*1,[1]OUT_PrimaryEnergyCons!E$1:E$1000)</f>
        <v>27.498766508992603</v>
      </c>
      <c r="H7" s="1" cm="1">
        <f t="array" ref="H7">SUMPRODUCT(("RNWWOD4"=[1]OUT_PrimaryEnergyCons!$A$1:$A$1000)*1+("RNWWOD5"=[1]OUT_PrimaryEnergyCons!$A$1:$A$1000)*1,[1]OUT_PrimaryEnergyCons!F$1:F$1000)</f>
        <v>28.610505446539335</v>
      </c>
      <c r="I7" s="1" cm="1">
        <f t="array" ref="I7">SUMPRODUCT(("RNWWOD4"=[1]OUT_PrimaryEnergyCons!$A$1:$A$1000)*1+("RNWWOD5"=[1]OUT_PrimaryEnergyCons!$A$1:$A$1000)*1,[1]OUT_PrimaryEnergyCons!G$1:G$1000)</f>
        <v>25.415842212275933</v>
      </c>
      <c r="J7" s="1" cm="1">
        <f t="array" ref="J7">SUMPRODUCT(("RNWWOD4"=[2]OUT_PrimaryEnergyCons!$A$1:$A$1000)*1+("RNWWOD5"=[2]OUT_PrimaryEnergyCons!$A$1:$A$1000)*1,[2]OUT_PrimaryEnergyCons!H$1:H$1000)</f>
        <v>24.63451962814338</v>
      </c>
      <c r="K7" s="1" cm="1">
        <f t="array" ref="K7">SUMPRODUCT(("RNWWOD4"=[2]OUT_PrimaryEnergyCons!$A$1:$A$1000)*1+("RNWWOD5"=[2]OUT_PrimaryEnergyCons!$A$1:$A$1000)*1,[2]OUT_PrimaryEnergyCons!I$1:I$1000)</f>
        <v>23.945454709777298</v>
      </c>
      <c r="L7" s="1" cm="1">
        <f t="array" ref="L7">SUMPRODUCT(("RNWWOD4"=[2]OUT_PrimaryEnergyCons!$A$1:$A$1000)*1+("RNWWOD5"=[2]OUT_PrimaryEnergyCons!$A$1:$A$1000)*1,[2]OUT_PrimaryEnergyCons!J$1:J$1000)</f>
        <v>22.629429188466169</v>
      </c>
      <c r="N7" s="1"/>
    </row>
    <row r="8" spans="1:14" x14ac:dyDescent="0.3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70.032086744262159</v>
      </c>
      <c r="G8" s="1">
        <f t="shared" ref="G8:K8" si="9">SUM(G9:G10)</f>
        <v>71.224290096672604</v>
      </c>
      <c r="H8" s="1">
        <f t="shared" si="9"/>
        <v>71.066649647055769</v>
      </c>
      <c r="I8" s="1">
        <f t="shared" si="9"/>
        <v>74.271072997039468</v>
      </c>
      <c r="J8" s="1">
        <f t="shared" si="9"/>
        <v>72.247743178266461</v>
      </c>
      <c r="K8" s="1">
        <f t="shared" si="9"/>
        <v>79.195696991397796</v>
      </c>
      <c r="L8" s="1">
        <f t="shared" ref="L8" si="10">SUM(L9:L10)</f>
        <v>83.827962758576518</v>
      </c>
      <c r="N8" s="1"/>
    </row>
    <row r="9" spans="1:14" x14ac:dyDescent="0.3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35.931415647284581</v>
      </c>
      <c r="G9" s="1" cm="1">
        <f t="array" ref="G9">SUMPRODUCT(("RNNWWST1"=[1]OUT_PrimaryEnergyCons!$A$1:$A$1000)*1,[1]OUT_PrimaryEnergyCons!E$1:E$1000)</f>
        <v>36.121600754240653</v>
      </c>
      <c r="H9" s="1" cm="1">
        <f t="array" ref="H9">SUMPRODUCT(("RNNWWST1"=[1]OUT_PrimaryEnergyCons!$A$1:$A$1000)*1,[1]OUT_PrimaryEnergyCons!F$1:F$1000)</f>
        <v>35.963639011507908</v>
      </c>
      <c r="I9" s="1" cm="1">
        <f t="array" ref="I9">SUMPRODUCT(("RNNWWST1"=[1]OUT_PrimaryEnergyCons!$A$1:$A$1000)*1,[1]OUT_PrimaryEnergyCons!G$1:G$1000)</f>
        <v>37.032765660388442</v>
      </c>
      <c r="J9" s="1" cm="1">
        <f t="array" ref="J9">SUMPRODUCT(("RNNWWST1"=[2]OUT_PrimaryEnergyCons!$A$1:$A$1000)*1,[2]OUT_PrimaryEnergyCons!H$1:H$1000)</f>
        <v>34.937585841478423</v>
      </c>
      <c r="K9" s="1" cm="1">
        <f t="array" ref="K9">SUMPRODUCT(("RNNWWST1"=[2]OUT_PrimaryEnergyCons!$A$1:$A$1000)*1,[2]OUT_PrimaryEnergyCons!I$1:I$1000)</f>
        <v>38.082488924625189</v>
      </c>
      <c r="L9" s="1" cm="1">
        <f t="array" ref="L9">SUMPRODUCT(("RNNWWST1"=[2]OUT_PrimaryEnergyCons!$A$1:$A$1000)*1,[2]OUT_PrimaryEnergyCons!J$1:J$1000)</f>
        <v>39.221621170918688</v>
      </c>
      <c r="N9" s="1"/>
    </row>
    <row r="10" spans="1:14" x14ac:dyDescent="0.3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34.100671096977578</v>
      </c>
      <c r="G10" s="1" cm="1">
        <f t="array" ref="G10">SUMPRODUCT(("RNWWST1"=[1]OUT_PrimaryEnergyCons!$A$1:$A$1000)*1,[1]OUT_PrimaryEnergyCons!E$1:E$1000)</f>
        <v>35.102689342431958</v>
      </c>
      <c r="H10" s="1" cm="1">
        <f t="array" ref="H10">SUMPRODUCT(("RNWWST1"=[1]OUT_PrimaryEnergyCons!$A$1:$A$1000)*1,[1]OUT_PrimaryEnergyCons!F$1:F$1000)</f>
        <v>35.103010635547861</v>
      </c>
      <c r="I10" s="1" cm="1">
        <f t="array" ref="I10">SUMPRODUCT(("RNWWST1"=[1]OUT_PrimaryEnergyCons!$A$1:$A$1000)*1,[1]OUT_PrimaryEnergyCons!G$1:G$1000)</f>
        <v>37.238307336651026</v>
      </c>
      <c r="J10" s="1" cm="1">
        <f t="array" ref="J10">SUMPRODUCT(("RNWWST1"=[2]OUT_PrimaryEnergyCons!$A$1:$A$1000)*1,[2]OUT_PrimaryEnergyCons!H$1:H$1000)</f>
        <v>37.310157336788031</v>
      </c>
      <c r="K10" s="1" cm="1">
        <f t="array" ref="K10">SUMPRODUCT(("RNWWST1"=[2]OUT_PrimaryEnergyCons!$A$1:$A$1000)*1,[2]OUT_PrimaryEnergyCons!I$1:I$1000)</f>
        <v>41.113208066772614</v>
      </c>
      <c r="L10" s="1" cm="1">
        <f t="array" ref="L10">SUMPRODUCT(("RNWWST1"=[2]OUT_PrimaryEnergyCons!$A$1:$A$1000)*1,[2]OUT_PrimaryEnergyCons!J$1:J$1000)</f>
        <v>44.606341587657838</v>
      </c>
      <c r="N10" s="1"/>
    </row>
    <row r="11" spans="1:14" x14ac:dyDescent="0.3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3.7982918878914633</v>
      </c>
      <c r="G11" s="1" cm="1">
        <f t="array" ref="G11">SUMPRODUCT(("mnr"=[1]OUT_PrimaryEnergyCons!$C$1:$C$1000)*1,[1]OUT_PrimaryEnergyCons!E$1:E$1000)</f>
        <v>12.540359083790694</v>
      </c>
      <c r="H11" s="1" cm="1">
        <f t="array" ref="H11">SUMPRODUCT(("mnr"=[1]OUT_PrimaryEnergyCons!$C$1:$C$1000)*1,[1]OUT_PrimaryEnergyCons!F$1:F$1000)</f>
        <v>12.540421416964007</v>
      </c>
      <c r="I11" s="1" cm="1">
        <f t="array" ref="I11">SUMPRODUCT(("mnr"=[1]OUT_PrimaryEnergyCons!$C$1:$C$1000)*1,[1]OUT_PrimaryEnergyCons!G$1:G$1000)</f>
        <v>12.540431121177249</v>
      </c>
      <c r="J11" s="1" cm="1">
        <f t="array" ref="J11">SUMPRODUCT(("mnr"=[2]OUT_PrimaryEnergyCons!$C$1:$C$1000)*1,[2]OUT_PrimaryEnergyCons!H$1:H$1000)</f>
        <v>12.540430762020369</v>
      </c>
      <c r="K11" s="1" cm="1">
        <f t="array" ref="K11">SUMPRODUCT(("mnr"=[2]OUT_PrimaryEnergyCons!$C$1:$C$1000)*1,[2]OUT_PrimaryEnergyCons!I$1:I$1000)</f>
        <v>14.632483806504945</v>
      </c>
      <c r="L11" s="1" cm="1">
        <f t="array" ref="L11">SUMPRODUCT(("mnr"=[2]OUT_PrimaryEnergyCons!$C$1:$C$1000)*1,[2]OUT_PrimaryEnergyCons!J$1:J$1000)</f>
        <v>14.632491929063768</v>
      </c>
      <c r="N11" s="1"/>
    </row>
    <row r="12" spans="1:14" x14ac:dyDescent="0.3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149.43060968985017</v>
      </c>
      <c r="G12" s="1">
        <f t="shared" ref="G12:K12" si="11">SUM(G13:G15)</f>
        <v>125.65124522840297</v>
      </c>
      <c r="H12" s="1">
        <f t="shared" si="11"/>
        <v>137.72924305395776</v>
      </c>
      <c r="I12" s="1">
        <f t="shared" si="11"/>
        <v>191.68914738393363</v>
      </c>
      <c r="J12" s="1">
        <f t="shared" si="11"/>
        <v>152.50297506255069</v>
      </c>
      <c r="K12" s="1">
        <f t="shared" si="11"/>
        <v>154.88647956261917</v>
      </c>
      <c r="L12" s="1">
        <f t="shared" ref="L12" si="12">SUM(L13:L15)</f>
        <v>158.90458366536896</v>
      </c>
      <c r="N12" s="1"/>
    </row>
    <row r="13" spans="1:14" x14ac:dyDescent="0.3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66.745681606063101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49.798777987808691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68.970400584037336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70.970232393460137</v>
      </c>
      <c r="J13" s="1" cm="1">
        <f t="array" ref="J13">SUMPRODUCT(ISNUMBER(SEARCH("EHYD-DAM",[2]OUT_Electricity_CHP!$B$1:$B$10000))*1,([2]OUT_Electricity_CHP!$C$1:$C$10000="Var_Fout")*1,ISNUMBER(SEARCH("ELC",[2]OUT_Electricity_CHP!$D$1:$D$10000))*1,[2]OUT_Electricity_CHP!I$1:I$10000)</f>
        <v>71.44644713286462</v>
      </c>
      <c r="K13" s="1" cm="1">
        <f t="array" ref="K13">SUMPRODUCT(ISNUMBER(SEARCH("EHYD-DAM",[2]OUT_Electricity_CHP!$B$1:$B$10000))*1,([2]OUT_Electricity_CHP!$C$1:$C$10000="Var_Fout")*1,ISNUMBER(SEARCH("ELC",[2]OUT_Electricity_CHP!$D$1:$D$10000))*1,[2]OUT_Electricity_CHP!J$1:J$10000)</f>
        <v>73.932924658636495</v>
      </c>
      <c r="L13" s="1" cm="1">
        <f t="array" ref="L13">SUMPRODUCT(ISNUMBER(SEARCH("EHYD-DAM",[2]OUT_Electricity_CHP!$B$1:$B$10000))*1,([2]OUT_Electricity_CHP!$C$1:$C$10000="Var_Fout")*1,ISNUMBER(SEARCH("ELC",[2]OUT_Electricity_CHP!$D$1:$D$10000))*1,[2]OUT_Electricity_CHP!K$1:K$10000)</f>
        <v>74.836056776230464</v>
      </c>
      <c r="N13" s="1"/>
    </row>
    <row r="14" spans="1:14" x14ac:dyDescent="0.3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66.632430866657671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55.764055694378619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65.677217745587797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64.853740316850036</v>
      </c>
      <c r="J14" s="1" cm="1">
        <f t="array" ref="J14">SUMPRODUCT(ISNUMBER(SEARCH("EHYD-RUN",[2]OUT_Electricity_CHP!$B$1:$B$10000))*1,([2]OUT_Electricity_CHP!$C$1:$C$10000="Var_Fout")*1,ISNUMBER(SEARCH("ELC",[2]OUT_Electricity_CHP!$D$1:$D$10000))*1,[2]OUT_Electricity_CHP!I$1:I$10000)</f>
        <v>65.039957519478904</v>
      </c>
      <c r="K14" s="1" cm="1">
        <f t="array" ref="K14">SUMPRODUCT(ISNUMBER(SEARCH("EHYD-RUN",[2]OUT_Electricity_CHP!$B$1:$B$10000))*1,([2]OUT_Electricity_CHP!$C$1:$C$10000="Var_Fout")*1,ISNUMBER(SEARCH("ELC",[2]OUT_Electricity_CHP!$D$1:$D$10000))*1,[2]OUT_Electricity_CHP!J$1:J$10000)</f>
        <v>64.381689547413231</v>
      </c>
      <c r="L14" s="1" cm="1">
        <f t="array" ref="L14">SUMPRODUCT(ISNUMBER(SEARCH("EHYD-RUN",[2]OUT_Electricity_CHP!$B$1:$B$10000))*1,([2]OUT_Electricity_CHP!$C$1:$C$10000="Var_Fout")*1,ISNUMBER(SEARCH("ELC",[2]OUT_Electricity_CHP!$D$1:$D$10000))*1,[2]OUT_Electricity_CHP!K$1:K$10000)</f>
        <v>67.134973788047233</v>
      </c>
      <c r="N14" s="1"/>
    </row>
    <row r="15" spans="1:14" x14ac:dyDescent="0.3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16.052497217129396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20.088411546215649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3.0816247243326447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55.865174673623464</v>
      </c>
      <c r="J15" s="1" cm="1">
        <f t="array" ref="J15">SUMPRODUCT(ISNUMBER(SEARCH("EHYD-PUM",[2]OUT_Electricity_CHP!$B$1:$B$10000))*1,([2]OUT_Electricity_CHP!$C$1:$C$10000="Var_Fin")*1,ISNUMBER(SEARCH("elc",[2]OUT_Electricity_CHP!$D$1:$D$10000))*1,[2]OUT_Electricity_CHP!I$1:I$10000)</f>
        <v>16.016570410207162</v>
      </c>
      <c r="K15" s="1" cm="1">
        <f t="array" ref="K15">SUMPRODUCT(ISNUMBER(SEARCH("EHYD-PUM",[2]OUT_Electricity_CHP!$B$1:$B$10000))*1,([2]OUT_Electricity_CHP!$C$1:$C$10000="Var_Fin")*1,ISNUMBER(SEARCH("elc",[2]OUT_Electricity_CHP!$D$1:$D$10000))*1,[2]OUT_Electricity_CHP!J$1:J$10000)</f>
        <v>16.571865356569432</v>
      </c>
      <c r="L15" s="1" cm="1">
        <f t="array" ref="L15">SUMPRODUCT(ISNUMBER(SEARCH("EHYD-PUM",[2]OUT_Electricity_CHP!$B$1:$B$10000))*1,([2]OUT_Electricity_CHP!$C$1:$C$10000="Var_Fin")*1,ISNUMBER(SEARCH("elc",[2]OUT_Electricity_CHP!$D$1:$D$10000))*1,[2]OUT_Electricity_CHP!K$1:K$10000)</f>
        <v>16.93355310109126</v>
      </c>
      <c r="N15" s="1"/>
    </row>
    <row r="16" spans="1:14" x14ac:dyDescent="0.3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12.557136404926036</v>
      </c>
      <c r="G16" s="1" cm="1">
        <f t="array" ref="G16">SUMPRODUCT(ISNUMBER(SEARCH("SOL",[1]OUT_PrimaryEnergyCons!$C$1:$C$1000))*1,[1]OUT_PrimaryEnergyCons!E$1:E$1000)</f>
        <v>16.525178250020552</v>
      </c>
      <c r="H16" s="1" cm="1">
        <f t="array" ref="H16">SUMPRODUCT(ISNUMBER(SEARCH("SOL",[1]OUT_PrimaryEnergyCons!$C$1:$C$1000))*1,[1]OUT_PrimaryEnergyCons!F$1:F$1000)</f>
        <v>30.421478522021395</v>
      </c>
      <c r="I16" s="1" cm="1">
        <f t="array" ref="I16">SUMPRODUCT(ISNUMBER(SEARCH("SOL",[1]OUT_PrimaryEnergyCons!$C$1:$C$1000))*1,[1]OUT_PrimaryEnergyCons!G$1:G$1000)</f>
        <v>56.344572823422311</v>
      </c>
      <c r="J16" s="1" cm="1">
        <f t="array" ref="J16">SUMPRODUCT(ISNUMBER(SEARCH("SOL",[2]OUT_PrimaryEnergyCons!$C$1:$C$1000))*1,[2]OUT_PrimaryEnergyCons!H$1:H$1000)</f>
        <v>59.545466727115873</v>
      </c>
      <c r="K16" s="1" cm="1">
        <f t="array" ref="K16">SUMPRODUCT(ISNUMBER(SEARCH("SOL",[2]OUT_PrimaryEnergyCons!$C$1:$C$1000))*1,[2]OUT_PrimaryEnergyCons!I$1:I$1000)</f>
        <v>122.30163088293489</v>
      </c>
      <c r="L16" s="1" cm="1">
        <f t="array" ref="L16">SUMPRODUCT(ISNUMBER(SEARCH("SOL",[2]OUT_PrimaryEnergyCons!$C$1:$C$1000))*1,[2]OUT_PrimaryEnergyCons!J$1:J$1000)</f>
        <v>148.23225676488994</v>
      </c>
      <c r="N16" s="1"/>
    </row>
    <row r="17" spans="1:18" x14ac:dyDescent="0.3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0.52448853879067292</v>
      </c>
      <c r="G17" s="1" cm="1">
        <f t="array" ref="G17">SUMPRODUCT(ISNUMBER(SEARCH("wnd",[1]OUT_PrimaryEnergyCons!$C$1:$C$1000))*1,[1]OUT_PrimaryEnergyCons!E$1:E$1000)</f>
        <v>0.54536871651479635</v>
      </c>
      <c r="H17" s="1" cm="1">
        <f t="array" ref="H17">SUMPRODUCT(ISNUMBER(SEARCH("wnd",[1]OUT_PrimaryEnergyCons!$C$1:$C$1000))*1,[1]OUT_PrimaryEnergyCons!F$1:F$1000)</f>
        <v>0.50324133458982423</v>
      </c>
      <c r="I17" s="1" cm="1">
        <f t="array" ref="I17">SUMPRODUCT(ISNUMBER(SEARCH("wnd",[1]OUT_PrimaryEnergyCons!$C$1:$C$1000))*1,[1]OUT_PrimaryEnergyCons!G$1:G$1000)</f>
        <v>2.0507563360817489</v>
      </c>
      <c r="J17" s="1" cm="1">
        <f t="array" ref="J17">SUMPRODUCT(ISNUMBER(SEARCH("wnd",[2]OUT_PrimaryEnergyCons!$C$1:$C$1000))*1,[2]OUT_PrimaryEnergyCons!H$1:H$1000)</f>
        <v>0.88236223827003468</v>
      </c>
      <c r="K17" s="1" cm="1">
        <f t="array" ref="K17">SUMPRODUCT(ISNUMBER(SEARCH("wnd",[2]OUT_PrimaryEnergyCons!$C$1:$C$1000))*1,[2]OUT_PrimaryEnergyCons!I$1:I$1000)</f>
        <v>0.88262132360875489</v>
      </c>
      <c r="L17" s="1" cm="1">
        <f t="array" ref="L17">SUMPRODUCT(ISNUMBER(SEARCH("wnd",[2]OUT_PrimaryEnergyCons!$C$1:$C$1000))*1,[2]OUT_PrimaryEnergyCons!J$1:J$1000)</f>
        <v>0.88263802244293388</v>
      </c>
      <c r="N17" s="1"/>
    </row>
    <row r="18" spans="1:18" x14ac:dyDescent="0.3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18.874840002774317</v>
      </c>
      <c r="G18" s="1">
        <f>[1]Overview!C$9-G19</f>
        <v>21.791946008281279</v>
      </c>
      <c r="H18" s="1">
        <f>[1]Overview!D$9-H19</f>
        <v>32.398774427637392</v>
      </c>
      <c r="I18" s="1">
        <f>[1]Overview!E$9-I19</f>
        <v>54.41742758755997</v>
      </c>
      <c r="J18" s="1">
        <f>[2]Overview!F$9-J19</f>
        <v>67.215216037291484</v>
      </c>
      <c r="K18" s="1">
        <f>[2]Overview!G$9-K19</f>
        <v>83.936062439106948</v>
      </c>
      <c r="L18" s="1">
        <f>[2]Overview!H$9-L19</f>
        <v>93.248149936457978</v>
      </c>
      <c r="N18" s="1"/>
    </row>
    <row r="19" spans="1:18" x14ac:dyDescent="0.3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+[2]Overview!F$28</f>
        <v>0</v>
      </c>
      <c r="K19" s="1">
        <f>+[2]Overview!G$28</f>
        <v>9.4748350035984332E-3</v>
      </c>
      <c r="L19" s="1">
        <f>+[2]Overview!H$28</f>
        <v>5.9867333897605401E-2</v>
      </c>
      <c r="N19" s="1"/>
    </row>
    <row r="20" spans="1:18" x14ac:dyDescent="0.3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781.77729874866941</v>
      </c>
      <c r="G20" s="3">
        <f t="shared" si="13"/>
        <v>700.48164129084591</v>
      </c>
      <c r="H20" s="3">
        <f t="shared" si="13"/>
        <v>650.19265407962757</v>
      </c>
      <c r="I20" s="3">
        <f t="shared" si="13"/>
        <v>500.05516870101371</v>
      </c>
      <c r="J20" s="3">
        <f t="shared" si="13"/>
        <v>404.63869680962364</v>
      </c>
      <c r="K20" s="3">
        <f t="shared" si="13"/>
        <v>297.53567265294998</v>
      </c>
      <c r="L20" s="3">
        <f t="shared" ref="L20" si="14">SUM(L21:L22,L41,L50:L51,L56)</f>
        <v>200.99340713667408</v>
      </c>
      <c r="M20" s="1"/>
      <c r="N20" s="1"/>
      <c r="O20" s="1"/>
      <c r="P20" s="1"/>
      <c r="Q20" s="1"/>
      <c r="R20" s="1"/>
    </row>
    <row r="21" spans="1:18" x14ac:dyDescent="0.3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3.6601882141811259</v>
      </c>
      <c r="G21" s="1" cm="1">
        <f t="array" ref="G21">SUMPRODUCT(("COA"=[1]OUT_PrimaryEnergyCons!$C$4:$C$10000)*1,[1]OUT_PrimaryEnergyCons!E$4:E$10000)</f>
        <v>3.5647660482432162</v>
      </c>
      <c r="H21" s="1" cm="1">
        <f t="array" ref="H21">SUMPRODUCT(("COA"=[1]OUT_PrimaryEnergyCons!$C$4:$C$10000)*1,[1]OUT_PrimaryEnergyCons!F$4:F$10000)</f>
        <v>0.15596099168927152</v>
      </c>
      <c r="I21" s="1" cm="1">
        <f t="array" ref="I21">SUMPRODUCT(("COA"=[1]OUT_PrimaryEnergyCons!$C$4:$C$10000)*1,[1]OUT_PrimaryEnergyCons!G$4:G$10000)</f>
        <v>4.6208376640515239E-3</v>
      </c>
      <c r="J21" s="1" cm="1">
        <f t="array" ref="J21">SUMPRODUCT(("COA"=[2]OUT_PrimaryEnergyCons!$C$4:$C$10000)*1,[2]OUT_PrimaryEnergyCons!H$4:H$10000)</f>
        <v>2.2535582696409798E-3</v>
      </c>
      <c r="K21" s="1" cm="1">
        <f t="array" ref="K21">SUMPRODUCT(("COA"=[2]OUT_PrimaryEnergyCons!$C$4:$C$10000)*1,[2]OUT_PrimaryEnergyCons!I$4:I$10000)</f>
        <v>2.5928858867473818E-4</v>
      </c>
      <c r="L21" s="1" cm="1">
        <f t="array" ref="L21">SUMPRODUCT(("COA"=[2]OUT_PrimaryEnergyCons!$C$4:$C$10000)*1,[2]OUT_PrimaryEnergyCons!J$4:J$10000)</f>
        <v>0</v>
      </c>
      <c r="N21" s="1"/>
    </row>
    <row r="22" spans="1:18" x14ac:dyDescent="0.3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311.19204139929144</v>
      </c>
      <c r="G22" s="1">
        <f t="shared" ref="G22:K22" si="15">G23+G29</f>
        <v>286.59565245584537</v>
      </c>
      <c r="H22" s="1">
        <f t="shared" si="15"/>
        <v>260.17311711540322</v>
      </c>
      <c r="I22" s="1">
        <f t="shared" si="15"/>
        <v>158.41676724599998</v>
      </c>
      <c r="J22" s="1">
        <f t="shared" si="15"/>
        <v>106.45379886735832</v>
      </c>
      <c r="K22" s="1">
        <f t="shared" si="15"/>
        <v>66.186767900318173</v>
      </c>
      <c r="L22" s="1">
        <f t="shared" ref="L22" si="16">L23+L29</f>
        <v>78.497247165782625</v>
      </c>
      <c r="N22" s="1"/>
    </row>
    <row r="23" spans="1:18" x14ac:dyDescent="0.3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305.33109084662027</v>
      </c>
      <c r="G23" s="1">
        <f t="shared" ref="G23:K23" si="20">SUM(G24:G28)</f>
        <v>280.7364963933216</v>
      </c>
      <c r="H23" s="1">
        <f t="shared" si="20"/>
        <v>254.31385051000939</v>
      </c>
      <c r="I23" s="1">
        <f t="shared" si="20"/>
        <v>148.06345464879749</v>
      </c>
      <c r="J23" s="1">
        <f t="shared" si="20"/>
        <v>85.425737658087868</v>
      </c>
      <c r="K23" s="1">
        <f t="shared" si="20"/>
        <v>34.734027654282507</v>
      </c>
      <c r="L23" s="1">
        <f t="shared" ref="L23" si="21">SUM(L24:L28)</f>
        <v>0</v>
      </c>
      <c r="N23" s="1"/>
    </row>
    <row r="24" spans="1:18" x14ac:dyDescent="0.3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102.14686482660032</v>
      </c>
      <c r="G24" s="1" cm="1">
        <f t="array" ref="G24">SUMPRODUCT(("LFO"=[1]OUT_PrimaryEnergyCons!$C$4:$C$10000)*1,[1]OUT_PrimaryEnergyCons!E$4:E$10000)</f>
        <v>88.232629849963274</v>
      </c>
      <c r="H24" s="1" cm="1">
        <f t="array" ref="H24">SUMPRODUCT(("LFO"=[1]OUT_PrimaryEnergyCons!$C$4:$C$10000)*1,[1]OUT_PrimaryEnergyCons!F$4:F$10000)</f>
        <v>86.025824283526873</v>
      </c>
      <c r="I24" s="1" cm="1">
        <f t="array" ref="I24">SUMPRODUCT(("LFO"=[1]OUT_PrimaryEnergyCons!$C$4:$C$10000)*1,[1]OUT_PrimaryEnergyCons!G$4:G$10000)</f>
        <v>47.723315078576853</v>
      </c>
      <c r="J24" s="1" cm="1">
        <f t="array" ref="J24">SUMPRODUCT(("LFO"=[2]OUT_PrimaryEnergyCons!$C$4:$C$10000)*1,[2]OUT_PrimaryEnergyCons!H$4:H$10000)</f>
        <v>33.37714861271521</v>
      </c>
      <c r="K24" s="1" cm="1">
        <f t="array" ref="K24">SUMPRODUCT(("LFO"=[2]OUT_PrimaryEnergyCons!$C$4:$C$10000)*1,[2]OUT_PrimaryEnergyCons!I$4:I$10000)</f>
        <v>14.881553656745623</v>
      </c>
      <c r="L24" s="1" cm="1">
        <f t="array" ref="L24">SUMPRODUCT(("LFO"=[2]OUT_PrimaryEnergyCons!$C$4:$C$10000)*1,[2]OUT_PrimaryEnergyCons!J$4:J$10000)</f>
        <v>0</v>
      </c>
      <c r="N24" s="1"/>
    </row>
    <row r="25" spans="1:18" x14ac:dyDescent="0.3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2.7765248325854821</v>
      </c>
      <c r="G25" s="1" cm="1">
        <f t="array" ref="G25">SUMPRODUCT(("HFO"=[1]OUT_PrimaryEnergyCons!$C$4:$C$10000)*1,[1]OUT_PrimaryEnergyCons!E$4:E$10000)</f>
        <v>2.7643673663297474</v>
      </c>
      <c r="H25" s="1" cm="1">
        <f t="array" ref="H25">SUMPRODUCT(("HFO"=[1]OUT_PrimaryEnergyCons!$C$4:$C$10000)*1,[1]OUT_PrimaryEnergyCons!F$4:F$10000)</f>
        <v>4.8276246552936893E-2</v>
      </c>
      <c r="I25" s="1" cm="1">
        <f t="array" ref="I25">SUMPRODUCT(("HFO"=[1]OUT_PrimaryEnergyCons!$C$4:$C$10000)*1,[1]OUT_PrimaryEnergyCons!G$4:G$10000)</f>
        <v>4.6215869532633732E-3</v>
      </c>
      <c r="J25" s="1" cm="1">
        <f t="array" ref="J25">SUMPRODUCT(("HFO"=[2]OUT_PrimaryEnergyCons!$C$4:$C$10000)*1,[2]OUT_PrimaryEnergyCons!H$4:H$10000)</f>
        <v>3.2822558842233339E-3</v>
      </c>
      <c r="K25" s="1" cm="1">
        <f t="array" ref="K25">SUMPRODUCT(("HFO"=[2]OUT_PrimaryEnergyCons!$C$4:$C$10000)*1,[2]OUT_PrimaryEnergyCons!I$4:I$10000)</f>
        <v>2.6092289433621584E-4</v>
      </c>
      <c r="L25" s="1" cm="1">
        <f t="array" ref="L25">SUMPRODUCT(("HFO"=[2]OUT_PrimaryEnergyCons!$C$4:$C$10000)*1,[2]OUT_PrimaryEnergyCons!J$4:J$10000)</f>
        <v>0</v>
      </c>
      <c r="N25" s="1"/>
    </row>
    <row r="26" spans="1:18" x14ac:dyDescent="0.3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121.89424816293706</v>
      </c>
      <c r="G26" s="1" cm="1">
        <f t="array" ref="G26">SUMPRODUCT(("DSL"=[1]OUT_PrimaryEnergyCons!$C$4:$C$10000)*1,[1]OUT_PrimaryEnergyCons!E$4:E$10000)</f>
        <v>112.68574983712354</v>
      </c>
      <c r="H26" s="1" cm="1">
        <f t="array" ref="H26">SUMPRODUCT(("DSL"=[1]OUT_PrimaryEnergyCons!$C$4:$C$10000)*1,[1]OUT_PrimaryEnergyCons!F$4:F$10000)</f>
        <v>95.48232651826433</v>
      </c>
      <c r="I26" s="1" cm="1">
        <f t="array" ref="I26">SUMPRODUCT(("DSL"=[1]OUT_PrimaryEnergyCons!$C$4:$C$10000)*1,[1]OUT_PrimaryEnergyCons!G$4:G$10000)</f>
        <v>56.806864888603791</v>
      </c>
      <c r="J26" s="1" cm="1">
        <f t="array" ref="J26">SUMPRODUCT(("DSL"=[2]OUT_PrimaryEnergyCons!$C$4:$C$10000)*1,[2]OUT_PrimaryEnergyCons!H$4:H$10000)</f>
        <v>32.383459577704294</v>
      </c>
      <c r="K26" s="1" cm="1">
        <f t="array" ref="K26">SUMPRODUCT(("DSL"=[2]OUT_PrimaryEnergyCons!$C$4:$C$10000)*1,[2]OUT_PrimaryEnergyCons!I$4:I$10000)</f>
        <v>14.542963617114063</v>
      </c>
      <c r="L26" s="1" cm="1">
        <f t="array" ref="L26">SUMPRODUCT(("DSL"=[2]OUT_PrimaryEnergyCons!$C$4:$C$10000)*1,[2]OUT_PrimaryEnergyCons!J$4:J$10000)</f>
        <v>0</v>
      </c>
      <c r="N26" s="1"/>
    </row>
    <row r="27" spans="1:18" x14ac:dyDescent="0.3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77.404073620847043</v>
      </c>
      <c r="G27" s="1" cm="1">
        <f t="array" ref="G27">SUMPRODUCT(("GSL"=[1]OUT_PrimaryEnergyCons!$C$4:$C$10000)*1,[1]OUT_PrimaryEnergyCons!E$4:E$10000)</f>
        <v>75.649647193300396</v>
      </c>
      <c r="H27" s="1" cm="1">
        <f t="array" ref="H27">SUMPRODUCT(("GSL"=[1]OUT_PrimaryEnergyCons!$C$4:$C$10000)*1,[1]OUT_PrimaryEnergyCons!F$4:F$10000)</f>
        <v>70.929145538586567</v>
      </c>
      <c r="I27" s="1" cm="1">
        <f t="array" ref="I27">SUMPRODUCT(("GSL"=[1]OUT_PrimaryEnergyCons!$C$4:$C$10000)*1,[1]OUT_PrimaryEnergyCons!G$4:G$10000)</f>
        <v>41.082883194158065</v>
      </c>
      <c r="J27" s="1" cm="1">
        <f t="array" ref="J27">SUMPRODUCT(("GSL"=[2]OUT_PrimaryEnergyCons!$C$4:$C$10000)*1,[2]OUT_PrimaryEnergyCons!H$4:H$10000)</f>
        <v>17.074841040667547</v>
      </c>
      <c r="K27" s="1" cm="1">
        <f t="array" ref="K27">SUMPRODUCT(("GSL"=[2]OUT_PrimaryEnergyCons!$C$4:$C$10000)*1,[2]OUT_PrimaryEnergyCons!I$4:I$10000)</f>
        <v>3.1825326523143311</v>
      </c>
      <c r="L27" s="1" cm="1">
        <f t="array" ref="L27">SUMPRODUCT(("GSL"=[2]OUT_PrimaryEnergyCons!$C$4:$C$10000)*1,[2]OUT_PrimaryEnergyCons!J$4:J$10000)</f>
        <v>0</v>
      </c>
      <c r="N27" s="1"/>
    </row>
    <row r="28" spans="1:18" x14ac:dyDescent="0.3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1.1093794036503803</v>
      </c>
      <c r="G28" s="1" cm="1">
        <f t="array" ref="G28">SUMPRODUCT(("KER"=[1]OUT_PrimaryEnergyCons!$C$4:$C$10000)*1,[1]OUT_PrimaryEnergyCons!E$4:E$10000)</f>
        <v>1.4041021466046504</v>
      </c>
      <c r="H28" s="1" cm="1">
        <f t="array" ref="H28">SUMPRODUCT(("KER"=[1]OUT_PrimaryEnergyCons!$C$4:$C$10000)*1,[1]OUT_PrimaryEnergyCons!F$4:F$10000)</f>
        <v>1.8282779230786981</v>
      </c>
      <c r="I28" s="1" cm="1">
        <f t="array" ref="I28">SUMPRODUCT(("KER"=[1]OUT_PrimaryEnergyCons!$C$4:$C$10000)*1,[1]OUT_PrimaryEnergyCons!G$4:G$10000)</f>
        <v>2.4457699005055282</v>
      </c>
      <c r="J28" s="1" cm="1">
        <f t="array" ref="J28">SUMPRODUCT(("KER"=[2]OUT_PrimaryEnergyCons!$C$4:$C$10000)*1,[2]OUT_PrimaryEnergyCons!H$4:H$10000)</f>
        <v>2.5870061711165926</v>
      </c>
      <c r="K28" s="1" cm="1">
        <f t="array" ref="K28">SUMPRODUCT(("KER"=[2]OUT_PrimaryEnergyCons!$C$4:$C$10000)*1,[2]OUT_PrimaryEnergyCons!I$4:I$10000)</f>
        <v>2.1267168052141514</v>
      </c>
      <c r="L28" s="1" cm="1">
        <f t="array" ref="L28">SUMPRODUCT(("KER"=[2]OUT_PrimaryEnergyCons!$C$4:$C$10000)*1,[2]OUT_PrimaryEnergyCons!J$4:J$10000)</f>
        <v>0</v>
      </c>
      <c r="N28" s="1"/>
    </row>
    <row r="29" spans="1:18" x14ac:dyDescent="0.3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5.8609505526711647</v>
      </c>
      <c r="G29" s="1">
        <f t="shared" ref="G29:K29" si="25">SUM(G30:G32)</f>
        <v>5.859156062523784</v>
      </c>
      <c r="H29" s="1">
        <f t="shared" si="25"/>
        <v>5.8592666053938247</v>
      </c>
      <c r="I29" s="1">
        <f t="shared" si="25"/>
        <v>10.353312597202482</v>
      </c>
      <c r="J29" s="1">
        <f t="shared" si="25"/>
        <v>21.028061209270447</v>
      </c>
      <c r="K29" s="1">
        <f t="shared" si="25"/>
        <v>31.452740246035663</v>
      </c>
      <c r="L29" s="1">
        <f t="shared" ref="L29" si="26">SUM(L30:L32)</f>
        <v>78.497247165782625</v>
      </c>
      <c r="N29" s="1"/>
    </row>
    <row r="30" spans="1:18" x14ac:dyDescent="0.3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2.8760568952153025</v>
      </c>
      <c r="G30" s="1" cm="1">
        <f t="array" ref="G30">SUMPRODUCT(ISNUMBER(SEARCH("IMPBDS",[1]OUT_SyntheticFuels!$C$4:$C$1000))*1,("Var_Fout"=[1]OUT_SyntheticFuels!$B$4:$B$1000)*1,[1]OUT_SyntheticFuels!F$4:F$1000)-G32</f>
        <v>1.8135911085892917</v>
      </c>
      <c r="H30" s="1" cm="1">
        <f t="array" ref="H30">SUMPRODUCT(ISNUMBER(SEARCH("IMPBDS",[1]OUT_SyntheticFuels!$C$4:$C$1000))*1,("Var_Fout"=[1]OUT_SyntheticFuels!$B$4:$B$1000)*1,[1]OUT_SyntheticFuels!G$4:G$1000)-H32</f>
        <v>3.2681377156991562</v>
      </c>
      <c r="I30" s="1" cm="1">
        <f t="array" ref="I30">SUMPRODUCT(ISNUMBER(SEARCH("IMPBDS",[1]OUT_SyntheticFuels!$C$4:$C$1000))*1,("Var_Fout"=[1]OUT_SyntheticFuels!$B$4:$B$1000)*1,[1]OUT_SyntheticFuels!H$4:H$1000)-I32</f>
        <v>3.2465039351268459</v>
      </c>
      <c r="J30" s="1" cm="1">
        <f t="array" ref="J30">SUMPRODUCT(ISNUMBER(SEARCH("IMPBDS",[2]OUT_SyntheticFuels!$C$4:$C$1000))*1,("Var_Fout"=[2]OUT_SyntheticFuels!$B$4:$B$1000)*1,[2]OUT_SyntheticFuels!I$4:I$1000)-J32</f>
        <v>3.1577695411135842</v>
      </c>
      <c r="K30" s="1" cm="1">
        <f t="array" ref="K30">SUMPRODUCT(ISNUMBER(SEARCH("IMPBDS",[2]OUT_SyntheticFuels!$C$4:$C$1000))*1,("Var_Fout"=[2]OUT_SyntheticFuels!$B$4:$B$1000)*1,[2]OUT_SyntheticFuels!J$4:J$1000)-K32</f>
        <v>3.1436814307978374</v>
      </c>
      <c r="L30" s="1" cm="1">
        <f t="array" ref="L30">SUMPRODUCT(ISNUMBER(SEARCH("IMPBDS",[2]OUT_SyntheticFuels!$C$4:$C$1000))*1,("Var_Fout"=[2]OUT_SyntheticFuels!$B$4:$B$1000)*1,[2]OUT_SyntheticFuels!K$4:K$1000)-L32</f>
        <v>2.6309265232634687</v>
      </c>
      <c r="N30" s="1"/>
    </row>
    <row r="31" spans="1:18" x14ac:dyDescent="0.3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2.9848618205759734</v>
      </c>
      <c r="G31" s="1" cm="1">
        <f t="array" ref="G31">SUMPRODUCT(ISNUMBER(SEARCH("IMPeth",[1]OUT_SyntheticFuels!$C$4:$C$1000))*1,("Var_Fout"=[1]OUT_SyntheticFuels!$B$4:$B$1000)*1,[1]OUT_SyntheticFuels!F$4:F$1000)</f>
        <v>4.0443988278181138</v>
      </c>
      <c r="H31" s="1" cm="1">
        <f t="array" ref="H31">SUMPRODUCT(ISNUMBER(SEARCH("IMPeth",[1]OUT_SyntheticFuels!$C$4:$C$1000))*1,("Var_Fout"=[1]OUT_SyntheticFuels!$B$4:$B$1000)*1,[1]OUT_SyntheticFuels!G$4:G$1000)</f>
        <v>2.570739257428853</v>
      </c>
      <c r="I31" s="1" cm="1">
        <f t="array" ref="I31">SUMPRODUCT(ISNUMBER(SEARCH("IMPeth",[1]OUT_SyntheticFuels!$C$4:$C$1000))*1,("Var_Fout"=[1]OUT_SyntheticFuels!$B$4:$B$1000)*1,[1]OUT_SyntheticFuels!H$4:H$1000)</f>
        <v>1.9550049530579647</v>
      </c>
      <c r="J31" s="1" cm="1">
        <f t="array" ref="J31">SUMPRODUCT(ISNUMBER(SEARCH("IMPeth",[2]OUT_SyntheticFuels!$C$4:$C$1000))*1,("Var_Fout"=[2]OUT_SyntheticFuels!$B$4:$B$1000)*1,[2]OUT_SyntheticFuels!I$4:I$1000)</f>
        <v>1.4002000568921704</v>
      </c>
      <c r="K31" s="1" cm="1">
        <f t="array" ref="K31">SUMPRODUCT(ISNUMBER(SEARCH("IMPeth",[2]OUT_SyntheticFuels!$C$4:$C$1000))*1,("Var_Fout"=[2]OUT_SyntheticFuels!$B$4:$B$1000)*1,[2]OUT_SyntheticFuels!J$4:J$1000)</f>
        <v>1.2575291909690842</v>
      </c>
      <c r="L31" s="1" cm="1">
        <f t="array" ref="L31">SUMPRODUCT(ISNUMBER(SEARCH("IMPeth",[2]OUT_SyntheticFuels!$C$4:$C$1000))*1,("Var_Fout"=[2]OUT_SyntheticFuels!$B$4:$B$1000)*1,[2]OUT_SyntheticFuels!K$4:K$1000)</f>
        <v>9.2687702175031209E-2</v>
      </c>
      <c r="N31" s="1"/>
    </row>
    <row r="32" spans="1:18" x14ac:dyDescent="0.3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3.18368798889021E-5</v>
      </c>
      <c r="G32" s="1">
        <f>SUM([1]Transport_Aviation_Intl!C$12,[1]Transport!C$28)</f>
        <v>1.16612611637865E-3</v>
      </c>
      <c r="H32" s="1">
        <f>SUM([1]Transport_Aviation_Intl!D$12,[1]Transport!D$28)</f>
        <v>2.0389632265815898E-2</v>
      </c>
      <c r="I32" s="1">
        <f>SUM([1]Transport_Aviation_Intl!E$12,[1]Transport!E$28)</f>
        <v>5.1518037090176705</v>
      </c>
      <c r="J32" s="1">
        <f>SUM([2]Transport_Aviation_Intl!F$12,[2]Transport!F$28)</f>
        <v>16.470091611264692</v>
      </c>
      <c r="K32" s="1">
        <f>SUM([2]Transport_Aviation_Intl!G$12,[2]Transport!G$28)</f>
        <v>27.051529624268742</v>
      </c>
      <c r="L32" s="1">
        <f>SUM([2]Transport_Aviation_Intl!H$12,[2]Transport!H$28)</f>
        <v>75.773632940344129</v>
      </c>
      <c r="N32" s="1"/>
    </row>
    <row r="33" spans="1:14" x14ac:dyDescent="0.3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5.8609505526711647</v>
      </c>
      <c r="G33" s="1">
        <f t="shared" si="27"/>
        <v>5.859156062523784</v>
      </c>
      <c r="H33" s="1">
        <f t="shared" si="27"/>
        <v>5.8592666053938247</v>
      </c>
      <c r="I33" s="1">
        <f t="shared" si="27"/>
        <v>10.353312597202482</v>
      </c>
      <c r="J33" s="1">
        <f t="shared" si="27"/>
        <v>9.7097733070234256</v>
      </c>
      <c r="K33" s="1">
        <f>SUM(K34:K36)</f>
        <v>20.871302233031614</v>
      </c>
      <c r="L33" s="1">
        <f>SUM(L34:L36)</f>
        <v>29.775143849707241</v>
      </c>
      <c r="N33" s="1"/>
    </row>
    <row r="34" spans="1:14" x14ac:dyDescent="0.3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8">F30</f>
        <v>2.8760568952153025</v>
      </c>
      <c r="G34" s="1">
        <f t="shared" si="28"/>
        <v>1.8135911085892917</v>
      </c>
      <c r="H34" s="1">
        <f t="shared" si="28"/>
        <v>3.2681377156991562</v>
      </c>
      <c r="I34" s="1">
        <f t="shared" si="28"/>
        <v>3.2465039351268459</v>
      </c>
      <c r="J34" s="1">
        <f>IF(J30-MAX(F30:I30)&lt;0,J30,MAX(F30:I30))</f>
        <v>3.1577695411135842</v>
      </c>
      <c r="K34" s="1">
        <f>IF(K30-MAX(F30:J30)&lt;0,K30,MAX(F30:J30))</f>
        <v>3.1436814307978374</v>
      </c>
      <c r="L34" s="1">
        <f>IF(L30-MAX(G30:K30)&lt;0,L30,MAX(G30:K30))</f>
        <v>2.6309265232634687</v>
      </c>
      <c r="N34" s="1"/>
    </row>
    <row r="35" spans="1:14" x14ac:dyDescent="0.3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8"/>
        <v>2.9848618205759734</v>
      </c>
      <c r="G35" s="1">
        <f t="shared" si="28"/>
        <v>4.0443988278181138</v>
      </c>
      <c r="H35" s="1">
        <f t="shared" si="28"/>
        <v>2.570739257428853</v>
      </c>
      <c r="I35" s="1">
        <f t="shared" si="28"/>
        <v>1.9550049530579647</v>
      </c>
      <c r="J35" s="1">
        <f>IF(J31-MAX(F31:I31)&lt;0,J31,MAX(F31:I31))</f>
        <v>1.4002000568921704</v>
      </c>
      <c r="K35" s="1">
        <f>IF(K31-MAX(F31:J31)&lt;0,K31,MAX(F31:J31))</f>
        <v>1.2575291909690842</v>
      </c>
      <c r="L35" s="1">
        <f>IF(L31-MAX(G31:K31)&lt;0,L31,MAX(G31:K31))</f>
        <v>9.2687702175031209E-2</v>
      </c>
      <c r="N35" s="1"/>
    </row>
    <row r="36" spans="1:14" x14ac:dyDescent="0.3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3.18368798889021E-5</v>
      </c>
      <c r="G36" s="1">
        <f>SUM([1]Transport!C$28,[1]Transport_Aviation_Intl!C$12)</f>
        <v>1.16612611637865E-3</v>
      </c>
      <c r="H36" s="1">
        <f>SUM([1]Transport!D$28,[1]Transport_Aviation_Intl!D$12)</f>
        <v>2.0389632265815898E-2</v>
      </c>
      <c r="I36" s="1">
        <f>SUM([1]Transport!E$28,[1]Transport_Aviation_Intl!E$12)</f>
        <v>5.1518037090176705</v>
      </c>
      <c r="J36" s="1">
        <f>IF(J32-MAX(F32:I32)&lt;0,J32,MAX(F32:I32))</f>
        <v>5.1518037090176705</v>
      </c>
      <c r="K36" s="1">
        <f>IF(K32-MAX(G32:J32)&lt;0,K32,MAX(G32:J32))</f>
        <v>16.470091611264692</v>
      </c>
      <c r="L36" s="1">
        <f>IF(L32-MAX(H32:K32)&lt;0,L32,MAX(H32:K32))</f>
        <v>27.051529624268742</v>
      </c>
      <c r="N36" s="1"/>
    </row>
    <row r="37" spans="1:14" x14ac:dyDescent="0.3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29">SUM(G38:G40)</f>
        <v>0</v>
      </c>
      <c r="H37" s="1">
        <f t="shared" si="29"/>
        <v>0</v>
      </c>
      <c r="I37" s="1">
        <f t="shared" si="29"/>
        <v>0</v>
      </c>
      <c r="J37" s="1">
        <f t="shared" si="29"/>
        <v>11.318287902247022</v>
      </c>
      <c r="K37" s="1">
        <f t="shared" si="29"/>
        <v>10.58143801300405</v>
      </c>
      <c r="L37" s="1">
        <f t="shared" ref="L37" si="30">SUM(L38:L40)</f>
        <v>48.72210331607539</v>
      </c>
      <c r="N37" s="1"/>
    </row>
    <row r="38" spans="1:14" x14ac:dyDescent="0.3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1">J30-J34</f>
        <v>0</v>
      </c>
      <c r="K38" s="1">
        <f t="shared" si="31"/>
        <v>0</v>
      </c>
      <c r="L38" s="1">
        <f t="shared" ref="L38" si="32">L30-L34</f>
        <v>0</v>
      </c>
      <c r="N38" s="1"/>
    </row>
    <row r="39" spans="1:14" x14ac:dyDescent="0.3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1"/>
        <v>0</v>
      </c>
      <c r="K39" s="1">
        <f t="shared" si="31"/>
        <v>0</v>
      </c>
      <c r="L39" s="1">
        <f t="shared" ref="L39" si="33">L31-L35</f>
        <v>0</v>
      </c>
      <c r="N39" s="1"/>
    </row>
    <row r="40" spans="1:14" x14ac:dyDescent="0.3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1"/>
        <v>11.318287902247022</v>
      </c>
      <c r="K40" s="1">
        <f t="shared" si="31"/>
        <v>10.58143801300405</v>
      </c>
      <c r="L40" s="1">
        <f t="shared" ref="L40" si="34">L32-L36</f>
        <v>48.72210331607539</v>
      </c>
      <c r="N40" s="1"/>
    </row>
    <row r="41" spans="1:14" x14ac:dyDescent="0.35">
      <c r="A41" s="5" t="str">
        <f t="shared" ref="A41:C42" si="35">A28</f>
        <v>STEM</v>
      </c>
      <c r="B41" s="5" t="str">
        <f t="shared" si="35"/>
        <v>SPS1</v>
      </c>
      <c r="C41" s="5" t="str">
        <f t="shared" si="35"/>
        <v>CH</v>
      </c>
      <c r="D41" t="s">
        <v>783</v>
      </c>
      <c r="E41" t="s">
        <v>8</v>
      </c>
      <c r="F41" s="1">
        <f>F42+F45</f>
        <v>118.81618615236589</v>
      </c>
      <c r="G41" s="1">
        <f t="shared" ref="G41:K41" si="36">G42+G45</f>
        <v>106.72179597074525</v>
      </c>
      <c r="H41" s="1">
        <f t="shared" si="36"/>
        <v>106.23083898984014</v>
      </c>
      <c r="I41" s="1">
        <f t="shared" si="36"/>
        <v>79.110953288860841</v>
      </c>
      <c r="J41" s="1">
        <f t="shared" si="36"/>
        <v>54.102615533742096</v>
      </c>
      <c r="K41" s="1">
        <f t="shared" si="36"/>
        <v>15.887667311077065</v>
      </c>
      <c r="L41" s="1">
        <f t="shared" ref="L41" si="37">L42+L45</f>
        <v>1.4205634316708096</v>
      </c>
      <c r="N41" s="1"/>
    </row>
    <row r="42" spans="1:14" x14ac:dyDescent="0.35">
      <c r="A42" s="5" t="str">
        <f t="shared" si="35"/>
        <v>STEM</v>
      </c>
      <c r="B42" s="5" t="str">
        <f t="shared" si="35"/>
        <v>SPS1</v>
      </c>
      <c r="C42" s="5" t="str">
        <f t="shared" si="35"/>
        <v>CH</v>
      </c>
      <c r="D42" t="s">
        <v>549</v>
      </c>
      <c r="E42" t="s">
        <v>8</v>
      </c>
      <c r="F42" s="1">
        <f>F43+F44</f>
        <v>118.81618615236589</v>
      </c>
      <c r="G42" s="1">
        <f t="shared" ref="G42:K42" si="38">G43+G44</f>
        <v>106.72001471923431</v>
      </c>
      <c r="H42" s="1">
        <f t="shared" si="38"/>
        <v>106.22916669823748</v>
      </c>
      <c r="I42" s="1">
        <f t="shared" si="38"/>
        <v>78.583730394163766</v>
      </c>
      <c r="J42" s="1">
        <f t="shared" si="38"/>
        <v>52.826233381902355</v>
      </c>
      <c r="K42" s="1">
        <f t="shared" si="38"/>
        <v>14.454587504755274</v>
      </c>
      <c r="L42" s="1">
        <f t="shared" ref="L42" si="39">L43+L44</f>
        <v>0</v>
      </c>
      <c r="N42" s="1"/>
    </row>
    <row r="43" spans="1:14" x14ac:dyDescent="0.3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118.81618615236589</v>
      </c>
      <c r="G43" s="1" cm="1">
        <f t="array" ref="G43">SUMPRODUCT(("NGA"=[1]OUT_PrimaryEnergyCons!$C$4:$C$10000)*1,[1]OUT_PrimaryEnergyCons!E$4:E$10000)</f>
        <v>106.72001471923431</v>
      </c>
      <c r="H43" s="1" cm="1">
        <f t="array" ref="H43">SUMPRODUCT(("NGA"=[1]OUT_PrimaryEnergyCons!$C$4:$C$10000)*1,[1]OUT_PrimaryEnergyCons!F$4:F$10000)</f>
        <v>106.22916669823748</v>
      </c>
      <c r="I43" s="1" cm="1">
        <f t="array" ref="I43">SUMPRODUCT(("NGA"=[1]OUT_PrimaryEnergyCons!$C$4:$C$10000)*1,[1]OUT_PrimaryEnergyCons!G$4:G$10000)</f>
        <v>78.53998988218585</v>
      </c>
      <c r="J43" s="1" cm="1">
        <f t="array" ref="J43">SUMPRODUCT(("NGA"=[2]OUT_PrimaryEnergyCons!$C$4:$C$10000)*1,[2]OUT_PrimaryEnergyCons!H$4:H$10000)</f>
        <v>52.82409856135979</v>
      </c>
      <c r="K43" s="1" cm="1">
        <f t="array" ref="K43">SUMPRODUCT(("NGA"=[2]OUT_PrimaryEnergyCons!$C$4:$C$10000)*1,[2]OUT_PrimaryEnergyCons!I$4:I$10000)</f>
        <v>14.453056363863764</v>
      </c>
      <c r="L43" s="1" cm="1">
        <f t="array" ref="L43">SUMPRODUCT(("NGA"=[2]OUT_PrimaryEnergyCons!$C$4:$C$10000)*1,[2]OUT_PrimaryEnergyCons!J$4:J$10000)</f>
        <v>0</v>
      </c>
      <c r="N43" s="1"/>
    </row>
    <row r="44" spans="1:14" x14ac:dyDescent="0.3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4.3740511977914093E-2</v>
      </c>
      <c r="J44" s="1" cm="1">
        <f t="array" ref="J44">SUMPRODUCT(("LNGA"=[2]OUT_PrimaryEnergyCons!$C$4:$C$10000)*1,[2]OUT_PrimaryEnergyCons!H$4:H$10000)</f>
        <v>2.1348205425635309E-3</v>
      </c>
      <c r="K44" s="1" cm="1">
        <f t="array" ref="K44">SUMPRODUCT(("LNGA"=[2]OUT_PrimaryEnergyCons!$C$4:$C$10000)*1,[2]OUT_PrimaryEnergyCons!I$4:I$10000)</f>
        <v>1.5311408915099089E-3</v>
      </c>
      <c r="L44" s="1" cm="1">
        <f t="array" ref="L44">SUMPRODUCT(("LNGA"=[2]OUT_PrimaryEnergyCons!$C$4:$C$10000)*1,[2]OUT_PrimaryEnergyCons!J$4:J$10000)</f>
        <v>0</v>
      </c>
      <c r="N44" s="1"/>
    </row>
    <row r="45" spans="1:14" x14ac:dyDescent="0.3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1.7812515109373096E-3</v>
      </c>
      <c r="H45" s="1" cm="1">
        <f t="array" ref="H45">SUMPRODUCT(("BIO"=[1]OUT_PrimaryEnergyCons!$C$4:$C$10000)*1+("LBIO"=[1]OUT_PrimaryEnergyCons!$C$4:$C$10000)*1,[1]OUT_PrimaryEnergyCons!F$4:F$10000)</f>
        <v>1.6722916026538155E-3</v>
      </c>
      <c r="I45" s="1" cm="1">
        <f t="array" ref="I45">SUMPRODUCT(("BIO"=[1]OUT_PrimaryEnergyCons!$C$4:$C$10000)*1+("LBIO"=[1]OUT_PrimaryEnergyCons!$C$4:$C$10000)*1,[1]OUT_PrimaryEnergyCons!G$4:G$10000)</f>
        <v>0.5272228946970724</v>
      </c>
      <c r="J45" s="1" cm="1">
        <f t="array" ref="J45">SUMPRODUCT(("BIO"=[2]OUT_PrimaryEnergyCons!$C$4:$C$10000)*1+("LBIO"=[2]OUT_PrimaryEnergyCons!$C$4:$C$10000)*1,[2]OUT_PrimaryEnergyCons!H$4:H$10000)</f>
        <v>1.2763821518397382</v>
      </c>
      <c r="K45" s="1" cm="1">
        <f t="array" ref="K45">SUMPRODUCT(("BIO"=[2]OUT_PrimaryEnergyCons!$C$4:$C$10000)*1+("LBIO"=[2]OUT_PrimaryEnergyCons!$C$4:$C$10000)*1,[2]OUT_PrimaryEnergyCons!I$4:I$10000)</f>
        <v>1.4330798063217909</v>
      </c>
      <c r="L45" s="1" cm="1">
        <f t="array" ref="L45">SUMPRODUCT(("BIO"=[2]OUT_PrimaryEnergyCons!$C$4:$C$10000)*1+("LBIO"=[2]OUT_PrimaryEnergyCons!$C$4:$C$10000)*1,[2]OUT_PrimaryEnergyCons!J$4:J$10000)</f>
        <v>1.4205634316708096</v>
      </c>
      <c r="N45" s="1"/>
    </row>
    <row r="46" spans="1:14" x14ac:dyDescent="0.35">
      <c r="A46" s="5" t="str">
        <f t="shared" ref="A46:C47" si="40">A45</f>
        <v>STEM</v>
      </c>
      <c r="B46" s="5" t="str">
        <f t="shared" si="40"/>
        <v>SPS1</v>
      </c>
      <c r="C46" s="5" t="str">
        <f t="shared" si="40"/>
        <v>CH</v>
      </c>
      <c r="D46" t="s">
        <v>785</v>
      </c>
      <c r="E46" t="s">
        <v>8</v>
      </c>
      <c r="F46" s="1">
        <f t="shared" ref="F46:L46" si="41">F47</f>
        <v>0</v>
      </c>
      <c r="G46" s="1">
        <f t="shared" si="41"/>
        <v>1.7812515109373096E-3</v>
      </c>
      <c r="H46" s="1">
        <f t="shared" si="41"/>
        <v>1.6722916026538155E-3</v>
      </c>
      <c r="I46" s="1">
        <f t="shared" si="41"/>
        <v>0.5272228946970724</v>
      </c>
      <c r="J46" s="1">
        <f t="shared" si="41"/>
        <v>0.5272228946970724</v>
      </c>
      <c r="K46" s="1">
        <f t="shared" si="41"/>
        <v>1.2763821518397382</v>
      </c>
      <c r="L46" s="1">
        <f t="shared" si="41"/>
        <v>1.4205634316708096</v>
      </c>
      <c r="N46" s="1"/>
    </row>
    <row r="47" spans="1:14" x14ac:dyDescent="0.35">
      <c r="A47" s="5" t="str">
        <f t="shared" si="40"/>
        <v>STEM</v>
      </c>
      <c r="B47" s="5" t="str">
        <f t="shared" si="40"/>
        <v>SPS1</v>
      </c>
      <c r="C47" s="5" t="str">
        <f t="shared" si="40"/>
        <v>CH</v>
      </c>
      <c r="D47" t="s">
        <v>611</v>
      </c>
      <c r="E47" t="s">
        <v>8</v>
      </c>
      <c r="F47" s="1">
        <f>F45</f>
        <v>0</v>
      </c>
      <c r="G47" s="1">
        <f>G45</f>
        <v>1.7812515109373096E-3</v>
      </c>
      <c r="H47" s="1">
        <f>H45</f>
        <v>1.6722916026538155E-3</v>
      </c>
      <c r="I47" s="1">
        <f>I45</f>
        <v>0.5272228946970724</v>
      </c>
      <c r="J47" s="1">
        <f>IF(J45-MAX(F45:I45)&lt;0,J45,MAX(F45:I45))</f>
        <v>0.5272228946970724</v>
      </c>
      <c r="K47" s="1">
        <f>IF(K45-MAX(G45:J45)&lt;0,K45,MAX(G45:J45))</f>
        <v>1.2763821518397382</v>
      </c>
      <c r="L47" s="1">
        <f>IF(L45-MAX(H45:K45)&lt;0,L45,MAX(H45:K45))</f>
        <v>1.4205634316708096</v>
      </c>
      <c r="N47" s="1"/>
    </row>
    <row r="48" spans="1:14" x14ac:dyDescent="0.3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L48" si="42">F49</f>
        <v>0</v>
      </c>
      <c r="G48" s="1">
        <f t="shared" si="42"/>
        <v>0</v>
      </c>
      <c r="H48" s="1">
        <f t="shared" si="42"/>
        <v>0</v>
      </c>
      <c r="I48" s="1">
        <f t="shared" si="42"/>
        <v>0</v>
      </c>
      <c r="J48" s="1">
        <f t="shared" si="42"/>
        <v>0.74915925714266585</v>
      </c>
      <c r="K48" s="1">
        <f t="shared" si="42"/>
        <v>0.15669765448205264</v>
      </c>
      <c r="L48" s="1">
        <f t="shared" si="42"/>
        <v>0</v>
      </c>
      <c r="N48" s="1"/>
    </row>
    <row r="49" spans="1:19" x14ac:dyDescent="0.35">
      <c r="A49" s="5" t="str">
        <f t="shared" ref="A49" si="43">A47</f>
        <v>STEM</v>
      </c>
      <c r="B49" s="5" t="str">
        <f t="shared" ref="B49" si="44">B47</f>
        <v>SPS1</v>
      </c>
      <c r="C49" s="5" t="str">
        <f t="shared" ref="C49" si="45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0.74915925714266585</v>
      </c>
      <c r="K49" s="1">
        <f>K45-K47</f>
        <v>0.15669765448205264</v>
      </c>
      <c r="L49" s="1">
        <f>L45-L47</f>
        <v>0</v>
      </c>
      <c r="N49" s="1"/>
    </row>
    <row r="50" spans="1:19" x14ac:dyDescent="0.3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250.9487170795704</v>
      </c>
      <c r="G50" s="1" cm="1">
        <f t="array" ref="G50">SUMPRODUCT(("urn"=[1]OUT_PrimaryEnergyCons!$C$4:$C$10000)*1,[1]OUT_PrimaryEnergyCons!E$4:E$10000)</f>
        <v>253.29674232384011</v>
      </c>
      <c r="H50" s="1" cm="1">
        <f t="array" ref="H50">SUMPRODUCT(("urn"=[1]OUT_PrimaryEnergyCons!$C$4:$C$10000)*1,[1]OUT_PrimaryEnergyCons!F$4:F$10000)</f>
        <v>233.18388719099895</v>
      </c>
      <c r="I50" s="1" cm="1">
        <f t="array" ref="I50">SUMPRODUCT(("urn"=[1]OUT_PrimaryEnergyCons!$C$4:$C$10000)*1,[1]OUT_PrimaryEnergyCons!G$4:G$10000)</f>
        <v>211.82169140682569</v>
      </c>
      <c r="J50" s="1" cm="1">
        <f t="array" ref="J50">SUMPRODUCT(("urn"=[2]OUT_PrimaryEnergyCons!$C$4:$C$10000)*1,[2]OUT_PrimaryEnergyCons!H$4:H$10000)</f>
        <v>190.4978221908591</v>
      </c>
      <c r="K50" s="1" cm="1">
        <f t="array" ref="K50">SUMPRODUCT(("urn"=[2]OUT_PrimaryEnergyCons!$C$4:$C$10000)*1,[2]OUT_PrimaryEnergyCons!I$4:I$10000)</f>
        <v>190.48508938193655</v>
      </c>
      <c r="L50" s="1" cm="1">
        <f t="array" ref="L50">SUMPRODUCT(("urn"=[2]OUT_PrimaryEnergyCons!$C$4:$C$10000)*1,[2]OUT_PrimaryEnergyCons!J$4:J$10000)</f>
        <v>102.30469192810477</v>
      </c>
      <c r="N50" s="1"/>
    </row>
    <row r="51" spans="1:19" x14ac:dyDescent="0.3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97.160165903260548</v>
      </c>
      <c r="G51" s="1">
        <f t="shared" ref="G51:K51" si="46">SUM(G52:G55)</f>
        <v>50.302684492172048</v>
      </c>
      <c r="H51" s="1">
        <f t="shared" si="46"/>
        <v>50.448849791695977</v>
      </c>
      <c r="I51" s="1">
        <f t="shared" si="46"/>
        <v>50.701135921663187</v>
      </c>
      <c r="J51" s="1">
        <f t="shared" si="46"/>
        <v>53.582206659394501</v>
      </c>
      <c r="K51" s="1">
        <f t="shared" si="46"/>
        <v>24.975888771029535</v>
      </c>
      <c r="L51" s="1">
        <f t="shared" ref="L51" si="47">SUM(L52:L55)</f>
        <v>18.770904611115881</v>
      </c>
      <c r="N51" s="1"/>
    </row>
    <row r="52" spans="1:19" x14ac:dyDescent="0.3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15.013856275659503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0.94657119544528923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0.51305837026265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0.52562360039349076</v>
      </c>
      <c r="J52" s="1" cm="1">
        <f t="array" ref="J52">SUMPRODUCT(([2]OUT_Electricity_CHP!$B$1:$B$10000="G-INTC-IMP00-AT")*1,([2]OUT_Electricity_CHP!$C$1:$C$10000="Var_Fout")*1,ISNUMBER(SEARCH("ELC",[2]OUT_Electricity_CHP!$D$1:$D$10000))*1,[2]OUT_Electricity_CHP!I$1:I$10000)</f>
        <v>0.10393982516255704</v>
      </c>
      <c r="K52" s="1" cm="1">
        <f t="array" ref="K52">SUMPRODUCT(([2]OUT_Electricity_CHP!$B$1:$B$10000="G-INTC-IMP00-AT")*1,([2]OUT_Electricity_CHP!$C$1:$C$10000="Var_Fout")*1,ISNUMBER(SEARCH("ELC",[2]OUT_Electricity_CHP!$D$1:$D$10000))*1,[2]OUT_Electricity_CHP!J$1:J$10000)</f>
        <v>5.217736418173817E-2</v>
      </c>
      <c r="L52" s="1" cm="1">
        <f t="array" ref="L52">SUMPRODUCT(([2]OUT_Electricity_CHP!$B$1:$B$10000="G-INTC-IMP00-AT")*1,([2]OUT_Electricity_CHP!$C$1:$C$10000="Var_Fout")*1,ISNUMBER(SEARCH("ELC",[2]OUT_Electricity_CHP!$D$1:$D$10000))*1,[2]OUT_Electricity_CHP!K$1:K$10000)</f>
        <v>7.1817293138214362</v>
      </c>
      <c r="N52" s="1"/>
    </row>
    <row r="53" spans="1:19" x14ac:dyDescent="0.3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28.948670600564245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21.080686840054629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26.594131344599681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18.064614718796527</v>
      </c>
      <c r="J53" s="1" cm="1">
        <f t="array" ref="J53">SUMPRODUCT(([2]OUT_Electricity_CHP!$B$1:$B$10000="G-INTC-IMP00-fr")*1,([2]OUT_Electricity_CHP!$C$1:$C$10000="Var_Fout")*1,ISNUMBER(SEARCH("ELC",[2]OUT_Electricity_CHP!$D$1:$D$10000))*1,[2]OUT_Electricity_CHP!I$1:I$10000)</f>
        <v>17.616231313908145</v>
      </c>
      <c r="K53" s="1" cm="1">
        <f t="array" ref="K53">SUMPRODUCT(([2]OUT_Electricity_CHP!$B$1:$B$10000="G-INTC-IMP00-fr")*1,([2]OUT_Electricity_CHP!$C$1:$C$10000="Var_Fout")*1,ISNUMBER(SEARCH("ELC",[2]OUT_Electricity_CHP!$D$1:$D$10000))*1,[2]OUT_Electricity_CHP!J$1:J$10000)</f>
        <v>9.0286580692247362</v>
      </c>
      <c r="L53" s="1" cm="1">
        <f t="array" ref="L53">SUMPRODUCT(([2]OUT_Electricity_CHP!$B$1:$B$10000="G-INTC-IMP00-fr")*1,([2]OUT_Electricity_CHP!$C$1:$C$10000="Var_Fout")*1,ISNUMBER(SEARCH("ELC",[2]OUT_Electricity_CHP!$D$1:$D$10000))*1,[2]OUT_Electricity_CHP!K$1:K$10000)</f>
        <v>6.2146845055808422</v>
      </c>
      <c r="N53" s="1"/>
    </row>
    <row r="54" spans="1:19" x14ac:dyDescent="0.3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46.3985156408202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28.265630226990357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23.333218548066622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32.107053704417403</v>
      </c>
      <c r="J54" s="1" cm="1">
        <f t="array" ref="J54">SUMPRODUCT(([2]OUT_Electricity_CHP!$B$1:$B$10000="G-INTC-IMP00-de")*1,([2]OUT_Electricity_CHP!$C$1:$C$10000="Var_Fout")*1,ISNUMBER(SEARCH("ELC",[2]OUT_Electricity_CHP!$D$1:$D$10000))*1,[2]OUT_Electricity_CHP!I$1:I$10000)</f>
        <v>35.861852079662157</v>
      </c>
      <c r="K54" s="1" cm="1">
        <f t="array" ref="K54">SUMPRODUCT(([2]OUT_Electricity_CHP!$B$1:$B$10000="G-INTC-IMP00-de")*1,([2]OUT_Electricity_CHP!$C$1:$C$10000="Var_Fout")*1,ISNUMBER(SEARCH("ELC",[2]OUT_Electricity_CHP!$D$1:$D$10000))*1,[2]OUT_Electricity_CHP!J$1:J$10000)</f>
        <v>15.894918963756945</v>
      </c>
      <c r="L54" s="1" cm="1">
        <f t="array" ref="L54">SUMPRODUCT(([2]OUT_Electricity_CHP!$B$1:$B$10000="G-INTC-IMP00-de")*1,([2]OUT_Electricity_CHP!$C$1:$C$10000="Var_Fout")*1,ISNUMBER(SEARCH("ELC",[2]OUT_Electricity_CHP!$D$1:$D$10000))*1,[2]OUT_Electricity_CHP!K$1:K$10000)</f>
        <v>5.3743901472101729</v>
      </c>
      <c r="N54" s="1"/>
    </row>
    <row r="55" spans="1:19" x14ac:dyDescent="0.3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6.7991233862165927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9.7962296817703486E-3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8.4415287670235387E-3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3.8438980557683514E-3</v>
      </c>
      <c r="J55" s="1" cm="1">
        <f t="array" ref="J55">SUMPRODUCT(([2]OUT_Electricity_CHP!$B$1:$B$10000="G-INTC-IMP00-it")*1,([2]OUT_Electricity_CHP!$C$1:$C$10000="Var_Fout")*1,ISNUMBER(SEARCH("ELC",[2]OUT_Electricity_CHP!$D$1:$D$10000))*1,[2]OUT_Electricity_CHP!I$1:I$10000)</f>
        <v>1.8344066164266122E-4</v>
      </c>
      <c r="K55" s="1" cm="1">
        <f t="array" ref="K55">SUMPRODUCT(([2]OUT_Electricity_CHP!$B$1:$B$10000="G-INTC-IMP00-it")*1,([2]OUT_Electricity_CHP!$C$1:$C$10000="Var_Fout")*1,ISNUMBER(SEARCH("ELC",[2]OUT_Electricity_CHP!$D$1:$D$10000))*1,[2]OUT_Electricity_CHP!J$1:J$10000)</f>
        <v>1.3437386611558994E-4</v>
      </c>
      <c r="L55" s="1" cm="1">
        <f t="array" ref="L55">SUMPRODUCT(([2]OUT_Electricity_CHP!$B$1:$B$10000="G-INTC-IMP00-it")*1,([2]OUT_Electricity_CHP!$C$1:$C$10000="Var_Fout")*1,ISNUMBER(SEARCH("ELC",[2]OUT_Electricity_CHP!$D$1:$D$10000))*1,[2]OUT_Electricity_CHP!K$1:K$10000)</f>
        <v>1.0064450342835383E-4</v>
      </c>
      <c r="N55" s="1"/>
    </row>
    <row r="56" spans="1:19" x14ac:dyDescent="0.35">
      <c r="A56" s="5" t="str">
        <f t="shared" ref="A56" si="48">A55</f>
        <v>STEM</v>
      </c>
      <c r="B56" s="5" t="str">
        <f t="shared" ref="B56" si="49">B55</f>
        <v>SPS1</v>
      </c>
      <c r="C56" s="5" t="str">
        <f t="shared" ref="C56" si="50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SUMPRODUCT(("h2"=[2]OUT_PrimaryEnergyCons!$C$4:$C$10000)*1,[2]OUT_PrimaryEnergyCons!H$4:H$10000)</f>
        <v>0</v>
      </c>
      <c r="K56" s="1" cm="1">
        <f t="array" ref="K56">SUMPRODUCT(("h2"=[2]OUT_PrimaryEnergyCons!$C$4:$C$10000)*1,[2]OUT_PrimaryEnergyCons!I$4:I$10000)</f>
        <v>0</v>
      </c>
      <c r="L56" s="1" cm="1">
        <f t="array" ref="L56">SUMPRODUCT(("h2"=[2]OUT_PrimaryEnergyCons!$C$4:$C$10000)*1,[2]OUT_PrimaryEnergyCons!J$4:J$10000)</f>
        <v>0</v>
      </c>
      <c r="N56" s="1"/>
    </row>
    <row r="57" spans="1:19" x14ac:dyDescent="0.3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117.17025668577485</v>
      </c>
      <c r="G57" s="3">
        <f t="shared" ref="G57:L57" si="51">G58</f>
        <v>34.90251893488643</v>
      </c>
      <c r="H57" s="3">
        <f t="shared" si="51"/>
        <v>71.952545708917654</v>
      </c>
      <c r="I57" s="3">
        <f t="shared" si="51"/>
        <v>52.700913642029796</v>
      </c>
      <c r="J57" s="3">
        <f t="shared" si="51"/>
        <v>36.600012645110617</v>
      </c>
      <c r="K57" s="3">
        <f t="shared" si="51"/>
        <v>26.975888455162465</v>
      </c>
      <c r="L57" s="3">
        <f t="shared" si="51"/>
        <v>20.770904681205003</v>
      </c>
      <c r="N57" s="1"/>
      <c r="O57" s="1"/>
      <c r="P57" s="1"/>
      <c r="Q57" s="1"/>
      <c r="R57" s="1"/>
      <c r="S57" s="1"/>
    </row>
    <row r="58" spans="1:19" x14ac:dyDescent="0.3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117.17025668577485</v>
      </c>
      <c r="G58" s="1">
        <f t="shared" ref="G58:K58" si="52">SUM(G59:G62)</f>
        <v>34.90251893488643</v>
      </c>
      <c r="H58" s="1">
        <f t="shared" si="52"/>
        <v>71.952545708917654</v>
      </c>
      <c r="I58" s="1">
        <f t="shared" si="52"/>
        <v>52.700913642029796</v>
      </c>
      <c r="J58" s="1">
        <f t="shared" si="52"/>
        <v>36.600012645110617</v>
      </c>
      <c r="K58" s="1">
        <f t="shared" si="52"/>
        <v>26.975888455162465</v>
      </c>
      <c r="L58" s="1">
        <f t="shared" ref="L58" si="53">SUM(L59:L62)</f>
        <v>20.770904681205003</v>
      </c>
      <c r="N58" s="1"/>
    </row>
    <row r="59" spans="1:19" x14ac:dyDescent="0.35">
      <c r="A59" s="5" t="str">
        <f t="shared" ref="A59:A63" si="54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55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6.2296562858476987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1.5931736788436374E-2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2.0913411592458787E-2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3.8060721036487187E-3</v>
      </c>
      <c r="J59" s="1" cm="1">
        <f t="array" ref="J59">SUMPRODUCT(([2]OUT_Electricity_CHP!$B$1:$B$10000="G-INTC-exp00-AT")*1,([2]OUT_Electricity_CHP!$C$1:$C$10000="Var_Fout")*1,ISNUMBER(SEARCH("ELC",[2]OUT_Electricity_CHP!$D$1:$D$10000))*1,[2]OUT_Electricity_CHP!I$1:I$10000)</f>
        <v>1.5320603657720036E-4</v>
      </c>
      <c r="K59" s="1" cm="1">
        <f t="array" ref="K59">SUMPRODUCT(([2]OUT_Electricity_CHP!$B$1:$B$10000="G-INTC-exp00-AT")*1,([2]OUT_Electricity_CHP!$C$1:$C$10000="Var_Fout")*1,ISNUMBER(SEARCH("ELC",[2]OUT_Electricity_CHP!$D$1:$D$10000))*1,[2]OUT_Electricity_CHP!J$1:J$10000)</f>
        <v>1.6240304236260329E-4</v>
      </c>
      <c r="L59" s="1" cm="1">
        <f t="array" ref="L59">SUMPRODUCT(([2]OUT_Electricity_CHP!$B$1:$B$10000="G-INTC-exp00-AT")*1,([2]OUT_Electricity_CHP!$C$1:$C$10000="Var_Fout")*1,ISNUMBER(SEARCH("ELC",[2]OUT_Electricity_CHP!$D$1:$D$10000))*1,[2]OUT_Electricity_CHP!K$1:K$10000)</f>
        <v>1.0391081300928826E-4</v>
      </c>
      <c r="N59" s="1"/>
    </row>
    <row r="60" spans="1:19" x14ac:dyDescent="0.35">
      <c r="A60" s="5" t="str">
        <f t="shared" si="54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55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12.753444394505104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1.3559253697069708E-2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1.4263996112231685E-2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6.9464090622277999E-3</v>
      </c>
      <c r="J60" s="1" cm="1">
        <f t="array" ref="J60">SUMPRODUCT(([2]OUT_Electricity_CHP!$B$1:$B$10000="G-INTC-exp00-fr")*1,([2]OUT_Electricity_CHP!$C$1:$C$10000="Var_Fout")*1,ISNUMBER(SEARCH("ELC",[2]OUT_Electricity_CHP!$D$1:$D$10000))*1,[2]OUT_Electricity_CHP!I$1:I$10000)</f>
        <v>4.2459759380621885E-4</v>
      </c>
      <c r="K60" s="1" cm="1">
        <f t="array" ref="K60">SUMPRODUCT(([2]OUT_Electricity_CHP!$B$1:$B$10000="G-INTC-exp00-fr")*1,([2]OUT_Electricity_CHP!$C$1:$C$10000="Var_Fout")*1,ISNUMBER(SEARCH("ELC",[2]OUT_Electricity_CHP!$D$1:$D$10000))*1,[2]OUT_Electricity_CHP!J$1:J$10000)</f>
        <v>1.3110671721091049E-3</v>
      </c>
      <c r="L60" s="1" cm="1">
        <f t="array" ref="L60">SUMPRODUCT(([2]OUT_Electricity_CHP!$B$1:$B$10000="G-INTC-exp00-fr")*1,([2]OUT_Electricity_CHP!$C$1:$C$10000="Var_Fout")*1,ISNUMBER(SEARCH("ELC",[2]OUT_Electricity_CHP!$D$1:$D$10000))*1,[2]OUT_Electricity_CHP!K$1:K$10000)</f>
        <v>9.9842933423171035E-4</v>
      </c>
      <c r="N60" s="1"/>
    </row>
    <row r="61" spans="1:19" x14ac:dyDescent="0.35">
      <c r="A61" s="5" t="str">
        <f t="shared" si="54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55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26.493024221127655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1.0514877998353319E-2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1.2516595336610458E-2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9.1876373848008511E-3</v>
      </c>
      <c r="J61" s="1" cm="1">
        <f t="array" ref="J61">SUMPRODUCT(([2]OUT_Electricity_CHP!$B$1:$B$10000="G-INTC-exp00-de")*1,([2]OUT_Electricity_CHP!$C$1:$C$10000="Var_Fout")*1,ISNUMBER(SEARCH("ELC",[2]OUT_Electricity_CHP!$D$1:$D$10000))*1,[2]OUT_Electricity_CHP!I$1:I$10000)</f>
        <v>5.1026639012443763E-4</v>
      </c>
      <c r="K61" s="1" cm="1">
        <f t="array" ref="K61">SUMPRODUCT(([2]OUT_Electricity_CHP!$B$1:$B$10000="G-INTC-exp00-de")*1,([2]OUT_Electricity_CHP!$C$1:$C$10000="Var_Fout")*1,ISNUMBER(SEARCH("ELC",[2]OUT_Electricity_CHP!$D$1:$D$10000))*1,[2]OUT_Electricity_CHP!J$1:J$10000)</f>
        <v>9.7891078312534337E-4</v>
      </c>
      <c r="L61" s="1" cm="1">
        <f t="array" ref="L61">SUMPRODUCT(([2]OUT_Electricity_CHP!$B$1:$B$10000="G-INTC-exp00-de")*1,([2]OUT_Electricity_CHP!$C$1:$C$10000="Var_Fout")*1,ISNUMBER(SEARCH("ELC",[2]OUT_Electricity_CHP!$D$1:$D$10000))*1,[2]OUT_Electricity_CHP!K$1:K$10000)</f>
        <v>2.7547550337927561E-4</v>
      </c>
      <c r="N61" s="1"/>
    </row>
    <row r="62" spans="1:19" x14ac:dyDescent="0.35">
      <c r="A62" s="5" t="str">
        <f t="shared" si="54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55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71.694131784294385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34.86251306640257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71.904851705876354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52.680973523479118</v>
      </c>
      <c r="J62" s="1" cm="1">
        <f t="array" ref="J62">SUMPRODUCT(([2]OUT_Electricity_CHP!$B$1:$B$10000="G-INTC-exp00-it")*1,([2]OUT_Electricity_CHP!$C$1:$C$10000="Var_Fout")*1,ISNUMBER(SEARCH("ELC",[2]OUT_Electricity_CHP!$D$1:$D$10000))*1,[2]OUT_Electricity_CHP!I$1:I$10000)</f>
        <v>36.598924575090109</v>
      </c>
      <c r="K62" s="1" cm="1">
        <f t="array" ref="K62">SUMPRODUCT(([2]OUT_Electricity_CHP!$B$1:$B$10000="G-INTC-exp00-it")*1,([2]OUT_Electricity_CHP!$C$1:$C$10000="Var_Fout")*1,ISNUMBER(SEARCH("ELC",[2]OUT_Electricity_CHP!$D$1:$D$10000))*1,[2]OUT_Electricity_CHP!J$1:J$10000)</f>
        <v>26.973436074164869</v>
      </c>
      <c r="L62" s="1" cm="1">
        <f t="array" ref="L62">SUMPRODUCT(([2]OUT_Electricity_CHP!$B$1:$B$10000="G-INTC-exp00-it")*1,([2]OUT_Electricity_CHP!$C$1:$C$10000="Var_Fout")*1,ISNUMBER(SEARCH("ELC",[2]OUT_Electricity_CHP!$D$1:$D$10000))*1,[2]OUT_Electricity_CHP!K$1:K$10000)</f>
        <v>20.769526865554383</v>
      </c>
      <c r="N62" s="1"/>
    </row>
    <row r="63" spans="1:19" x14ac:dyDescent="0.35">
      <c r="A63" s="9" t="str">
        <f t="shared" si="54"/>
        <v>STEM</v>
      </c>
      <c r="B63" s="9" t="str">
        <f t="shared" ref="B63:B64" si="56">B62</f>
        <v>SPS1</v>
      </c>
      <c r="C63" s="2" t="str">
        <f t="shared" ref="C63:C64" si="57">C62</f>
        <v>CH</v>
      </c>
      <c r="D63" s="2" t="s">
        <v>29</v>
      </c>
      <c r="E63" s="2" t="s">
        <v>8</v>
      </c>
      <c r="F63" s="3">
        <f>SUM(F64,F66,F70,F82,F130,F151,F159,F161,F169,F173,F167)</f>
        <v>251.09305255219283</v>
      </c>
      <c r="G63" s="3">
        <f t="shared" ref="G63:K63" si="58">SUM(G64,G66,G74,G82,G130,G151,G159,G161,G169,G173,G167)</f>
        <v>229.63445420735781</v>
      </c>
      <c r="H63" s="3">
        <f t="shared" si="58"/>
        <v>256.81209272152972</v>
      </c>
      <c r="I63" s="3">
        <f t="shared" si="58"/>
        <v>320.14308435946305</v>
      </c>
      <c r="J63" s="3">
        <f t="shared" si="58"/>
        <v>286.83777832742567</v>
      </c>
      <c r="K63" s="3">
        <f t="shared" si="58"/>
        <v>353.94975507388705</v>
      </c>
      <c r="L63" s="3">
        <f t="shared" ref="L63" si="59">SUM(L64,L66,L74,L82,L130,L151,L159,L161,L169,L173,L167)</f>
        <v>362.68254153591295</v>
      </c>
      <c r="N63" s="1"/>
    </row>
    <row r="64" spans="1:19" x14ac:dyDescent="0.35">
      <c r="A64" s="5" t="str">
        <f>A63</f>
        <v>STEM</v>
      </c>
      <c r="B64" s="5" t="str">
        <f t="shared" si="56"/>
        <v>SPS1</v>
      </c>
      <c r="C64" s="5" t="str">
        <f t="shared" si="57"/>
        <v>CH</v>
      </c>
      <c r="D64" t="s">
        <v>791</v>
      </c>
      <c r="E64" t="str">
        <f>E62</f>
        <v>PJ/yr.</v>
      </c>
      <c r="F64" s="1">
        <f>+F65</f>
        <v>82.760065957019648</v>
      </c>
      <c r="G64" s="1">
        <f t="shared" ref="G64:L64" si="60">+G65</f>
        <v>82.759336656114726</v>
      </c>
      <c r="H64" s="1">
        <f t="shared" si="60"/>
        <v>76.100906333578592</v>
      </c>
      <c r="I64" s="1">
        <f t="shared" si="60"/>
        <v>69.908765460793006</v>
      </c>
      <c r="J64" s="1">
        <f t="shared" si="60"/>
        <v>62.881254247525256</v>
      </c>
      <c r="K64" s="1">
        <f t="shared" si="60"/>
        <v>62.88125953769157</v>
      </c>
      <c r="L64" s="1">
        <f t="shared" si="60"/>
        <v>33.835335971279171</v>
      </c>
      <c r="N64" s="1"/>
    </row>
    <row r="65" spans="1:14" x14ac:dyDescent="0.35">
      <c r="A65" s="5" t="str">
        <f t="shared" ref="A65:A149" si="61">A64</f>
        <v>STEM</v>
      </c>
      <c r="B65" s="5" t="str">
        <f t="shared" ref="B65:B149" si="62">B64</f>
        <v>SPS1</v>
      </c>
      <c r="C65" s="5" t="str">
        <f t="shared" ref="C65:C149" si="63">C64</f>
        <v>CH</v>
      </c>
      <c r="D65" t="s">
        <v>30</v>
      </c>
      <c r="E65" t="str">
        <f>E63</f>
        <v>PJ/yr.</v>
      </c>
      <c r="F65" s="1">
        <f>'[1]Electricity and CHPs'!B14</f>
        <v>82.760065957019648</v>
      </c>
      <c r="G65" s="1">
        <f>'[1]Electricity and CHPs'!C14</f>
        <v>82.759336656114726</v>
      </c>
      <c r="H65" s="1">
        <f>'[1]Electricity and CHPs'!D14</f>
        <v>76.100906333578592</v>
      </c>
      <c r="I65" s="1">
        <f>'[1]Electricity and CHPs'!E14</f>
        <v>69.908765460793006</v>
      </c>
      <c r="J65" s="1">
        <f>'[2]Electricity and CHPs'!F14</f>
        <v>62.881254247525256</v>
      </c>
      <c r="K65" s="1">
        <f>'[2]Electricity and CHPs'!G14</f>
        <v>62.88125953769157</v>
      </c>
      <c r="L65" s="1">
        <f>'[2]Electricity and CHPs'!H14</f>
        <v>33.835335971279171</v>
      </c>
      <c r="N65" s="1"/>
    </row>
    <row r="66" spans="1:14" x14ac:dyDescent="0.35">
      <c r="A66" s="5" t="str">
        <f t="shared" si="61"/>
        <v>STEM</v>
      </c>
      <c r="B66" s="5" t="str">
        <f t="shared" si="62"/>
        <v>SPS1</v>
      </c>
      <c r="C66" s="5" t="str">
        <f t="shared" si="63"/>
        <v>CH</v>
      </c>
      <c r="D66" t="s">
        <v>792</v>
      </c>
      <c r="E66" t="str">
        <f>E65</f>
        <v>PJ/yr.</v>
      </c>
      <c r="F66" s="1">
        <f>SUM(F67:F69)</f>
        <v>146.22010093623271</v>
      </c>
      <c r="G66" s="1">
        <f t="shared" ref="G66:K66" si="64">SUM(G67:G69)</f>
        <v>121.6335113040431</v>
      </c>
      <c r="H66" s="1">
        <f t="shared" si="64"/>
        <v>137.11289198949981</v>
      </c>
      <c r="I66" s="1">
        <f t="shared" si="64"/>
        <v>180.51613421829785</v>
      </c>
      <c r="J66" s="1">
        <f t="shared" si="64"/>
        <v>149.29966273291805</v>
      </c>
      <c r="K66" s="1">
        <f t="shared" si="64"/>
        <v>151.57210790010569</v>
      </c>
      <c r="L66" s="1">
        <f t="shared" ref="L66" si="65">SUM(L67:L69)</f>
        <v>155.51787446015203</v>
      </c>
      <c r="N66" s="1"/>
    </row>
    <row r="67" spans="1:14" x14ac:dyDescent="0.35">
      <c r="A67" s="5" t="str">
        <f t="shared" si="61"/>
        <v>STEM</v>
      </c>
      <c r="B67" s="5" t="str">
        <f t="shared" si="62"/>
        <v>SPS1</v>
      </c>
      <c r="C67" s="5" t="str">
        <f t="shared" si="63"/>
        <v>CH</v>
      </c>
      <c r="D67" t="s">
        <v>31</v>
      </c>
      <c r="E67" t="str">
        <f>E65</f>
        <v>PJ/yr.</v>
      </c>
      <c r="F67" s="1">
        <f>'[1]Electricity and CHPs'!B15</f>
        <v>66.745681606063101</v>
      </c>
      <c r="G67" s="1">
        <f>'[1]Electricity and CHPs'!C15</f>
        <v>49.798777987808691</v>
      </c>
      <c r="H67" s="1">
        <f>'[1]Electricity and CHPs'!D15</f>
        <v>68.970400584037336</v>
      </c>
      <c r="I67" s="1">
        <f>'[1]Electricity and CHPs'!E15</f>
        <v>70.970232393460137</v>
      </c>
      <c r="J67" s="1">
        <f>'[2]Electricity and CHPs'!F15</f>
        <v>71.44644713286462</v>
      </c>
      <c r="K67" s="1">
        <f>'[2]Electricity and CHPs'!G15</f>
        <v>73.932924658636495</v>
      </c>
      <c r="L67" s="1">
        <f>'[2]Electricity and CHPs'!H15</f>
        <v>74.836056776230464</v>
      </c>
      <c r="N67" s="1"/>
    </row>
    <row r="68" spans="1:14" x14ac:dyDescent="0.35">
      <c r="A68" s="5" t="str">
        <f t="shared" si="61"/>
        <v>STEM</v>
      </c>
      <c r="B68" s="5" t="str">
        <f t="shared" si="62"/>
        <v>SPS1</v>
      </c>
      <c r="C68" s="5" t="str">
        <f t="shared" si="63"/>
        <v>CH</v>
      </c>
      <c r="D68" t="s">
        <v>32</v>
      </c>
      <c r="E68" t="str">
        <f t="shared" ref="E68:E69" si="66">E67</f>
        <v>PJ/yr.</v>
      </c>
      <c r="F68" s="1">
        <f>'[1]Electricity and CHPs'!B16</f>
        <v>66.632430866657671</v>
      </c>
      <c r="G68" s="1">
        <f>'[1]Electricity and CHPs'!C16</f>
        <v>55.764055694378619</v>
      </c>
      <c r="H68" s="1">
        <f>'[1]Electricity and CHPs'!D16</f>
        <v>65.677217745587797</v>
      </c>
      <c r="I68" s="1">
        <f>'[1]Electricity and CHPs'!E16</f>
        <v>64.853740316850036</v>
      </c>
      <c r="J68" s="1">
        <f>'[2]Electricity and CHPs'!F16</f>
        <v>65.039957519478904</v>
      </c>
      <c r="K68" s="1">
        <f>'[2]Electricity and CHPs'!G16</f>
        <v>64.381689547413231</v>
      </c>
      <c r="L68" s="1">
        <f>'[2]Electricity and CHPs'!H16</f>
        <v>67.134973788047233</v>
      </c>
      <c r="N68" s="1"/>
    </row>
    <row r="69" spans="1:14" x14ac:dyDescent="0.35">
      <c r="A69" s="5" t="str">
        <f t="shared" si="61"/>
        <v>STEM</v>
      </c>
      <c r="B69" s="5" t="str">
        <f t="shared" si="62"/>
        <v>SPS1</v>
      </c>
      <c r="C69" s="5" t="str">
        <f t="shared" si="63"/>
        <v>CH</v>
      </c>
      <c r="D69" t="s">
        <v>33</v>
      </c>
      <c r="E69" t="str">
        <f t="shared" si="66"/>
        <v>PJ/yr.</v>
      </c>
      <c r="F69" s="1">
        <f>'[1]Electricity and CHPs'!B17</f>
        <v>12.841988463511951</v>
      </c>
      <c r="G69" s="1">
        <f>'[1]Electricity and CHPs'!C17</f>
        <v>16.070677621855776</v>
      </c>
      <c r="H69" s="1">
        <f>'[1]Electricity and CHPs'!D17</f>
        <v>2.4652736598746894</v>
      </c>
      <c r="I69" s="1">
        <f>'[1]Electricity and CHPs'!E17</f>
        <v>44.692161507987691</v>
      </c>
      <c r="J69" s="1">
        <f>'[2]Electricity and CHPs'!F17</f>
        <v>12.813258080574515</v>
      </c>
      <c r="K69" s="1">
        <f>'[2]Electricity and CHPs'!G17</f>
        <v>13.257493694055958</v>
      </c>
      <c r="L69" s="1">
        <f>'[2]Electricity and CHPs'!H17</f>
        <v>13.546843895874332</v>
      </c>
      <c r="N69" s="1"/>
    </row>
    <row r="70" spans="1:14" x14ac:dyDescent="0.3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0.11202369329304002</v>
      </c>
      <c r="G70" s="1">
        <f t="shared" ref="G70" si="67">SUM(G71:G73)</f>
        <v>0.17158047882708286</v>
      </c>
      <c r="H70" s="1">
        <f t="shared" ref="H70" si="68">SUM(H71:H73)</f>
        <v>0.17156991692285478</v>
      </c>
      <c r="I70" s="1">
        <f t="shared" ref="I70" si="69">SUM(I71:I73)</f>
        <v>0.16833188018214548</v>
      </c>
      <c r="J70" s="1">
        <f t="shared" ref="J70" si="70">SUM(J71:J73)</f>
        <v>0.17153570861219608</v>
      </c>
      <c r="K70" s="1">
        <f t="shared" ref="K70:L70" si="71">SUM(K71:K73)</f>
        <v>5.4711287019402286E-3</v>
      </c>
      <c r="L70" s="1">
        <f t="shared" si="71"/>
        <v>3.1994274365539462E-5</v>
      </c>
      <c r="N70" s="1"/>
    </row>
    <row r="71" spans="1:14" x14ac:dyDescent="0.3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3.9634894610343877E-2</v>
      </c>
      <c r="G71" s="1">
        <f>'[1]Electricity and CHPs'!C18</f>
        <v>2.5645816070054618E-3</v>
      </c>
      <c r="H71" s="1">
        <f>'[1]Electricity and CHPs'!D18</f>
        <v>3.759870426523073E-2</v>
      </c>
      <c r="I71" s="1">
        <f>'[1]Electricity and CHPs'!E18</f>
        <v>5.1097582842592843E-3</v>
      </c>
      <c r="J71" s="1">
        <f>'[2]Electricity and CHPs'!F18</f>
        <v>4.2066042632973588E-3</v>
      </c>
      <c r="K71" s="1">
        <f>'[2]Electricity and CHPs'!G18</f>
        <v>5.2278475734705669E-3</v>
      </c>
      <c r="L71" s="1">
        <f>'[2]Electricity and CHPs'!H18</f>
        <v>2.6821612387488707E-5</v>
      </c>
      <c r="N71" s="1"/>
    </row>
    <row r="72" spans="1:14" x14ac:dyDescent="0.35">
      <c r="A72" s="5" t="str">
        <f t="shared" ref="A72:A73" si="72">A71</f>
        <v>STEM</v>
      </c>
      <c r="B72" s="5" t="str">
        <f t="shared" ref="B72:B73" si="73">B71</f>
        <v>SPS1</v>
      </c>
      <c r="C72" s="5" t="str">
        <f t="shared" ref="C72:C73" si="74">C71</f>
        <v>CH</v>
      </c>
      <c r="D72" t="s">
        <v>228</v>
      </c>
      <c r="E72" t="str">
        <f>E126</f>
        <v>PJ/yr.</v>
      </c>
      <c r="F72" s="1">
        <f>'[1]Electricity and CHPs'!B28</f>
        <v>1.8349123239430553E-3</v>
      </c>
      <c r="G72" s="1">
        <f>'[1]Electricity and CHPs'!C28</f>
        <v>2.4504348226983604E-3</v>
      </c>
      <c r="H72" s="1">
        <f>'[1]Electricity and CHPs'!D28</f>
        <v>8.458607703420223E-3</v>
      </c>
      <c r="I72" s="1">
        <f>'[1]Electricity and CHPs'!E28</f>
        <v>1.9039403292679326E-3</v>
      </c>
      <c r="J72" s="1">
        <f>'[2]Electricity and CHPs'!F28</f>
        <v>5.7323157010688748E-4</v>
      </c>
      <c r="K72" s="1">
        <f>'[2]Electricity and CHPs'!G28</f>
        <v>2.4328112846966167E-4</v>
      </c>
      <c r="L72" s="1">
        <f>'[2]Electricity and CHPs'!H28</f>
        <v>5.1726619780507563E-6</v>
      </c>
      <c r="N72" s="1"/>
    </row>
    <row r="73" spans="1:14" x14ac:dyDescent="0.35">
      <c r="A73" s="5" t="str">
        <f t="shared" si="72"/>
        <v>STEM</v>
      </c>
      <c r="B73" s="5" t="str">
        <f t="shared" si="73"/>
        <v>SPS1</v>
      </c>
      <c r="C73" s="5" t="str">
        <f t="shared" si="74"/>
        <v>CH</v>
      </c>
      <c r="D73" t="s">
        <v>40</v>
      </c>
      <c r="E73" t="str">
        <f>E81</f>
        <v>PJ/yr.</v>
      </c>
      <c r="F73" s="1">
        <f>'[1]Electricity and CHPs'!B41</f>
        <v>7.0553886358753079E-2</v>
      </c>
      <c r="G73" s="1">
        <f>'[1]Electricity and CHPs'!C41</f>
        <v>0.16656546239737904</v>
      </c>
      <c r="H73" s="1">
        <f>'[1]Electricity and CHPs'!D41</f>
        <v>0.12551260495420383</v>
      </c>
      <c r="I73" s="1">
        <f>'[1]Electricity and CHPs'!E41</f>
        <v>0.16131818156861827</v>
      </c>
      <c r="J73" s="1">
        <f>'[2]Electricity and CHPs'!F41</f>
        <v>0.16675587277879184</v>
      </c>
      <c r="K73" s="1">
        <f>'[2]Electricity and CHPs'!G41</f>
        <v>0</v>
      </c>
      <c r="L73" s="1">
        <f>'[2]Electricity and CHPs'!H41</f>
        <v>0</v>
      </c>
      <c r="N73" s="1"/>
    </row>
    <row r="74" spans="1:14" x14ac:dyDescent="0.3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0.11202369329304002</v>
      </c>
      <c r="G74" s="1">
        <f t="shared" ref="G74:K74" si="75">SUM(G75:G77)</f>
        <v>0.17158047882708286</v>
      </c>
      <c r="H74" s="1">
        <f t="shared" si="75"/>
        <v>0.17156991692285478</v>
      </c>
      <c r="I74" s="1">
        <f t="shared" si="75"/>
        <v>0.16833188018214548</v>
      </c>
      <c r="J74" s="1">
        <f t="shared" si="75"/>
        <v>0.17153570861219608</v>
      </c>
      <c r="K74" s="1">
        <f t="shared" si="75"/>
        <v>5.4711287019402286E-3</v>
      </c>
      <c r="L74" s="1">
        <f t="shared" ref="L74" si="76">SUM(L75:L77)</f>
        <v>3.1994274365539462E-5</v>
      </c>
      <c r="N74" s="1"/>
    </row>
    <row r="75" spans="1:14" x14ac:dyDescent="0.3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3.9634894610343877E-2</v>
      </c>
      <c r="G75" s="1">
        <f t="shared" ref="G75:K75" si="77">G71</f>
        <v>2.5645816070054618E-3</v>
      </c>
      <c r="H75" s="1">
        <f t="shared" si="77"/>
        <v>3.759870426523073E-2</v>
      </c>
      <c r="I75" s="1">
        <f t="shared" si="77"/>
        <v>5.1097582842592843E-3</v>
      </c>
      <c r="J75" s="1">
        <f t="shared" si="77"/>
        <v>4.2066042632973588E-3</v>
      </c>
      <c r="K75" s="1">
        <f t="shared" si="77"/>
        <v>5.2278475734705669E-3</v>
      </c>
      <c r="L75" s="1">
        <f t="shared" ref="L75" si="78">L71</f>
        <v>2.6821612387488707E-5</v>
      </c>
      <c r="N75" s="1"/>
    </row>
    <row r="76" spans="1:14" x14ac:dyDescent="0.35">
      <c r="A76" s="5" t="str">
        <f t="shared" si="61"/>
        <v>STEM</v>
      </c>
      <c r="B76" s="5" t="str">
        <f t="shared" si="62"/>
        <v>SPS1</v>
      </c>
      <c r="C76" s="5" t="str">
        <f t="shared" si="63"/>
        <v>CH</v>
      </c>
      <c r="D76" t="s">
        <v>515</v>
      </c>
      <c r="E76" t="str">
        <f>E134</f>
        <v>PJ/yr.</v>
      </c>
      <c r="F76" s="1">
        <f>'[1]Electricity and CHPs'!B28</f>
        <v>1.8349123239430553E-3</v>
      </c>
      <c r="G76" s="1">
        <f>'[1]Electricity and CHPs'!C28</f>
        <v>2.4504348226983604E-3</v>
      </c>
      <c r="H76" s="1">
        <f>'[1]Electricity and CHPs'!D28</f>
        <v>8.458607703420223E-3</v>
      </c>
      <c r="I76" s="1">
        <f>'[1]Electricity and CHPs'!E28</f>
        <v>1.9039403292679326E-3</v>
      </c>
      <c r="J76" s="1">
        <f>'[2]Electricity and CHPs'!F28</f>
        <v>5.7323157010688748E-4</v>
      </c>
      <c r="K76" s="1">
        <f>'[2]Electricity and CHPs'!G28</f>
        <v>2.4328112846966167E-4</v>
      </c>
      <c r="L76" s="1">
        <f>'[2]Electricity and CHPs'!H28</f>
        <v>5.1726619780507563E-6</v>
      </c>
      <c r="N76" s="1"/>
    </row>
    <row r="77" spans="1:14" x14ac:dyDescent="0.35">
      <c r="A77" s="5" t="str">
        <f t="shared" si="61"/>
        <v>STEM</v>
      </c>
      <c r="B77" s="5" t="str">
        <f t="shared" si="62"/>
        <v>SPS1</v>
      </c>
      <c r="C77" s="5" t="str">
        <f t="shared" si="63"/>
        <v>CH</v>
      </c>
      <c r="D77" t="s">
        <v>516</v>
      </c>
      <c r="E77" t="str">
        <f>E89</f>
        <v>PJ/yr.</v>
      </c>
      <c r="F77" s="1">
        <f>'[1]Electricity and CHPs'!B41</f>
        <v>7.0553886358753079E-2</v>
      </c>
      <c r="G77" s="1">
        <f>'[1]Electricity and CHPs'!C41</f>
        <v>0.16656546239737904</v>
      </c>
      <c r="H77" s="1">
        <f>'[1]Electricity and CHPs'!D41</f>
        <v>0.12551260495420383</v>
      </c>
      <c r="I77" s="1">
        <f>'[1]Electricity and CHPs'!E41</f>
        <v>0.16131818156861827</v>
      </c>
      <c r="J77" s="1">
        <f>'[2]Electricity and CHPs'!F41</f>
        <v>0.16675587277879184</v>
      </c>
      <c r="K77" s="1">
        <f>'[2]Electricity and CHPs'!G41</f>
        <v>0</v>
      </c>
      <c r="L77" s="1">
        <f>'[2]Electricity and CHPs'!H41</f>
        <v>0</v>
      </c>
      <c r="N77" s="1"/>
    </row>
    <row r="78" spans="1:14" x14ac:dyDescent="0.35">
      <c r="A78" s="5" t="str">
        <f t="shared" ref="A78:C79" si="79">A76</f>
        <v>STEM</v>
      </c>
      <c r="B78" s="5" t="str">
        <f t="shared" si="79"/>
        <v>SPS1</v>
      </c>
      <c r="C78" s="5" t="str">
        <f t="shared" si="79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0">SUM(G79:G81)</f>
        <v>0</v>
      </c>
      <c r="H78" s="1">
        <f t="shared" si="80"/>
        <v>0</v>
      </c>
      <c r="I78" s="1">
        <f t="shared" si="80"/>
        <v>0</v>
      </c>
      <c r="J78" s="1">
        <f t="shared" si="80"/>
        <v>0</v>
      </c>
      <c r="K78" s="1">
        <f t="shared" si="80"/>
        <v>0</v>
      </c>
      <c r="L78" s="1">
        <f t="shared" ref="L78" si="81">SUM(L79:L81)</f>
        <v>0</v>
      </c>
      <c r="N78" s="1"/>
    </row>
    <row r="79" spans="1:14" x14ac:dyDescent="0.35">
      <c r="A79" s="5" t="str">
        <f t="shared" si="79"/>
        <v>STEM</v>
      </c>
      <c r="B79" s="5" t="str">
        <f t="shared" si="79"/>
        <v>SPS1</v>
      </c>
      <c r="C79" s="5" t="str">
        <f t="shared" si="79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N79" s="1"/>
    </row>
    <row r="80" spans="1:14" x14ac:dyDescent="0.35">
      <c r="A80" s="5" t="str">
        <f t="shared" si="61"/>
        <v>STEM</v>
      </c>
      <c r="B80" s="5" t="str">
        <f t="shared" si="62"/>
        <v>SPS1</v>
      </c>
      <c r="C80" s="5" t="str">
        <f t="shared" si="63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N80" s="1"/>
    </row>
    <row r="81" spans="1:14" x14ac:dyDescent="0.35">
      <c r="A81" s="5" t="str">
        <f t="shared" si="61"/>
        <v>STEM</v>
      </c>
      <c r="B81" s="5" t="str">
        <f t="shared" si="62"/>
        <v>SPS1</v>
      </c>
      <c r="C81" s="5" t="str">
        <f t="shared" si="63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N81" s="1"/>
    </row>
    <row r="82" spans="1:14" x14ac:dyDescent="0.35">
      <c r="A82" s="5" t="str">
        <f t="shared" si="61"/>
        <v>STEM</v>
      </c>
      <c r="B82" s="5" t="str">
        <f t="shared" si="62"/>
        <v>SPS1</v>
      </c>
      <c r="C82" s="5" t="str">
        <f t="shared" si="63"/>
        <v>CH</v>
      </c>
      <c r="D82" t="s">
        <v>796</v>
      </c>
      <c r="E82" t="str">
        <f>E131</f>
        <v>PJ/yr.</v>
      </c>
      <c r="F82" s="1">
        <f>SUM(F83:F97)</f>
        <v>3.2825586577780554</v>
      </c>
      <c r="G82" s="1">
        <f t="shared" ref="G82:K82" si="82">SUM(G83:G97)</f>
        <v>1.9973807381422199</v>
      </c>
      <c r="H82" s="1">
        <f t="shared" si="82"/>
        <v>2.2543767095992631</v>
      </c>
      <c r="I82" s="1">
        <f t="shared" si="82"/>
        <v>1.1586353807533685</v>
      </c>
      <c r="J82" s="1">
        <f t="shared" si="82"/>
        <v>1.7338952974954542</v>
      </c>
      <c r="K82" s="1">
        <f t="shared" si="82"/>
        <v>1.2113195885250008</v>
      </c>
      <c r="L82" s="1">
        <f t="shared" ref="L82" si="83">SUM(L83:L97)</f>
        <v>1.8234417813324642</v>
      </c>
      <c r="N82" s="1"/>
    </row>
    <row r="83" spans="1:14" x14ac:dyDescent="0.35">
      <c r="A83" s="5" t="str">
        <f t="shared" si="61"/>
        <v>STEM</v>
      </c>
      <c r="B83" s="5" t="str">
        <f t="shared" si="62"/>
        <v>SPS1</v>
      </c>
      <c r="C83" s="5" t="str">
        <f t="shared" si="63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'[2]Electricity and CHPs'!F21</f>
        <v>0</v>
      </c>
      <c r="K83" s="1">
        <f>'[2]Electricity and CHPs'!G21</f>
        <v>7.3582798023619039E-6</v>
      </c>
      <c r="L83" s="1">
        <f>'[2]Electricity and CHPs'!H21</f>
        <v>2.051370316476858E-3</v>
      </c>
      <c r="N83" s="1"/>
    </row>
    <row r="84" spans="1:14" x14ac:dyDescent="0.35">
      <c r="A84" s="5" t="str">
        <f t="shared" si="61"/>
        <v>STEM</v>
      </c>
      <c r="B84" s="5" t="str">
        <f t="shared" si="62"/>
        <v>SPS1</v>
      </c>
      <c r="C84" s="5" t="str">
        <f t="shared" si="63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'[2]Electricity and CHPs'!F22</f>
        <v>0</v>
      </c>
      <c r="K84" s="1">
        <f>'[2]Electricity and CHPs'!G22</f>
        <v>4.1321773347285942E-6</v>
      </c>
      <c r="L84" s="1">
        <f>'[2]Electricity and CHPs'!H22</f>
        <v>4.5435451840999411E-2</v>
      </c>
      <c r="N84" s="1"/>
    </row>
    <row r="85" spans="1:14" x14ac:dyDescent="0.35">
      <c r="A85" s="5" t="str">
        <f t="shared" si="61"/>
        <v>STEM</v>
      </c>
      <c r="B85" s="5" t="str">
        <f t="shared" si="62"/>
        <v>SPS1</v>
      </c>
      <c r="C85" s="5" t="str">
        <f t="shared" si="63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'[2]Electricity and CHPs'!F23</f>
        <v>0</v>
      </c>
      <c r="K85" s="1">
        <f>'[2]Electricity and CHPs'!G23</f>
        <v>0</v>
      </c>
      <c r="L85" s="1">
        <f>'[2]Electricity and CHPs'!H23</f>
        <v>0</v>
      </c>
      <c r="N85" s="1"/>
    </row>
    <row r="86" spans="1:14" x14ac:dyDescent="0.35">
      <c r="A86" s="5" t="str">
        <f t="shared" si="61"/>
        <v>STEM</v>
      </c>
      <c r="B86" s="5" t="str">
        <f t="shared" si="62"/>
        <v>SPS1</v>
      </c>
      <c r="C86" s="5" t="str">
        <f t="shared" si="63"/>
        <v>CH</v>
      </c>
      <c r="D86" t="s">
        <v>38</v>
      </c>
      <c r="E86" t="str">
        <f>E85</f>
        <v>PJ/yr.</v>
      </c>
      <c r="F86" s="1">
        <f>'[1]Electricity and CHPs'!B24</f>
        <v>0.96593191713005089</v>
      </c>
      <c r="G86" s="1">
        <f>'[1]Electricity and CHPs'!C24</f>
        <v>1.9314762520194165E-2</v>
      </c>
      <c r="H86" s="1">
        <f>'[1]Electricity and CHPs'!D24</f>
        <v>7.9851462797953549E-2</v>
      </c>
      <c r="I86" s="1">
        <f>'[1]Electricity and CHPs'!E24</f>
        <v>0</v>
      </c>
      <c r="J86" s="1">
        <f>'[2]Electricity and CHPs'!F24</f>
        <v>0</v>
      </c>
      <c r="K86" s="1">
        <f>'[2]Electricity and CHPs'!G24</f>
        <v>0</v>
      </c>
      <c r="L86" s="1">
        <f>'[2]Electricity and CHPs'!H24</f>
        <v>0</v>
      </c>
      <c r="N86" s="1"/>
    </row>
    <row r="87" spans="1:14" x14ac:dyDescent="0.35">
      <c r="A87" s="5" t="str">
        <f t="shared" si="61"/>
        <v>STEM</v>
      </c>
      <c r="B87" s="5" t="str">
        <f t="shared" si="62"/>
        <v>SPS1</v>
      </c>
      <c r="C87" s="5" t="str">
        <f t="shared" si="63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'[2]Electricity and CHPs'!F29</f>
        <v>0</v>
      </c>
      <c r="K87" s="1">
        <f>'[2]Electricity and CHPs'!G29</f>
        <v>0</v>
      </c>
      <c r="L87" s="1">
        <f>'[2]Electricity and CHPs'!H29</f>
        <v>0</v>
      </c>
      <c r="N87" s="1"/>
    </row>
    <row r="88" spans="1:14" x14ac:dyDescent="0.35">
      <c r="A88" s="5" t="str">
        <f t="shared" si="61"/>
        <v>STEM</v>
      </c>
      <c r="B88" s="5" t="str">
        <f t="shared" si="62"/>
        <v>SPS1</v>
      </c>
      <c r="C88" s="5" t="str">
        <f t="shared" si="63"/>
        <v>CH</v>
      </c>
      <c r="D88" t="s">
        <v>41</v>
      </c>
      <c r="E88" t="str">
        <f>E166</f>
        <v>PJ/yr.</v>
      </c>
      <c r="F88" s="1">
        <f>'[1]Electricity and CHPs'!B39</f>
        <v>0.67022153480345359</v>
      </c>
      <c r="G88" s="1">
        <f>'[1]Electricity and CHPs'!C39</f>
        <v>0.2165257068792647</v>
      </c>
      <c r="H88" s="1">
        <f>'[1]Electricity and CHPs'!D39</f>
        <v>0.47426138968811049</v>
      </c>
      <c r="I88" s="1">
        <f>'[1]Electricity and CHPs'!E39</f>
        <v>5.1811120007294945E-2</v>
      </c>
      <c r="J88" s="1">
        <f>'[2]Electricity and CHPs'!F39</f>
        <v>0.60840370115618447</v>
      </c>
      <c r="K88" s="1">
        <f>'[2]Electricity and CHPs'!G39</f>
        <v>8.7159876623294594E-2</v>
      </c>
      <c r="L88" s="1">
        <f>'[2]Electricity and CHPs'!H39</f>
        <v>0.42431076834742981</v>
      </c>
      <c r="N88" s="1"/>
    </row>
    <row r="89" spans="1:14" x14ac:dyDescent="0.35">
      <c r="A89" s="5" t="str">
        <f t="shared" si="61"/>
        <v>STEM</v>
      </c>
      <c r="B89" s="5" t="str">
        <f t="shared" si="62"/>
        <v>SPS1</v>
      </c>
      <c r="C89" s="5" t="str">
        <f t="shared" si="63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'[2]Electricity and CHPs'!F40</f>
        <v>0</v>
      </c>
      <c r="K89" s="1">
        <f>'[2]Electricity and CHPs'!G40</f>
        <v>1.3164170399274993E-2</v>
      </c>
      <c r="L89" s="1">
        <f>'[2]Electricity and CHPs'!H40</f>
        <v>0.24534275766758668</v>
      </c>
      <c r="N89" s="1"/>
    </row>
    <row r="90" spans="1:14" x14ac:dyDescent="0.35">
      <c r="A90" s="5" t="str">
        <f t="shared" si="61"/>
        <v>STEM</v>
      </c>
      <c r="B90" s="5" t="str">
        <f t="shared" si="62"/>
        <v>SPS1</v>
      </c>
      <c r="C90" s="5" t="str">
        <f t="shared" si="63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0</v>
      </c>
      <c r="J90" s="1">
        <f>'[2]Electricity and CHPs'!F47</f>
        <v>1.8754644318448434E-3</v>
      </c>
      <c r="K90" s="1">
        <f>'[2]Electricity and CHPs'!G47</f>
        <v>1.4105572765306862E-3</v>
      </c>
      <c r="L90" s="1">
        <f>'[2]Electricity and CHPs'!H47</f>
        <v>3.4942642775521191E-4</v>
      </c>
      <c r="N90" s="1"/>
    </row>
    <row r="91" spans="1:14" x14ac:dyDescent="0.35">
      <c r="A91" s="5" t="str">
        <f t="shared" si="61"/>
        <v>STEM</v>
      </c>
      <c r="B91" s="5" t="str">
        <f t="shared" si="62"/>
        <v>SPS1</v>
      </c>
      <c r="C91" s="5" t="str">
        <f t="shared" si="63"/>
        <v>CH</v>
      </c>
      <c r="D91" t="s">
        <v>44</v>
      </c>
      <c r="E91" t="str">
        <f>E90</f>
        <v>PJ/yr.</v>
      </c>
      <c r="F91" s="1">
        <f>'[1]Electricity and CHPs'!B48</f>
        <v>3.9655311133265141E-2</v>
      </c>
      <c r="G91" s="1">
        <f>'[1]Electricity and CHPs'!C48</f>
        <v>1.2010640760934775E-2</v>
      </c>
      <c r="H91" s="1">
        <f>'[1]Electricity and CHPs'!D48</f>
        <v>1.7645600932978896E-2</v>
      </c>
      <c r="I91" s="1">
        <f>'[1]Electricity and CHPs'!E48</f>
        <v>0</v>
      </c>
      <c r="J91" s="1">
        <f>'[2]Electricity and CHPs'!F48</f>
        <v>4.8787729617606555E-3</v>
      </c>
      <c r="K91" s="1">
        <f>'[2]Electricity and CHPs'!G48</f>
        <v>1.1180266835799611E-3</v>
      </c>
      <c r="L91" s="1">
        <f>'[2]Electricity and CHPs'!H48</f>
        <v>0</v>
      </c>
      <c r="N91" s="1"/>
    </row>
    <row r="92" spans="1:14" x14ac:dyDescent="0.35">
      <c r="A92" s="5" t="str">
        <f t="shared" si="61"/>
        <v>STEM</v>
      </c>
      <c r="B92" s="5" t="str">
        <f t="shared" si="62"/>
        <v>SPS1</v>
      </c>
      <c r="C92" s="5" t="str">
        <f t="shared" si="63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0</v>
      </c>
      <c r="J92" s="1">
        <f>'[2]Electricity and CHPs'!F49</f>
        <v>0</v>
      </c>
      <c r="K92" s="1">
        <f>'[2]Electricity and CHPs'!G49</f>
        <v>0</v>
      </c>
      <c r="L92" s="1">
        <f>'[2]Electricity and CHPs'!H49</f>
        <v>0</v>
      </c>
      <c r="N92" s="1"/>
    </row>
    <row r="93" spans="1:14" x14ac:dyDescent="0.35">
      <c r="A93" s="5" t="str">
        <f t="shared" si="61"/>
        <v>STEM</v>
      </c>
      <c r="B93" s="5" t="str">
        <f t="shared" si="62"/>
        <v>SPS1</v>
      </c>
      <c r="C93" s="5" t="str">
        <f t="shared" si="63"/>
        <v>CH</v>
      </c>
      <c r="D93" t="s">
        <v>46</v>
      </c>
      <c r="E93" t="str">
        <f>E156</f>
        <v>PJ/yr.</v>
      </c>
      <c r="F93" s="1">
        <f>'[1]Electricity and CHPs'!B51</f>
        <v>5.2667992513847454E-2</v>
      </c>
      <c r="G93" s="1">
        <f>'[1]Electricity and CHPs'!C51</f>
        <v>1.6451254986357702E-2</v>
      </c>
      <c r="H93" s="1">
        <f>'[1]Electricity and CHPs'!D51</f>
        <v>3.8739416109709636E-2</v>
      </c>
      <c r="I93" s="1">
        <f>'[1]Electricity and CHPs'!E51</f>
        <v>0</v>
      </c>
      <c r="J93" s="1">
        <f>'[2]Electricity and CHPs'!F51</f>
        <v>9.6985501510318713E-3</v>
      </c>
      <c r="K93" s="1">
        <f>'[2]Electricity and CHPs'!G51</f>
        <v>1.9249714430413917E-3</v>
      </c>
      <c r="L93" s="1">
        <f>'[2]Electricity and CHPs'!H51</f>
        <v>0</v>
      </c>
      <c r="N93" s="1"/>
    </row>
    <row r="94" spans="1:14" x14ac:dyDescent="0.35">
      <c r="A94" s="5" t="str">
        <f t="shared" si="61"/>
        <v>STEM</v>
      </c>
      <c r="B94" s="5" t="str">
        <f t="shared" si="62"/>
        <v>SPS1</v>
      </c>
      <c r="C94" s="5" t="str">
        <f t="shared" si="63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0</v>
      </c>
      <c r="J94" s="1">
        <f>'[2]Electricity and CHPs'!F52</f>
        <v>0</v>
      </c>
      <c r="K94" s="1">
        <f>'[2]Electricity and CHPs'!G52</f>
        <v>0</v>
      </c>
      <c r="L94" s="1">
        <f>'[2]Electricity and CHPs'!H52</f>
        <v>0</v>
      </c>
      <c r="N94" s="1"/>
    </row>
    <row r="95" spans="1:14" x14ac:dyDescent="0.35">
      <c r="A95" s="5" t="str">
        <f t="shared" si="61"/>
        <v>STEM</v>
      </c>
      <c r="B95" s="5" t="str">
        <f t="shared" si="62"/>
        <v>SPS1</v>
      </c>
      <c r="C95" s="5" t="str">
        <f t="shared" si="63"/>
        <v>CH</v>
      </c>
      <c r="D95" t="s">
        <v>84</v>
      </c>
      <c r="E95" t="str">
        <f>E157</f>
        <v>PJ/yr.</v>
      </c>
      <c r="F95" s="1">
        <f>'[1]Electricity and CHPs'!B54</f>
        <v>0.95943960649442961</v>
      </c>
      <c r="G95" s="1">
        <f>'[1]Electricity and CHPs'!C54</f>
        <v>1.1064357631516968</v>
      </c>
      <c r="H95" s="1">
        <f>'[1]Electricity and CHPs'!D54</f>
        <v>1.1064075775951663</v>
      </c>
      <c r="I95" s="1">
        <f>'[1]Electricity and CHPs'!E54</f>
        <v>1.1068242607460734</v>
      </c>
      <c r="J95" s="1">
        <f>'[2]Electricity and CHPs'!F54</f>
        <v>1.1059531964295761</v>
      </c>
      <c r="K95" s="1">
        <f>'[2]Electricity and CHPs'!G54</f>
        <v>1.1059517354964505</v>
      </c>
      <c r="L95" s="1">
        <f>'[2]Electricity and CHPs'!H54</f>
        <v>1.1059520067322162</v>
      </c>
      <c r="N95" s="1"/>
    </row>
    <row r="96" spans="1:14" x14ac:dyDescent="0.35">
      <c r="A96" s="5" t="str">
        <f t="shared" si="61"/>
        <v>STEM</v>
      </c>
      <c r="B96" s="5" t="str">
        <f t="shared" si="62"/>
        <v>SPS1</v>
      </c>
      <c r="C96" s="5" t="str">
        <f t="shared" si="63"/>
        <v>CH</v>
      </c>
      <c r="D96" t="s">
        <v>85</v>
      </c>
      <c r="E96" t="str">
        <f>E95</f>
        <v>PJ/yr.</v>
      </c>
      <c r="F96" s="1">
        <f>'[1]Electricity and CHPs'!B55</f>
        <v>0.59464229570300875</v>
      </c>
      <c r="G96" s="1">
        <f>'[1]Electricity and CHPs'!C55</f>
        <v>0.62664260984377185</v>
      </c>
      <c r="H96" s="1">
        <f>'[1]Electricity and CHPs'!D55</f>
        <v>0.53747126247534416</v>
      </c>
      <c r="I96" s="1">
        <f>'[1]Electricity and CHPs'!E55</f>
        <v>0</v>
      </c>
      <c r="J96" s="1">
        <f>'[2]Electricity and CHPs'!F55</f>
        <v>3.0856123650562484E-3</v>
      </c>
      <c r="K96" s="1">
        <f>'[2]Electricity and CHPs'!G55</f>
        <v>5.7876014569149207E-4</v>
      </c>
      <c r="L96" s="1">
        <f>'[2]Electricity and CHPs'!H55</f>
        <v>0</v>
      </c>
      <c r="N96" s="1"/>
    </row>
    <row r="97" spans="1:14" x14ac:dyDescent="0.35">
      <c r="A97" s="5" t="str">
        <f t="shared" si="61"/>
        <v>STEM</v>
      </c>
      <c r="B97" s="5" t="str">
        <f t="shared" si="62"/>
        <v>SPS1</v>
      </c>
      <c r="C97" s="5" t="str">
        <f t="shared" si="63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0</v>
      </c>
      <c r="J97" s="1">
        <f>'[2]Electricity and CHPs'!F58</f>
        <v>0</v>
      </c>
      <c r="K97" s="1">
        <f>'[2]Electricity and CHPs'!G58</f>
        <v>0</v>
      </c>
      <c r="L97" s="1">
        <f>'[2]Electricity and CHPs'!H58</f>
        <v>0</v>
      </c>
      <c r="N97" s="1"/>
    </row>
    <row r="98" spans="1:14" x14ac:dyDescent="0.35">
      <c r="A98" s="5" t="str">
        <f t="shared" ref="A98:A113" si="84">A97</f>
        <v>STEM</v>
      </c>
      <c r="B98" s="5" t="str">
        <f t="shared" ref="B98:B113" si="85">B97</f>
        <v>SPS1</v>
      </c>
      <c r="C98" s="5" t="str">
        <f t="shared" ref="C98:C113" si="86">C97</f>
        <v>CH</v>
      </c>
      <c r="D98" t="s">
        <v>797</v>
      </c>
      <c r="E98" t="str">
        <f t="shared" ref="E98:E108" si="87">E173</f>
        <v>PJ/yr.</v>
      </c>
      <c r="F98" s="1">
        <f>F82-F114</f>
        <v>2.2644921958781792</v>
      </c>
      <c r="G98" s="1">
        <f t="shared" ref="G98:K98" si="88">G82-G114</f>
        <v>0.86016264505281104</v>
      </c>
      <c r="H98" s="1">
        <f t="shared" si="88"/>
        <v>1.0859582680832778</v>
      </c>
      <c r="I98" s="1">
        <f t="shared" si="88"/>
        <v>4.649778366615509E-2</v>
      </c>
      <c r="J98" s="1">
        <f t="shared" si="88"/>
        <v>0.50987006521113321</v>
      </c>
      <c r="K98" s="1">
        <f t="shared" si="88"/>
        <v>6.3013307463722246E-2</v>
      </c>
      <c r="L98" s="1">
        <f t="shared" ref="L98" si="89">L82-L114</f>
        <v>0.26250514391799418</v>
      </c>
      <c r="N98" s="1"/>
    </row>
    <row r="99" spans="1:14" x14ac:dyDescent="0.35">
      <c r="A99" s="5" t="str">
        <f t="shared" si="84"/>
        <v>STEM</v>
      </c>
      <c r="B99" s="5" t="str">
        <f t="shared" si="85"/>
        <v>SPS1</v>
      </c>
      <c r="C99" s="5" t="str">
        <f t="shared" si="86"/>
        <v>CH</v>
      </c>
      <c r="D99" t="s">
        <v>552</v>
      </c>
      <c r="E99" t="str">
        <f t="shared" si="87"/>
        <v>PJ/yr.</v>
      </c>
      <c r="F99" s="1">
        <f t="shared" ref="F99:K99" si="90">F83-F115</f>
        <v>0</v>
      </c>
      <c r="G99" s="1">
        <f t="shared" si="90"/>
        <v>0</v>
      </c>
      <c r="H99" s="1">
        <f t="shared" si="90"/>
        <v>0</v>
      </c>
      <c r="I99" s="1">
        <f t="shared" si="90"/>
        <v>0</v>
      </c>
      <c r="J99" s="1">
        <f t="shared" si="90"/>
        <v>0</v>
      </c>
      <c r="K99" s="1">
        <f t="shared" si="90"/>
        <v>4.4004839641621334E-6</v>
      </c>
      <c r="L99" s="1">
        <f t="shared" ref="L99" si="91">L83-L115</f>
        <v>7.5052673810701133E-4</v>
      </c>
      <c r="N99" s="1"/>
    </row>
    <row r="100" spans="1:14" x14ac:dyDescent="0.35">
      <c r="A100" s="5" t="str">
        <f t="shared" si="84"/>
        <v>STEM</v>
      </c>
      <c r="B100" s="5" t="str">
        <f t="shared" si="85"/>
        <v>SPS1</v>
      </c>
      <c r="C100" s="5" t="str">
        <f t="shared" si="86"/>
        <v>CH</v>
      </c>
      <c r="D100" t="s">
        <v>553</v>
      </c>
      <c r="E100" t="str">
        <f t="shared" si="87"/>
        <v>PJ/yr.</v>
      </c>
      <c r="F100" s="1">
        <f t="shared" ref="F100:K100" si="92">F84-F116</f>
        <v>0</v>
      </c>
      <c r="G100" s="1">
        <f t="shared" si="92"/>
        <v>0</v>
      </c>
      <c r="H100" s="1">
        <f t="shared" si="92"/>
        <v>0</v>
      </c>
      <c r="I100" s="1">
        <f t="shared" si="92"/>
        <v>0</v>
      </c>
      <c r="J100" s="1">
        <f t="shared" si="92"/>
        <v>0</v>
      </c>
      <c r="K100" s="1">
        <f t="shared" si="92"/>
        <v>2.4711726907572512E-6</v>
      </c>
      <c r="L100" s="1">
        <f t="shared" ref="L100" si="93">L84-L116</f>
        <v>1.6623288925818963E-2</v>
      </c>
      <c r="N100" s="1"/>
    </row>
    <row r="101" spans="1:14" x14ac:dyDescent="0.35">
      <c r="A101" s="5" t="str">
        <f t="shared" si="84"/>
        <v>STEM</v>
      </c>
      <c r="B101" s="5" t="str">
        <f t="shared" si="85"/>
        <v>SPS1</v>
      </c>
      <c r="C101" s="5" t="str">
        <f t="shared" si="86"/>
        <v>CH</v>
      </c>
      <c r="D101" t="s">
        <v>554</v>
      </c>
      <c r="E101" t="str">
        <f t="shared" si="87"/>
        <v>PJ/yr.</v>
      </c>
      <c r="F101" s="1">
        <f t="shared" ref="F101:K101" si="94">F85-F117</f>
        <v>0</v>
      </c>
      <c r="G101" s="1">
        <f t="shared" si="94"/>
        <v>0</v>
      </c>
      <c r="H101" s="1">
        <f t="shared" si="94"/>
        <v>0</v>
      </c>
      <c r="I101" s="1">
        <f t="shared" si="94"/>
        <v>0</v>
      </c>
      <c r="J101" s="1">
        <f t="shared" si="94"/>
        <v>0</v>
      </c>
      <c r="K101" s="1">
        <f t="shared" si="94"/>
        <v>0</v>
      </c>
      <c r="L101" s="1">
        <f t="shared" ref="L101" si="95">L85-L117</f>
        <v>0</v>
      </c>
      <c r="N101" s="1"/>
    </row>
    <row r="102" spans="1:14" x14ac:dyDescent="0.35">
      <c r="A102" s="5" t="str">
        <f t="shared" si="84"/>
        <v>STEM</v>
      </c>
      <c r="B102" s="5" t="str">
        <f t="shared" si="85"/>
        <v>SPS1</v>
      </c>
      <c r="C102" s="5" t="str">
        <f t="shared" si="86"/>
        <v>CH</v>
      </c>
      <c r="D102" t="s">
        <v>555</v>
      </c>
      <c r="E102" t="str">
        <f t="shared" si="87"/>
        <v>PJ/yr.</v>
      </c>
      <c r="F102" s="1">
        <f t="shared" ref="F102:K102" si="96">F86-F118</f>
        <v>0.94155540022025275</v>
      </c>
      <c r="G102" s="1">
        <f t="shared" si="96"/>
        <v>1.8647433550106538E-2</v>
      </c>
      <c r="H102" s="1">
        <f t="shared" si="96"/>
        <v>7.553805570764463E-2</v>
      </c>
      <c r="I102" s="1">
        <f t="shared" si="96"/>
        <v>0</v>
      </c>
      <c r="J102" s="1">
        <f t="shared" si="96"/>
        <v>0</v>
      </c>
      <c r="K102" s="1">
        <f t="shared" si="96"/>
        <v>0</v>
      </c>
      <c r="L102" s="1">
        <f t="shared" ref="L102" si="97">L86-L118</f>
        <v>0</v>
      </c>
      <c r="N102" s="1"/>
    </row>
    <row r="103" spans="1:14" x14ac:dyDescent="0.35">
      <c r="A103" s="5" t="str">
        <f t="shared" si="84"/>
        <v>STEM</v>
      </c>
      <c r="B103" s="5" t="str">
        <f t="shared" si="85"/>
        <v>SPS1</v>
      </c>
      <c r="C103" s="5" t="str">
        <f t="shared" si="86"/>
        <v>CH</v>
      </c>
      <c r="D103" t="s">
        <v>556</v>
      </c>
      <c r="E103" t="str">
        <f t="shared" si="87"/>
        <v>PJ/yr.</v>
      </c>
      <c r="F103" s="1">
        <f t="shared" ref="F103:K103" si="98">F87-F119</f>
        <v>0</v>
      </c>
      <c r="G103" s="1">
        <f t="shared" si="98"/>
        <v>0</v>
      </c>
      <c r="H103" s="1">
        <f t="shared" si="98"/>
        <v>0</v>
      </c>
      <c r="I103" s="1">
        <f t="shared" si="98"/>
        <v>0</v>
      </c>
      <c r="J103" s="1">
        <f t="shared" si="98"/>
        <v>0</v>
      </c>
      <c r="K103" s="1">
        <f t="shared" si="98"/>
        <v>0</v>
      </c>
      <c r="L103" s="1">
        <f t="shared" ref="L103" si="99">L87-L119</f>
        <v>0</v>
      </c>
      <c r="N103" s="1"/>
    </row>
    <row r="104" spans="1:14" x14ac:dyDescent="0.35">
      <c r="A104" s="5" t="str">
        <f t="shared" si="84"/>
        <v>STEM</v>
      </c>
      <c r="B104" s="5" t="str">
        <f t="shared" si="85"/>
        <v>SPS1</v>
      </c>
      <c r="C104" s="5" t="str">
        <f t="shared" si="86"/>
        <v>CH</v>
      </c>
      <c r="D104" t="s">
        <v>557</v>
      </c>
      <c r="E104" t="str">
        <f t="shared" si="87"/>
        <v>PJ/yr.</v>
      </c>
      <c r="F104" s="1">
        <f t="shared" ref="F104:K104" si="100">F88-F120</f>
        <v>0.65330764440733824</v>
      </c>
      <c r="G104" s="1">
        <f t="shared" si="100"/>
        <v>0.20904469970570186</v>
      </c>
      <c r="H104" s="1">
        <f t="shared" si="100"/>
        <v>0.44864279274247154</v>
      </c>
      <c r="I104" s="1">
        <f t="shared" si="100"/>
        <v>4.6497783666155007E-2</v>
      </c>
      <c r="J104" s="1">
        <f t="shared" si="100"/>
        <v>0.49400547320628585</v>
      </c>
      <c r="K104" s="1">
        <f t="shared" si="100"/>
        <v>5.212436190263451E-2</v>
      </c>
      <c r="L104" s="1">
        <f t="shared" ref="L104" si="101">L88-L120</f>
        <v>0.15524090133975027</v>
      </c>
      <c r="N104" s="1"/>
    </row>
    <row r="105" spans="1:14" x14ac:dyDescent="0.35">
      <c r="A105" s="5" t="str">
        <f t="shared" si="84"/>
        <v>STEM</v>
      </c>
      <c r="B105" s="5" t="str">
        <f t="shared" si="85"/>
        <v>SPS1</v>
      </c>
      <c r="C105" s="5" t="str">
        <f t="shared" si="86"/>
        <v>CH</v>
      </c>
      <c r="D105" t="s">
        <v>558</v>
      </c>
      <c r="E105" t="str">
        <f t="shared" si="87"/>
        <v>PJ/yr.</v>
      </c>
      <c r="F105" s="1">
        <f t="shared" ref="F105:K105" si="102">F89-F121</f>
        <v>0</v>
      </c>
      <c r="G105" s="1">
        <f t="shared" si="102"/>
        <v>0</v>
      </c>
      <c r="H105" s="1">
        <f t="shared" si="102"/>
        <v>0</v>
      </c>
      <c r="I105" s="1">
        <f t="shared" si="102"/>
        <v>0</v>
      </c>
      <c r="J105" s="1">
        <f t="shared" si="102"/>
        <v>0</v>
      </c>
      <c r="K105" s="1">
        <f t="shared" si="102"/>
        <v>7.8725901025010116E-3</v>
      </c>
      <c r="L105" s="1">
        <f t="shared" ref="L105" si="103">L89-L121</f>
        <v>8.9762583650269012E-2</v>
      </c>
      <c r="N105" s="1"/>
    </row>
    <row r="106" spans="1:14" x14ac:dyDescent="0.35">
      <c r="A106" s="5" t="str">
        <f t="shared" si="84"/>
        <v>STEM</v>
      </c>
      <c r="B106" s="5" t="str">
        <f t="shared" si="85"/>
        <v>SPS1</v>
      </c>
      <c r="C106" s="5" t="str">
        <f t="shared" si="86"/>
        <v>CH</v>
      </c>
      <c r="D106" t="s">
        <v>559</v>
      </c>
      <c r="E106" t="str">
        <f t="shared" si="87"/>
        <v>PJ/yr.</v>
      </c>
      <c r="F106" s="1">
        <f t="shared" ref="F106:K106" si="104">F90-F122</f>
        <v>0</v>
      </c>
      <c r="G106" s="1">
        <f t="shared" si="104"/>
        <v>0</v>
      </c>
      <c r="H106" s="1">
        <f t="shared" si="104"/>
        <v>0</v>
      </c>
      <c r="I106" s="1">
        <f t="shared" si="104"/>
        <v>0</v>
      </c>
      <c r="J106" s="1">
        <f t="shared" si="104"/>
        <v>1.5228206080508851E-3</v>
      </c>
      <c r="K106" s="1">
        <f t="shared" si="104"/>
        <v>8.4355784811459514E-4</v>
      </c>
      <c r="L106" s="1">
        <f t="shared" ref="L106" si="105">L90-L122</f>
        <v>1.27843264048938E-4</v>
      </c>
      <c r="N106" s="1"/>
    </row>
    <row r="107" spans="1:14" x14ac:dyDescent="0.35">
      <c r="A107" s="5" t="str">
        <f t="shared" si="84"/>
        <v>STEM</v>
      </c>
      <c r="B107" s="5" t="str">
        <f t="shared" si="85"/>
        <v>SPS1</v>
      </c>
      <c r="C107" s="5" t="str">
        <f t="shared" si="86"/>
        <v>CH</v>
      </c>
      <c r="D107" t="s">
        <v>560</v>
      </c>
      <c r="E107" t="str">
        <f t="shared" si="87"/>
        <v>PJ/yr.</v>
      </c>
      <c r="F107" s="1">
        <f t="shared" ref="F107:K107" si="106">F91-F123</f>
        <v>3.8654559066519635E-2</v>
      </c>
      <c r="G107" s="1">
        <f t="shared" si="106"/>
        <v>1.1595670681923598E-2</v>
      </c>
      <c r="H107" s="1">
        <f t="shared" si="106"/>
        <v>1.6692422900791072E-2</v>
      </c>
      <c r="I107" s="1">
        <f t="shared" si="106"/>
        <v>0</v>
      </c>
      <c r="J107" s="1">
        <f t="shared" si="106"/>
        <v>3.9614166400705267E-3</v>
      </c>
      <c r="K107" s="1">
        <f t="shared" si="106"/>
        <v>6.6861530476454358E-4</v>
      </c>
      <c r="L107" s="1">
        <f t="shared" ref="L107" si="107">L91-L123</f>
        <v>0</v>
      </c>
      <c r="N107" s="1"/>
    </row>
    <row r="108" spans="1:14" x14ac:dyDescent="0.35">
      <c r="A108" s="5" t="str">
        <f t="shared" si="84"/>
        <v>STEM</v>
      </c>
      <c r="B108" s="5" t="str">
        <f t="shared" si="85"/>
        <v>SPS1</v>
      </c>
      <c r="C108" s="5" t="str">
        <f t="shared" si="86"/>
        <v>CH</v>
      </c>
      <c r="D108" t="s">
        <v>561</v>
      </c>
      <c r="E108" t="str">
        <f t="shared" si="87"/>
        <v>PJ/yr.</v>
      </c>
      <c r="F108" s="1">
        <f t="shared" ref="F108:K108" si="108">F92-F124</f>
        <v>0</v>
      </c>
      <c r="G108" s="1">
        <f t="shared" si="108"/>
        <v>0</v>
      </c>
      <c r="H108" s="1">
        <f t="shared" si="108"/>
        <v>0</v>
      </c>
      <c r="I108" s="1">
        <f t="shared" si="108"/>
        <v>0</v>
      </c>
      <c r="J108" s="1">
        <f t="shared" si="108"/>
        <v>0</v>
      </c>
      <c r="K108" s="1">
        <f t="shared" si="108"/>
        <v>0</v>
      </c>
      <c r="L108" s="1">
        <f t="shared" ref="L108" si="109">L92-L124</f>
        <v>0</v>
      </c>
      <c r="N108" s="1"/>
    </row>
    <row r="109" spans="1:14" x14ac:dyDescent="0.35">
      <c r="A109" s="5" t="str">
        <f t="shared" si="84"/>
        <v>STEM</v>
      </c>
      <c r="B109" s="5" t="str">
        <f t="shared" si="85"/>
        <v>SPS1</v>
      </c>
      <c r="C109" s="5" t="str">
        <f t="shared" si="86"/>
        <v>CH</v>
      </c>
      <c r="D109" t="s">
        <v>562</v>
      </c>
      <c r="E109" t="str">
        <f>E185</f>
        <v>PJ/yr.</v>
      </c>
      <c r="F109" s="1">
        <f t="shared" ref="F109:K109" si="110">F93-F125</f>
        <v>5.1338848929966818E-2</v>
      </c>
      <c r="G109" s="1">
        <f t="shared" si="110"/>
        <v>1.5882860783466686E-2</v>
      </c>
      <c r="H109" s="1">
        <f t="shared" si="110"/>
        <v>3.6646794806768003E-2</v>
      </c>
      <c r="I109" s="1">
        <f t="shared" si="110"/>
        <v>0</v>
      </c>
      <c r="J109" s="1">
        <f t="shared" si="110"/>
        <v>7.8749304905123396E-3</v>
      </c>
      <c r="K109" s="1">
        <f t="shared" si="110"/>
        <v>1.1511937836143002E-3</v>
      </c>
      <c r="L109" s="1">
        <f t="shared" ref="L109" si="111">L93-L125</f>
        <v>0</v>
      </c>
      <c r="N109" s="1"/>
    </row>
    <row r="110" spans="1:14" x14ac:dyDescent="0.35">
      <c r="A110" s="5" t="str">
        <f t="shared" si="84"/>
        <v>STEM</v>
      </c>
      <c r="B110" s="5" t="str">
        <f t="shared" si="85"/>
        <v>SPS1</v>
      </c>
      <c r="C110" s="5" t="str">
        <f t="shared" si="86"/>
        <v>CH</v>
      </c>
      <c r="D110" t="s">
        <v>563</v>
      </c>
      <c r="E110" t="str">
        <f>E187</f>
        <v>PJ/yr.</v>
      </c>
      <c r="F110" s="1">
        <f t="shared" ref="F110:K110" si="112">F94-F126</f>
        <v>0</v>
      </c>
      <c r="G110" s="1">
        <f t="shared" si="112"/>
        <v>0</v>
      </c>
      <c r="H110" s="1">
        <f t="shared" si="112"/>
        <v>0</v>
      </c>
      <c r="I110" s="1">
        <f t="shared" si="112"/>
        <v>0</v>
      </c>
      <c r="J110" s="1">
        <f t="shared" si="112"/>
        <v>0</v>
      </c>
      <c r="K110" s="1">
        <f t="shared" si="112"/>
        <v>0</v>
      </c>
      <c r="L110" s="1">
        <f t="shared" ref="L110" si="113">L94-L126</f>
        <v>0</v>
      </c>
      <c r="N110" s="1"/>
    </row>
    <row r="111" spans="1:14" x14ac:dyDescent="0.35">
      <c r="A111" s="5" t="str">
        <f t="shared" si="84"/>
        <v>STEM</v>
      </c>
      <c r="B111" s="5" t="str">
        <f t="shared" si="85"/>
        <v>SPS1</v>
      </c>
      <c r="C111" s="5" t="str">
        <f t="shared" si="86"/>
        <v>CH</v>
      </c>
      <c r="D111" t="s">
        <v>564</v>
      </c>
      <c r="E111" t="str">
        <f>E189</f>
        <v>PJ/yr.</v>
      </c>
      <c r="F111" s="1">
        <f t="shared" ref="F111:K111" si="114">F95-F127</f>
        <v>0</v>
      </c>
      <c r="G111" s="1">
        <f t="shared" si="114"/>
        <v>0</v>
      </c>
      <c r="H111" s="1">
        <f t="shared" si="114"/>
        <v>0</v>
      </c>
      <c r="I111" s="1">
        <f t="shared" si="114"/>
        <v>0</v>
      </c>
      <c r="J111" s="1">
        <f t="shared" si="114"/>
        <v>0</v>
      </c>
      <c r="K111" s="1">
        <f t="shared" si="114"/>
        <v>0</v>
      </c>
      <c r="L111" s="1">
        <f t="shared" ref="L111" si="115">L95-L127</f>
        <v>0</v>
      </c>
      <c r="N111" s="1"/>
    </row>
    <row r="112" spans="1:14" x14ac:dyDescent="0.35">
      <c r="A112" s="5" t="str">
        <f t="shared" si="84"/>
        <v>STEM</v>
      </c>
      <c r="B112" s="5" t="str">
        <f t="shared" si="85"/>
        <v>SPS1</v>
      </c>
      <c r="C112" s="5" t="str">
        <f t="shared" si="86"/>
        <v>CH</v>
      </c>
      <c r="D112" t="s">
        <v>565</v>
      </c>
      <c r="E112" t="str">
        <f>E190</f>
        <v>PJ/yr.</v>
      </c>
      <c r="F112" s="1">
        <f t="shared" ref="F112:K112" si="116">F96-F128</f>
        <v>0.5796357432541015</v>
      </c>
      <c r="G112" s="1">
        <f t="shared" si="116"/>
        <v>0.60499198033161239</v>
      </c>
      <c r="H112" s="1">
        <f t="shared" si="116"/>
        <v>0.50843820192560241</v>
      </c>
      <c r="I112" s="1">
        <f t="shared" si="116"/>
        <v>0</v>
      </c>
      <c r="J112" s="1">
        <f t="shared" si="116"/>
        <v>2.5054242662134471E-3</v>
      </c>
      <c r="K112" s="1">
        <f t="shared" si="116"/>
        <v>3.4611686543831286E-4</v>
      </c>
      <c r="L112" s="1">
        <f t="shared" ref="L112" si="117">L96-L128</f>
        <v>0</v>
      </c>
      <c r="N112" s="1"/>
    </row>
    <row r="113" spans="1:14" x14ac:dyDescent="0.35">
      <c r="A113" s="5" t="str">
        <f t="shared" si="84"/>
        <v>STEM</v>
      </c>
      <c r="B113" s="5" t="str">
        <f t="shared" si="85"/>
        <v>SPS1</v>
      </c>
      <c r="C113" s="5" t="str">
        <f t="shared" si="86"/>
        <v>CH</v>
      </c>
      <c r="D113" t="s">
        <v>566</v>
      </c>
      <c r="E113" t="str">
        <f>E195</f>
        <v>PJ/yr.</v>
      </c>
      <c r="F113" s="1">
        <f t="shared" ref="F113:K113" si="118">F97-F129</f>
        <v>0</v>
      </c>
      <c r="G113" s="1">
        <f t="shared" si="118"/>
        <v>0</v>
      </c>
      <c r="H113" s="1">
        <f t="shared" si="118"/>
        <v>0</v>
      </c>
      <c r="I113" s="1">
        <f t="shared" si="118"/>
        <v>0</v>
      </c>
      <c r="J113" s="1">
        <f t="shared" si="118"/>
        <v>0</v>
      </c>
      <c r="K113" s="1">
        <f t="shared" si="118"/>
        <v>0</v>
      </c>
      <c r="L113" s="1">
        <f t="shared" ref="L113" si="119">L97-L129</f>
        <v>0</v>
      </c>
      <c r="N113" s="1"/>
    </row>
    <row r="114" spans="1:14" x14ac:dyDescent="0.3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1.0180664618998765</v>
      </c>
      <c r="G114" s="1">
        <f t="shared" ref="G114:K114" si="120">SUM(G115:G129)</f>
        <v>1.1372180930894089</v>
      </c>
      <c r="H114" s="1">
        <f t="shared" si="120"/>
        <v>1.1684184415159853</v>
      </c>
      <c r="I114" s="1">
        <f t="shared" si="120"/>
        <v>1.1121375970872134</v>
      </c>
      <c r="J114" s="1">
        <f t="shared" si="120"/>
        <v>1.224025232284321</v>
      </c>
      <c r="K114" s="1">
        <f t="shared" si="120"/>
        <v>1.1483062810612785</v>
      </c>
      <c r="L114" s="1">
        <f t="shared" ref="L114" si="121">SUM(L115:L129)</f>
        <v>1.56093663741447</v>
      </c>
      <c r="N114" s="1"/>
    </row>
    <row r="115" spans="1:14" x14ac:dyDescent="0.35">
      <c r="A115" s="5" t="str">
        <f t="shared" si="61"/>
        <v>STEM</v>
      </c>
      <c r="B115" s="5" t="str">
        <f t="shared" si="62"/>
        <v>SPS1</v>
      </c>
      <c r="C115" s="5" t="str">
        <f t="shared" si="63"/>
        <v>CH</v>
      </c>
      <c r="D115" t="s">
        <v>613</v>
      </c>
      <c r="E115" t="str">
        <f t="shared" ref="E115:E130" si="122">E114</f>
        <v>PJ/yr.</v>
      </c>
      <c r="F115" s="1">
        <f>'[1]Electricity and CHPs_IN'!L$23/SUM('[1]Electricity and CHPs_IN'!L$22:L$23)*F83</f>
        <v>0</v>
      </c>
      <c r="G115" s="1">
        <f>'[1]Electricity and CHPs_IN'!M$23/SUM('[1]Electricity and CHPs_IN'!M$22:M$23)*G83</f>
        <v>0</v>
      </c>
      <c r="H115" s="1">
        <f>'[1]Electricity and CHPs_IN'!N$23/SUM('[1]Electricity and CHPs_IN'!N$22:N$23)*H83</f>
        <v>0</v>
      </c>
      <c r="I115" s="1">
        <f>'[1]Electricity and CHPs_IN'!O$23/SUM('[1]Electricity and CHPs_IN'!O$22:O$23)*I83</f>
        <v>0</v>
      </c>
      <c r="J115" s="1">
        <f>'[2]Electricity and CHPs_IN'!P$23/SUM('[2]Electricity and CHPs_IN'!P$22:P$23)*J83</f>
        <v>0</v>
      </c>
      <c r="K115" s="1">
        <f>'[2]Electricity and CHPs_IN'!Q$23/SUM('[2]Electricity and CHPs_IN'!Q$22:Q$23)*K83</f>
        <v>2.9577958381997708E-6</v>
      </c>
      <c r="L115" s="1">
        <f>'[2]Electricity and CHPs_IN'!R$23/SUM('[2]Electricity and CHPs_IN'!R$22:R$23)*L83</f>
        <v>1.3008435783698467E-3</v>
      </c>
      <c r="N115" s="1"/>
    </row>
    <row r="116" spans="1:14" x14ac:dyDescent="0.35">
      <c r="A116" s="5" t="str">
        <f t="shared" si="61"/>
        <v>STEM</v>
      </c>
      <c r="B116" s="5" t="str">
        <f t="shared" si="62"/>
        <v>SPS1</v>
      </c>
      <c r="C116" s="5" t="str">
        <f t="shared" si="63"/>
        <v>CH</v>
      </c>
      <c r="D116" t="s">
        <v>614</v>
      </c>
      <c r="E116" t="str">
        <f t="shared" si="122"/>
        <v>PJ/yr.</v>
      </c>
      <c r="F116" s="1">
        <f>'[1]Electricity and CHPs_IN'!L$23/SUM('[1]Electricity and CHPs_IN'!L$22:L$23)*F84</f>
        <v>0</v>
      </c>
      <c r="G116" s="1">
        <f>'[1]Electricity and CHPs_IN'!M$23/SUM('[1]Electricity and CHPs_IN'!M$22:M$23)*G84</f>
        <v>0</v>
      </c>
      <c r="H116" s="1">
        <f>'[1]Electricity and CHPs_IN'!N$23/SUM('[1]Electricity and CHPs_IN'!N$22:N$23)*H84</f>
        <v>0</v>
      </c>
      <c r="I116" s="1">
        <f>'[1]Electricity and CHPs_IN'!O$23/SUM('[1]Electricity and CHPs_IN'!O$22:O$23)*I84</f>
        <v>0</v>
      </c>
      <c r="J116" s="1">
        <f>'[2]Electricity and CHPs_IN'!P$23/SUM('[2]Electricity and CHPs_IN'!P$22:P$23)*J84</f>
        <v>0</v>
      </c>
      <c r="K116" s="1">
        <f>'[2]Electricity and CHPs_IN'!Q$23/SUM('[2]Electricity and CHPs_IN'!Q$22:Q$23)*K84</f>
        <v>1.6610046439713429E-6</v>
      </c>
      <c r="L116" s="1">
        <f>'[2]Electricity and CHPs_IN'!R$23/SUM('[2]Electricity and CHPs_IN'!R$22:R$23)*L84</f>
        <v>2.8812162915180448E-2</v>
      </c>
      <c r="N116" s="1"/>
    </row>
    <row r="117" spans="1:14" x14ac:dyDescent="0.35">
      <c r="A117" s="5" t="str">
        <f t="shared" si="61"/>
        <v>STEM</v>
      </c>
      <c r="B117" s="5" t="str">
        <f t="shared" si="62"/>
        <v>SPS1</v>
      </c>
      <c r="C117" s="5" t="str">
        <f t="shared" si="63"/>
        <v>CH</v>
      </c>
      <c r="D117" t="s">
        <v>615</v>
      </c>
      <c r="E117" t="str">
        <f t="shared" si="122"/>
        <v>PJ/yr.</v>
      </c>
      <c r="F117" s="1">
        <f>'[1]Electricity and CHPs_IN'!L$23/SUM('[1]Electricity and CHPs_IN'!L$22:L$23)*F85</f>
        <v>0</v>
      </c>
      <c r="G117" s="1">
        <f>'[1]Electricity and CHPs_IN'!M$23/SUM('[1]Electricity and CHPs_IN'!M$22:M$23)*G85</f>
        <v>0</v>
      </c>
      <c r="H117" s="1">
        <f>'[1]Electricity and CHPs_IN'!N$23/SUM('[1]Electricity and CHPs_IN'!N$22:N$23)*H85</f>
        <v>0</v>
      </c>
      <c r="I117" s="1">
        <f>'[1]Electricity and CHPs_IN'!O$23/SUM('[1]Electricity and CHPs_IN'!O$22:O$23)*I85</f>
        <v>0</v>
      </c>
      <c r="J117" s="1">
        <f>'[2]Electricity and CHPs_IN'!P$23/SUM('[2]Electricity and CHPs_IN'!P$22:P$23)*J85</f>
        <v>0</v>
      </c>
      <c r="K117" s="1">
        <f>'[2]Electricity and CHPs_IN'!Q$23/SUM('[2]Electricity and CHPs_IN'!Q$22:Q$23)*K85</f>
        <v>0</v>
      </c>
      <c r="L117" s="1">
        <f>'[2]Electricity and CHPs_IN'!R$23/SUM('[2]Electricity and CHPs_IN'!R$22:R$23)*L85</f>
        <v>0</v>
      </c>
      <c r="N117" s="1"/>
    </row>
    <row r="118" spans="1:14" x14ac:dyDescent="0.35">
      <c r="A118" s="5" t="str">
        <f t="shared" si="61"/>
        <v>STEM</v>
      </c>
      <c r="B118" s="5" t="str">
        <f t="shared" si="62"/>
        <v>SPS1</v>
      </c>
      <c r="C118" s="5" t="str">
        <f t="shared" si="63"/>
        <v>CH</v>
      </c>
      <c r="D118" t="s">
        <v>616</v>
      </c>
      <c r="E118" t="str">
        <f t="shared" si="122"/>
        <v>PJ/yr.</v>
      </c>
      <c r="F118" s="1">
        <f>'[1]Electricity and CHPs_IN'!L$23/SUM('[1]Electricity and CHPs_IN'!L$22:L$23)*F86</f>
        <v>2.4376516909798186E-2</v>
      </c>
      <c r="G118" s="1">
        <f>'[1]Electricity and CHPs_IN'!M$23/SUM('[1]Electricity and CHPs_IN'!M$22:M$23)*G86</f>
        <v>6.6732897008762722E-4</v>
      </c>
      <c r="H118" s="1">
        <f>'[1]Electricity and CHPs_IN'!N$23/SUM('[1]Electricity and CHPs_IN'!N$22:N$23)*H86</f>
        <v>4.313407090308914E-3</v>
      </c>
      <c r="I118" s="1">
        <f>'[1]Electricity and CHPs_IN'!O$23/SUM('[1]Electricity and CHPs_IN'!O$22:O$23)*I86</f>
        <v>0</v>
      </c>
      <c r="J118" s="1">
        <f>'[2]Electricity and CHPs_IN'!P$23/SUM('[2]Electricity and CHPs_IN'!P$22:P$23)*J86</f>
        <v>0</v>
      </c>
      <c r="K118" s="1">
        <f>'[2]Electricity and CHPs_IN'!Q$23/SUM('[2]Electricity and CHPs_IN'!Q$22:Q$23)*K86</f>
        <v>0</v>
      </c>
      <c r="L118" s="1">
        <f>'[2]Electricity and CHPs_IN'!R$23/SUM('[2]Electricity and CHPs_IN'!R$22:R$23)*L86</f>
        <v>0</v>
      </c>
      <c r="N118" s="1"/>
    </row>
    <row r="119" spans="1:14" x14ac:dyDescent="0.35">
      <c r="A119" s="5" t="str">
        <f t="shared" si="61"/>
        <v>STEM</v>
      </c>
      <c r="B119" s="5" t="str">
        <f t="shared" si="62"/>
        <v>SPS1</v>
      </c>
      <c r="C119" s="5" t="str">
        <f t="shared" si="63"/>
        <v>CH</v>
      </c>
      <c r="D119" t="s">
        <v>617</v>
      </c>
      <c r="E119" t="str">
        <f t="shared" si="122"/>
        <v>PJ/yr.</v>
      </c>
      <c r="F119" s="1">
        <f>'[1]Electricity and CHPs_IN'!L$23/SUM('[1]Electricity and CHPs_IN'!L$22:L$23)*F87</f>
        <v>0</v>
      </c>
      <c r="G119" s="1">
        <f>'[1]Electricity and CHPs_IN'!M$23/SUM('[1]Electricity and CHPs_IN'!M$22:M$23)*G87</f>
        <v>0</v>
      </c>
      <c r="H119" s="1">
        <f>'[1]Electricity and CHPs_IN'!N$23/SUM('[1]Electricity and CHPs_IN'!N$22:N$23)*H87</f>
        <v>0</v>
      </c>
      <c r="I119" s="1">
        <f>'[1]Electricity and CHPs_IN'!O$23/SUM('[1]Electricity and CHPs_IN'!O$22:O$23)*I87</f>
        <v>0</v>
      </c>
      <c r="J119" s="1">
        <f>'[2]Electricity and CHPs_IN'!P$23/SUM('[2]Electricity and CHPs_IN'!P$22:P$23)*J87</f>
        <v>0</v>
      </c>
      <c r="K119" s="1">
        <f>'[2]Electricity and CHPs_IN'!Q$23/SUM('[2]Electricity and CHPs_IN'!Q$22:Q$23)*K87</f>
        <v>0</v>
      </c>
      <c r="L119" s="1">
        <f>'[2]Electricity and CHPs_IN'!R$23/SUM('[2]Electricity and CHPs_IN'!R$22:R$23)*L87</f>
        <v>0</v>
      </c>
      <c r="N119" s="1"/>
    </row>
    <row r="120" spans="1:14" x14ac:dyDescent="0.35">
      <c r="A120" s="5" t="str">
        <f t="shared" si="61"/>
        <v>STEM</v>
      </c>
      <c r="B120" s="5" t="str">
        <f t="shared" si="62"/>
        <v>SPS1</v>
      </c>
      <c r="C120" s="5" t="str">
        <f t="shared" si="63"/>
        <v>CH</v>
      </c>
      <c r="D120" t="s">
        <v>618</v>
      </c>
      <c r="E120" t="str">
        <f t="shared" si="122"/>
        <v>PJ/yr.</v>
      </c>
      <c r="F120" s="1">
        <f>'[1]Electricity and CHPs_IN'!L$23/SUM('[1]Electricity and CHPs_IN'!L$22:L$23)*F88</f>
        <v>1.6913890396115374E-2</v>
      </c>
      <c r="G120" s="1">
        <f>'[1]Electricity and CHPs_IN'!M$23/SUM('[1]Electricity and CHPs_IN'!M$22:M$23)*G88</f>
        <v>7.4810071735628364E-3</v>
      </c>
      <c r="H120" s="1">
        <f>'[1]Electricity and CHPs_IN'!N$23/SUM('[1]Electricity and CHPs_IN'!N$22:N$23)*H88</f>
        <v>2.5618596945638943E-2</v>
      </c>
      <c r="I120" s="1">
        <f>'[1]Electricity and CHPs_IN'!O$23/SUM('[1]Electricity and CHPs_IN'!O$22:O$23)*I88</f>
        <v>5.3133363411399358E-3</v>
      </c>
      <c r="J120" s="1">
        <f>'[2]Electricity and CHPs_IN'!P$23/SUM('[2]Electricity and CHPs_IN'!P$22:P$23)*J88</f>
        <v>0.11439822794989865</v>
      </c>
      <c r="K120" s="1">
        <f>'[2]Electricity and CHPs_IN'!Q$23/SUM('[2]Electricity and CHPs_IN'!Q$22:Q$23)*K88</f>
        <v>3.5035514720660084E-2</v>
      </c>
      <c r="L120" s="1">
        <f>'[2]Electricity and CHPs_IN'!R$23/SUM('[2]Electricity and CHPs_IN'!R$22:R$23)*L88</f>
        <v>0.26906986700767954</v>
      </c>
      <c r="N120" s="1"/>
    </row>
    <row r="121" spans="1:14" x14ac:dyDescent="0.35">
      <c r="A121" s="5" t="str">
        <f t="shared" si="61"/>
        <v>STEM</v>
      </c>
      <c r="B121" s="5" t="str">
        <f t="shared" si="62"/>
        <v>SPS1</v>
      </c>
      <c r="C121" s="5" t="str">
        <f t="shared" si="63"/>
        <v>CH</v>
      </c>
      <c r="D121" t="s">
        <v>619</v>
      </c>
      <c r="E121" t="str">
        <f t="shared" si="122"/>
        <v>PJ/yr.</v>
      </c>
      <c r="F121" s="1">
        <f>'[1]Electricity and CHPs_IN'!L$23/SUM('[1]Electricity and CHPs_IN'!L$22:L$23)*F89</f>
        <v>0</v>
      </c>
      <c r="G121" s="1">
        <f>'[1]Electricity and CHPs_IN'!M$23/SUM('[1]Electricity and CHPs_IN'!M$22:M$23)*G89</f>
        <v>0</v>
      </c>
      <c r="H121" s="1">
        <f>'[1]Electricity and CHPs_IN'!N$23/SUM('[1]Electricity and CHPs_IN'!N$22:N$23)*H89</f>
        <v>0</v>
      </c>
      <c r="I121" s="1">
        <f>'[1]Electricity and CHPs_IN'!O$23/SUM('[1]Electricity and CHPs_IN'!O$22:O$23)*I89</f>
        <v>0</v>
      </c>
      <c r="J121" s="1">
        <f>'[2]Electricity and CHPs_IN'!P$23/SUM('[2]Electricity and CHPs_IN'!P$22:P$23)*J89</f>
        <v>0</v>
      </c>
      <c r="K121" s="1">
        <f>'[2]Electricity and CHPs_IN'!Q$23/SUM('[2]Electricity and CHPs_IN'!Q$22:Q$23)*K89</f>
        <v>5.291580296773981E-3</v>
      </c>
      <c r="L121" s="1">
        <f>'[2]Electricity and CHPs_IN'!R$23/SUM('[2]Electricity and CHPs_IN'!R$22:R$23)*L89</f>
        <v>0.15558017401731766</v>
      </c>
      <c r="N121" s="1"/>
    </row>
    <row r="122" spans="1:14" x14ac:dyDescent="0.35">
      <c r="A122" s="5" t="str">
        <f t="shared" si="61"/>
        <v>STEM</v>
      </c>
      <c r="B122" s="5" t="str">
        <f t="shared" si="62"/>
        <v>SPS1</v>
      </c>
      <c r="C122" s="5" t="str">
        <f t="shared" si="63"/>
        <v>CH</v>
      </c>
      <c r="D122" t="s">
        <v>620</v>
      </c>
      <c r="E122" t="str">
        <f t="shared" si="122"/>
        <v>PJ/yr.</v>
      </c>
      <c r="F122" s="1">
        <f>'[1]Electricity and CHPs_IN'!L$23/SUM('[1]Electricity and CHPs_IN'!L$22:L$23)*F90</f>
        <v>0</v>
      </c>
      <c r="G122" s="1">
        <f>'[1]Electricity and CHPs_IN'!M$23/SUM('[1]Electricity and CHPs_IN'!M$22:M$23)*G90</f>
        <v>0</v>
      </c>
      <c r="H122" s="1">
        <f>'[1]Electricity and CHPs_IN'!N$23/SUM('[1]Electricity and CHPs_IN'!N$22:N$23)*H90</f>
        <v>0</v>
      </c>
      <c r="I122" s="1">
        <f>'[1]Electricity and CHPs_IN'!O$23/SUM('[1]Electricity and CHPs_IN'!O$22:O$23)*I90</f>
        <v>0</v>
      </c>
      <c r="J122" s="1">
        <f>'[2]Electricity and CHPs_IN'!P$23/SUM('[2]Electricity and CHPs_IN'!P$22:P$23)*J90</f>
        <v>3.5264382379395827E-4</v>
      </c>
      <c r="K122" s="1">
        <f>'[2]Electricity and CHPs_IN'!Q$23/SUM('[2]Electricity and CHPs_IN'!Q$22:Q$23)*K90</f>
        <v>5.6699942841609101E-4</v>
      </c>
      <c r="L122" s="1">
        <f>'[2]Electricity and CHPs_IN'!R$23/SUM('[2]Electricity and CHPs_IN'!R$22:R$23)*L90</f>
        <v>2.215831637062739E-4</v>
      </c>
      <c r="N122" s="1"/>
    </row>
    <row r="123" spans="1:14" x14ac:dyDescent="0.35">
      <c r="A123" s="5" t="str">
        <f t="shared" si="61"/>
        <v>STEM</v>
      </c>
      <c r="B123" s="5" t="str">
        <f t="shared" si="62"/>
        <v>SPS1</v>
      </c>
      <c r="C123" s="5" t="str">
        <f t="shared" si="63"/>
        <v>CH</v>
      </c>
      <c r="D123" t="s">
        <v>621</v>
      </c>
      <c r="E123" t="str">
        <f t="shared" si="122"/>
        <v>PJ/yr.</v>
      </c>
      <c r="F123" s="1">
        <f>'[1]Electricity and CHPs_IN'!L$23/SUM('[1]Electricity and CHPs_IN'!L$22:L$23)*F91</f>
        <v>1.0007520667455047E-3</v>
      </c>
      <c r="G123" s="1">
        <f>'[1]Electricity and CHPs_IN'!M$23/SUM('[1]Electricity and CHPs_IN'!M$22:M$23)*G91</f>
        <v>4.1497007901117626E-4</v>
      </c>
      <c r="H123" s="1">
        <f>'[1]Electricity and CHPs_IN'!N$23/SUM('[1]Electricity and CHPs_IN'!N$22:N$23)*H91</f>
        <v>9.5317803218782592E-4</v>
      </c>
      <c r="I123" s="1">
        <f>'[1]Electricity and CHPs_IN'!O$23/SUM('[1]Electricity and CHPs_IN'!O$22:O$23)*I91</f>
        <v>0</v>
      </c>
      <c r="J123" s="1">
        <f>'[2]Electricity and CHPs_IN'!P$23/SUM('[2]Electricity and CHPs_IN'!P$22:P$23)*J91</f>
        <v>9.1735632169012867E-4</v>
      </c>
      <c r="K123" s="1">
        <f>'[2]Electricity and CHPs_IN'!Q$23/SUM('[2]Electricity and CHPs_IN'!Q$22:Q$23)*K91</f>
        <v>4.4941137881541755E-4</v>
      </c>
      <c r="L123" s="1">
        <f>'[2]Electricity and CHPs_IN'!R$23/SUM('[2]Electricity and CHPs_IN'!R$22:R$23)*L91</f>
        <v>0</v>
      </c>
      <c r="N123" s="1"/>
    </row>
    <row r="124" spans="1:14" x14ac:dyDescent="0.35">
      <c r="A124" s="5" t="str">
        <f t="shared" si="61"/>
        <v>STEM</v>
      </c>
      <c r="B124" s="5" t="str">
        <f t="shared" si="62"/>
        <v>SPS1</v>
      </c>
      <c r="C124" s="5" t="str">
        <f t="shared" si="63"/>
        <v>CH</v>
      </c>
      <c r="D124" t="s">
        <v>622</v>
      </c>
      <c r="E124" t="str">
        <f t="shared" si="122"/>
        <v>PJ/yr.</v>
      </c>
      <c r="F124" s="1">
        <f>'[1]Electricity and CHPs_IN'!L$23/SUM('[1]Electricity and CHPs_IN'!L$22:L$23)*F92</f>
        <v>0</v>
      </c>
      <c r="G124" s="1">
        <f>'[1]Electricity and CHPs_IN'!M$23/SUM('[1]Electricity and CHPs_IN'!M$22:M$23)*G92</f>
        <v>0</v>
      </c>
      <c r="H124" s="1">
        <f>'[1]Electricity and CHPs_IN'!N$23/SUM('[1]Electricity and CHPs_IN'!N$22:N$23)*H92</f>
        <v>0</v>
      </c>
      <c r="I124" s="1">
        <f>'[1]Electricity and CHPs_IN'!O$23/SUM('[1]Electricity and CHPs_IN'!O$22:O$23)*I92</f>
        <v>0</v>
      </c>
      <c r="J124" s="1">
        <f>'[2]Electricity and CHPs_IN'!P$23/SUM('[2]Electricity and CHPs_IN'!P$22:P$23)*J92</f>
        <v>0</v>
      </c>
      <c r="K124" s="1">
        <f>'[2]Electricity and CHPs_IN'!Q$23/SUM('[2]Electricity and CHPs_IN'!Q$22:Q$23)*K92</f>
        <v>0</v>
      </c>
      <c r="L124" s="1">
        <f>'[2]Electricity and CHPs_IN'!R$23/SUM('[2]Electricity and CHPs_IN'!R$22:R$23)*L92</f>
        <v>0</v>
      </c>
      <c r="N124" s="1"/>
    </row>
    <row r="125" spans="1:14" x14ac:dyDescent="0.35">
      <c r="A125" s="5" t="str">
        <f t="shared" si="61"/>
        <v>STEM</v>
      </c>
      <c r="B125" s="5" t="str">
        <f t="shared" si="62"/>
        <v>SPS1</v>
      </c>
      <c r="C125" s="5" t="str">
        <f t="shared" si="63"/>
        <v>CH</v>
      </c>
      <c r="D125" t="s">
        <v>623</v>
      </c>
      <c r="E125" t="str">
        <f t="shared" si="122"/>
        <v>PJ/yr.</v>
      </c>
      <c r="F125" s="1">
        <f>'[1]Electricity and CHPs_IN'!L$23/SUM('[1]Electricity and CHPs_IN'!L$22:L$23)*F93</f>
        <v>1.3291435838806332E-3</v>
      </c>
      <c r="G125" s="1">
        <f>'[1]Electricity and CHPs_IN'!M$23/SUM('[1]Electricity and CHPs_IN'!M$22:M$23)*G93</f>
        <v>5.6839420289101568E-4</v>
      </c>
      <c r="H125" s="1">
        <f>'[1]Electricity and CHPs_IN'!N$23/SUM('[1]Electricity and CHPs_IN'!N$22:N$23)*H93</f>
        <v>2.092621302941633E-3</v>
      </c>
      <c r="I125" s="1">
        <f>'[1]Electricity and CHPs_IN'!O$23/SUM('[1]Electricity and CHPs_IN'!O$22:O$23)*I93</f>
        <v>0</v>
      </c>
      <c r="J125" s="1">
        <f>'[2]Electricity and CHPs_IN'!P$23/SUM('[2]Electricity and CHPs_IN'!P$22:P$23)*J93</f>
        <v>1.8236196605195321E-3</v>
      </c>
      <c r="K125" s="1">
        <f>'[2]Electricity and CHPs_IN'!Q$23/SUM('[2]Electricity and CHPs_IN'!Q$22:Q$23)*K93</f>
        <v>7.7377765942709161E-4</v>
      </c>
      <c r="L125" s="1">
        <f>'[2]Electricity and CHPs_IN'!R$23/SUM('[2]Electricity and CHPs_IN'!R$22:R$23)*L93</f>
        <v>0</v>
      </c>
      <c r="N125" s="1"/>
    </row>
    <row r="126" spans="1:14" x14ac:dyDescent="0.35">
      <c r="A126" s="5" t="str">
        <f t="shared" si="61"/>
        <v>STEM</v>
      </c>
      <c r="B126" s="5" t="str">
        <f t="shared" si="62"/>
        <v>SPS1</v>
      </c>
      <c r="C126" s="5" t="str">
        <f t="shared" si="63"/>
        <v>CH</v>
      </c>
      <c r="D126" t="s">
        <v>624</v>
      </c>
      <c r="E126" t="str">
        <f t="shared" si="122"/>
        <v>PJ/yr.</v>
      </c>
      <c r="F126" s="1">
        <f>'[1]Electricity and CHPs_IN'!L$23/SUM('[1]Electricity and CHPs_IN'!L$22:L$23)*F94</f>
        <v>0</v>
      </c>
      <c r="G126" s="1">
        <f>'[1]Electricity and CHPs_IN'!M$23/SUM('[1]Electricity and CHPs_IN'!M$22:M$23)*G94</f>
        <v>0</v>
      </c>
      <c r="H126" s="1">
        <f>'[1]Electricity and CHPs_IN'!N$23/SUM('[1]Electricity and CHPs_IN'!N$22:N$23)*H94</f>
        <v>0</v>
      </c>
      <c r="I126" s="1">
        <f>'[1]Electricity and CHPs_IN'!O$23/SUM('[1]Electricity and CHPs_IN'!O$22:O$23)*I94</f>
        <v>0</v>
      </c>
      <c r="J126" s="1">
        <f>'[2]Electricity and CHPs_IN'!P$23/SUM('[2]Electricity and CHPs_IN'!P$22:P$23)*J94</f>
        <v>0</v>
      </c>
      <c r="K126" s="1">
        <f>'[2]Electricity and CHPs_IN'!Q$23/SUM('[2]Electricity and CHPs_IN'!Q$22:Q$23)*K94</f>
        <v>0</v>
      </c>
      <c r="L126" s="1">
        <f>'[2]Electricity and CHPs_IN'!R$23/SUM('[2]Electricity and CHPs_IN'!R$22:R$23)*L94</f>
        <v>0</v>
      </c>
      <c r="N126" s="1"/>
    </row>
    <row r="127" spans="1:14" x14ac:dyDescent="0.35">
      <c r="A127" s="5" t="str">
        <f t="shared" si="61"/>
        <v>STEM</v>
      </c>
      <c r="B127" s="5" t="str">
        <f t="shared" si="62"/>
        <v>SPS1</v>
      </c>
      <c r="C127" s="5" t="str">
        <f t="shared" si="63"/>
        <v>CH</v>
      </c>
      <c r="D127" t="s">
        <v>625</v>
      </c>
      <c r="E127" t="str">
        <f t="shared" si="122"/>
        <v>PJ/yr.</v>
      </c>
      <c r="F127" s="1">
        <f t="shared" ref="F127:K127" si="123">F95</f>
        <v>0.95943960649442961</v>
      </c>
      <c r="G127" s="1">
        <f t="shared" si="123"/>
        <v>1.1064357631516968</v>
      </c>
      <c r="H127" s="1">
        <f t="shared" si="123"/>
        <v>1.1064075775951663</v>
      </c>
      <c r="I127" s="1">
        <f t="shared" si="123"/>
        <v>1.1068242607460734</v>
      </c>
      <c r="J127" s="1">
        <f t="shared" si="123"/>
        <v>1.1059531964295761</v>
      </c>
      <c r="K127" s="1">
        <f t="shared" si="123"/>
        <v>1.1059517354964505</v>
      </c>
      <c r="L127" s="1">
        <f t="shared" ref="L127" si="124">L95</f>
        <v>1.1059520067322162</v>
      </c>
      <c r="N127" s="1"/>
    </row>
    <row r="128" spans="1:14" x14ac:dyDescent="0.35">
      <c r="A128" s="5" t="str">
        <f t="shared" si="61"/>
        <v>STEM</v>
      </c>
      <c r="B128" s="5" t="str">
        <f t="shared" si="62"/>
        <v>SPS1</v>
      </c>
      <c r="C128" s="5" t="str">
        <f t="shared" si="63"/>
        <v>CH</v>
      </c>
      <c r="D128" t="s">
        <v>626</v>
      </c>
      <c r="E128" t="str">
        <f t="shared" si="122"/>
        <v>PJ/yr.</v>
      </c>
      <c r="F128" s="1">
        <f>'[1]Electricity and CHPs_IN'!L$23/SUM('[1]Electricity and CHPs_IN'!L$22:L$23)*F96</f>
        <v>1.5006552448907215E-2</v>
      </c>
      <c r="G128" s="1">
        <f>'[1]Electricity and CHPs_IN'!M$23/SUM('[1]Electricity and CHPs_IN'!M$22:M$23)*G96</f>
        <v>2.1650629512159451E-2</v>
      </c>
      <c r="H128" s="1">
        <f>'[1]Electricity and CHPs_IN'!N$23/SUM('[1]Electricity and CHPs_IN'!N$22:N$23)*H96</f>
        <v>2.9033060549741706E-2</v>
      </c>
      <c r="I128" s="1">
        <f>'[1]Electricity and CHPs_IN'!O$23/SUM('[1]Electricity and CHPs_IN'!O$22:O$23)*I96</f>
        <v>0</v>
      </c>
      <c r="J128" s="1">
        <f>'[2]Electricity and CHPs_IN'!P$23/SUM('[2]Electricity and CHPs_IN'!P$22:P$23)*J96</f>
        <v>5.8018809884280149E-4</v>
      </c>
      <c r="K128" s="1">
        <f>'[2]Electricity and CHPs_IN'!Q$23/SUM('[2]Electricity and CHPs_IN'!Q$22:Q$23)*K96</f>
        <v>2.3264328025317919E-4</v>
      </c>
      <c r="L128" s="1">
        <f>'[2]Electricity and CHPs_IN'!R$23/SUM('[2]Electricity and CHPs_IN'!R$22:R$23)*L96</f>
        <v>0</v>
      </c>
      <c r="N128" s="1"/>
    </row>
    <row r="129" spans="1:17" x14ac:dyDescent="0.35">
      <c r="A129" s="5" t="str">
        <f t="shared" si="61"/>
        <v>STEM</v>
      </c>
      <c r="B129" s="5" t="str">
        <f t="shared" si="62"/>
        <v>SPS1</v>
      </c>
      <c r="C129" s="5" t="str">
        <f t="shared" si="63"/>
        <v>CH</v>
      </c>
      <c r="D129" t="s">
        <v>627</v>
      </c>
      <c r="E129" t="str">
        <f t="shared" si="122"/>
        <v>PJ/yr.</v>
      </c>
      <c r="F129" s="1">
        <f>'[1]Electricity and CHPs_IN'!L$23/SUM('[1]Electricity and CHPs_IN'!L$22:L$23)*F97</f>
        <v>0</v>
      </c>
      <c r="G129" s="1">
        <f>'[1]Electricity and CHPs_IN'!M$23/SUM('[1]Electricity and CHPs_IN'!M$22:M$23)*G97</f>
        <v>0</v>
      </c>
      <c r="H129" s="1">
        <f>'[1]Electricity and CHPs_IN'!N$23/SUM('[1]Electricity and CHPs_IN'!N$22:N$23)*H97</f>
        <v>0</v>
      </c>
      <c r="I129" s="1">
        <f>'[1]Electricity and CHPs_IN'!O$23/SUM('[1]Electricity and CHPs_IN'!O$22:O$23)*I97</f>
        <v>0</v>
      </c>
      <c r="J129" s="1">
        <f>'[2]Electricity and CHPs_IN'!P$23/SUM('[2]Electricity and CHPs_IN'!P$22:P$23)*J97</f>
        <v>0</v>
      </c>
      <c r="K129" s="1">
        <f>'[2]Electricity and CHPs_IN'!Q$23/SUM('[2]Electricity and CHPs_IN'!Q$22:Q$23)*K97</f>
        <v>0</v>
      </c>
      <c r="L129" s="1">
        <f>'[2]Electricity and CHPs_IN'!R$23/SUM('[2]Electricity and CHPs_IN'!R$22:R$23)*L97</f>
        <v>0</v>
      </c>
      <c r="N129" s="1"/>
    </row>
    <row r="130" spans="1:17" x14ac:dyDescent="0.35">
      <c r="A130" s="5" t="str">
        <f t="shared" si="61"/>
        <v>STEM</v>
      </c>
      <c r="B130" s="5" t="str">
        <f t="shared" si="62"/>
        <v>SPS1</v>
      </c>
      <c r="C130" s="5" t="str">
        <f t="shared" si="63"/>
        <v>CH</v>
      </c>
      <c r="D130" t="s">
        <v>799</v>
      </c>
      <c r="E130" t="str">
        <f t="shared" si="122"/>
        <v>PJ/yr.</v>
      </c>
      <c r="F130" s="1">
        <f>SUM(F131:F136)</f>
        <v>8.2847209097024663</v>
      </c>
      <c r="G130" s="1">
        <f t="shared" ref="G130:K130" si="125">SUM(G131:G136)</f>
        <v>8.9820322652398144</v>
      </c>
      <c r="H130" s="1">
        <f t="shared" si="125"/>
        <v>9.7277789485674226</v>
      </c>
      <c r="I130" s="1">
        <f t="shared" si="125"/>
        <v>9.2792435410216623</v>
      </c>
      <c r="J130" s="1">
        <f t="shared" si="125"/>
        <v>8.9258987156750198</v>
      </c>
      <c r="K130" s="1">
        <f t="shared" si="125"/>
        <v>9.9540103537778108</v>
      </c>
      <c r="L130" s="1">
        <f t="shared" ref="L130" si="126">SUM(L131:L136)</f>
        <v>11.346447382504449</v>
      </c>
      <c r="N130" s="1"/>
    </row>
    <row r="131" spans="1:17" x14ac:dyDescent="0.35">
      <c r="A131" s="5" t="str">
        <f t="shared" si="61"/>
        <v>STEM</v>
      </c>
      <c r="B131" s="5" t="str">
        <f t="shared" si="62"/>
        <v>SPS1</v>
      </c>
      <c r="C131" s="5" t="str">
        <f t="shared" si="63"/>
        <v>CH</v>
      </c>
      <c r="D131" t="s">
        <v>53</v>
      </c>
      <c r="E131" t="str">
        <f>E75</f>
        <v>PJ/yr.</v>
      </c>
      <c r="F131" s="1">
        <f>'[1]Electricity and CHPs'!B19</f>
        <v>6.507014407313485</v>
      </c>
      <c r="G131" s="1">
        <f>'[1]Electricity and CHPs'!C19</f>
        <v>7.3098093015021393</v>
      </c>
      <c r="H131" s="1">
        <f>'[1]Electricity and CHPs'!D19</f>
        <v>8.3571361255006948</v>
      </c>
      <c r="I131" s="1">
        <f>'[1]Electricity and CHPs'!E19</f>
        <v>7.7711274439721532</v>
      </c>
      <c r="J131" s="1">
        <f>'[2]Electricity and CHPs'!F19</f>
        <v>7.491861317284302</v>
      </c>
      <c r="K131" s="1">
        <f>'[2]Electricity and CHPs'!G19</f>
        <v>5.4495867389513197</v>
      </c>
      <c r="L131" s="1">
        <f>'[2]Electricity and CHPs'!H19</f>
        <v>9.6306054981620619E-4</v>
      </c>
      <c r="N131" s="1"/>
    </row>
    <row r="132" spans="1:17" x14ac:dyDescent="0.35">
      <c r="A132" s="5" t="str">
        <f t="shared" si="61"/>
        <v>STEM</v>
      </c>
      <c r="B132" s="5" t="str">
        <f t="shared" si="62"/>
        <v>SPS1</v>
      </c>
      <c r="C132" s="5" t="str">
        <f t="shared" si="63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'[2]Electricity and CHPs'!F20</f>
        <v>0</v>
      </c>
      <c r="K132" s="1">
        <f>'[2]Electricity and CHPs'!G20</f>
        <v>2.8372266335344314</v>
      </c>
      <c r="L132" s="1">
        <f>'[2]Electricity and CHPs'!H20</f>
        <v>9.3323567779073375</v>
      </c>
      <c r="N132" s="1"/>
    </row>
    <row r="133" spans="1:17" x14ac:dyDescent="0.35">
      <c r="A133" s="5" t="str">
        <f t="shared" si="61"/>
        <v>STEM</v>
      </c>
      <c r="B133" s="5" t="str">
        <f t="shared" si="62"/>
        <v>SPS1</v>
      </c>
      <c r="C133" s="5" t="str">
        <f t="shared" si="63"/>
        <v>CH</v>
      </c>
      <c r="D133" t="s">
        <v>51</v>
      </c>
      <c r="E133" t="str">
        <f>E152</f>
        <v>PJ/yr.</v>
      </c>
      <c r="F133" s="1">
        <f>'[1]Electricity and CHPs'!B26</f>
        <v>1.5475618152654813</v>
      </c>
      <c r="G133" s="1">
        <f>'[1]Electricity and CHPs'!C26</f>
        <v>1.4286404573739921</v>
      </c>
      <c r="H133" s="1">
        <f>'[1]Electricity and CHPs'!D26</f>
        <v>1.3579177780170089</v>
      </c>
      <c r="I133" s="1">
        <f>'[1]Electricity and CHPs'!E26</f>
        <v>1.4936473504932808</v>
      </c>
      <c r="J133" s="1">
        <f>'[2]Electricity and CHPs'!F26</f>
        <v>1.4330172541392288</v>
      </c>
      <c r="K133" s="1">
        <f>'[2]Electricity and CHPs'!G26</f>
        <v>1.0797360755647363</v>
      </c>
      <c r="L133" s="1">
        <f>'[2]Electricity and CHPs'!H26</f>
        <v>0.19704770379712094</v>
      </c>
      <c r="N133" s="1"/>
    </row>
    <row r="134" spans="1:17" x14ac:dyDescent="0.35">
      <c r="A134" s="5" t="str">
        <f t="shared" si="61"/>
        <v>STEM</v>
      </c>
      <c r="B134" s="5" t="str">
        <f t="shared" si="62"/>
        <v>SPS1</v>
      </c>
      <c r="C134" s="5" t="str">
        <f t="shared" si="63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'[2]Electricity and CHPs'!F27</f>
        <v>0</v>
      </c>
      <c r="K134" s="1">
        <f>'[2]Electricity and CHPs'!G27</f>
        <v>0.47459409701957339</v>
      </c>
      <c r="L134" s="1">
        <f>'[2]Electricity and CHPs'!H27</f>
        <v>1.4946322750053092</v>
      </c>
      <c r="N134" s="1"/>
    </row>
    <row r="135" spans="1:17" x14ac:dyDescent="0.35">
      <c r="A135" s="5" t="str">
        <f t="shared" si="61"/>
        <v>STEM</v>
      </c>
      <c r="B135" s="5" t="str">
        <f t="shared" si="62"/>
        <v>SPS1</v>
      </c>
      <c r="C135" s="5" t="str">
        <f t="shared" si="63"/>
        <v>CH</v>
      </c>
      <c r="D135" t="s">
        <v>48</v>
      </c>
      <c r="E135" t="str">
        <f>E155</f>
        <v>PJ/yr.</v>
      </c>
      <c r="F135" s="1">
        <f>'[1]Electricity and CHPs'!B44</f>
        <v>0.23014468712349984</v>
      </c>
      <c r="G135" s="1">
        <f>'[1]Electricity and CHPs'!C44</f>
        <v>0.24358250636368389</v>
      </c>
      <c r="H135" s="1">
        <f>'[1]Electricity and CHPs'!D44</f>
        <v>1.2725045049717524E-2</v>
      </c>
      <c r="I135" s="1">
        <f>'[1]Electricity and CHPs'!E44</f>
        <v>1.446874655622681E-2</v>
      </c>
      <c r="J135" s="1">
        <f>'[2]Electricity and CHPs'!F44</f>
        <v>1.020144251489299E-3</v>
      </c>
      <c r="K135" s="1">
        <f>'[2]Electricity and CHPs'!G44</f>
        <v>4.8359796924997851E-4</v>
      </c>
      <c r="L135" s="1">
        <f>'[2]Electricity and CHPs'!H44</f>
        <v>9.7960811081328095E-5</v>
      </c>
      <c r="N135" s="1"/>
    </row>
    <row r="136" spans="1:17" x14ac:dyDescent="0.35">
      <c r="A136" s="5" t="str">
        <f t="shared" si="61"/>
        <v>STEM</v>
      </c>
      <c r="B136" s="5" t="str">
        <f t="shared" si="62"/>
        <v>SPS1</v>
      </c>
      <c r="C136" s="5" t="str">
        <f t="shared" si="63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'[2]Electricity and CHPs'!F45</f>
        <v>0</v>
      </c>
      <c r="K136" s="1">
        <f>'[2]Electricity and CHPs'!G45</f>
        <v>0.11238321073850047</v>
      </c>
      <c r="L136" s="1">
        <f>'[2]Electricity and CHPs'!H45</f>
        <v>0.32134960443378413</v>
      </c>
      <c r="N136" s="1"/>
    </row>
    <row r="137" spans="1:17" x14ac:dyDescent="0.35">
      <c r="A137" s="5" t="str">
        <f t="shared" si="61"/>
        <v>STEM</v>
      </c>
      <c r="B137" s="5" t="str">
        <f t="shared" si="62"/>
        <v>SPS1</v>
      </c>
      <c r="C137" s="5" t="str">
        <f t="shared" si="63"/>
        <v>CH</v>
      </c>
      <c r="D137" t="s">
        <v>89</v>
      </c>
      <c r="E137" t="str">
        <f t="shared" ref="E137:E151" si="127">E136</f>
        <v>PJ/yr.</v>
      </c>
      <c r="F137" s="1">
        <f>SUM(F138:F141)</f>
        <v>4.0272881112894838</v>
      </c>
      <c r="G137" s="1">
        <f t="shared" ref="G137:K137" si="128">SUM(G138:G141)</f>
        <v>4.3692248794380655</v>
      </c>
      <c r="H137" s="1">
        <f t="shared" si="128"/>
        <v>4.8575269517588522</v>
      </c>
      <c r="I137" s="1">
        <f t="shared" si="128"/>
        <v>4.6323873972327174</v>
      </c>
      <c r="J137" s="1">
        <f t="shared" si="128"/>
        <v>4.4624392857117652</v>
      </c>
      <c r="K137" s="1">
        <f t="shared" si="128"/>
        <v>4.9205717725350304</v>
      </c>
      <c r="L137" s="1">
        <f t="shared" ref="L137" si="129">SUM(L138:L141)</f>
        <v>5.512499908629791</v>
      </c>
      <c r="M137" s="1"/>
      <c r="N137" s="1"/>
      <c r="O137" s="1"/>
      <c r="P137" s="1"/>
      <c r="Q137" s="1"/>
    </row>
    <row r="138" spans="1:17" x14ac:dyDescent="0.35">
      <c r="A138" s="5" t="str">
        <f t="shared" si="61"/>
        <v>STEM</v>
      </c>
      <c r="B138" s="5" t="str">
        <f t="shared" si="62"/>
        <v>SPS1</v>
      </c>
      <c r="C138" s="5" t="str">
        <f t="shared" si="63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3.253507203656743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3.6549046507510692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4.1785680627503474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3.8855637219860766</v>
      </c>
      <c r="J138" s="1" cm="1">
        <f t="array" ref="J138">J131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3.745930658642151</v>
      </c>
      <c r="K138" s="1" cm="1">
        <f t="array" ref="K138">K131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2.7247933694756599</v>
      </c>
      <c r="L138" s="1" cm="1">
        <f t="array" ref="L138">L131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4.815302749081031E-4</v>
      </c>
      <c r="N138" s="1"/>
    </row>
    <row r="139" spans="1:17" x14ac:dyDescent="0.35">
      <c r="A139" s="5" t="str">
        <f t="shared" si="61"/>
        <v>STEM</v>
      </c>
      <c r="B139" s="5" t="str">
        <f t="shared" si="62"/>
        <v>SPS1</v>
      </c>
      <c r="C139" s="5" t="str">
        <f t="shared" si="63"/>
        <v>CH</v>
      </c>
      <c r="D139" t="s">
        <v>61</v>
      </c>
      <c r="E139" t="str">
        <f t="shared" si="127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39" s="1" cm="1">
        <f t="array" ref="K139">K132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1.4186133167672157</v>
      </c>
      <c r="L139" s="1" cm="1">
        <f t="array" ref="L139">L132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4.6661783889536679</v>
      </c>
      <c r="N139" s="1"/>
    </row>
    <row r="140" spans="1:17" x14ac:dyDescent="0.35">
      <c r="A140" s="5" t="str">
        <f t="shared" si="61"/>
        <v>STEM</v>
      </c>
      <c r="B140" s="5" t="str">
        <f t="shared" si="62"/>
        <v>SPS1</v>
      </c>
      <c r="C140" s="5" t="str">
        <f t="shared" si="63"/>
        <v>CH</v>
      </c>
      <c r="D140" t="s">
        <v>62</v>
      </c>
      <c r="E140" t="str">
        <f t="shared" si="127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0.77378090763274066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0.71432022868699607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0.67895888900850443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0.74682367524664039</v>
      </c>
      <c r="J140" s="1" cm="1">
        <f t="array" ref="J140">J133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0.71650862706961438</v>
      </c>
      <c r="K140" s="1" cm="1">
        <f t="array" ref="K140">K133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0.53986803778236814</v>
      </c>
      <c r="L140" s="1" cm="1">
        <f t="array" ref="L140">L133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9.8523851898560486E-2</v>
      </c>
      <c r="N140" s="1"/>
    </row>
    <row r="141" spans="1:17" x14ac:dyDescent="0.35">
      <c r="A141" s="5" t="str">
        <f t="shared" si="61"/>
        <v>STEM</v>
      </c>
      <c r="B141" s="5" t="str">
        <f t="shared" si="62"/>
        <v>SPS1</v>
      </c>
      <c r="C141" s="5" t="str">
        <f t="shared" si="63"/>
        <v>CH</v>
      </c>
      <c r="D141" t="s">
        <v>63</v>
      </c>
      <c r="E141" t="str">
        <f t="shared" si="127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41" s="1" cm="1">
        <f t="array" ref="K141">K134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0.23729704850978672</v>
      </c>
      <c r="L141" s="1" cm="1">
        <f t="array" ref="L141">L134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0.74731613750265458</v>
      </c>
      <c r="N141" s="1"/>
    </row>
    <row r="142" spans="1:17" x14ac:dyDescent="0.35">
      <c r="A142" s="5" t="str">
        <f t="shared" si="61"/>
        <v>STEM</v>
      </c>
      <c r="B142" s="5" t="str">
        <f t="shared" si="62"/>
        <v>SPS1</v>
      </c>
      <c r="C142" s="5" t="str">
        <f t="shared" si="63"/>
        <v>CH</v>
      </c>
      <c r="D142" t="s">
        <v>64</v>
      </c>
      <c r="E142" t="str">
        <f t="shared" si="127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N142" s="1"/>
    </row>
    <row r="143" spans="1:17" x14ac:dyDescent="0.35">
      <c r="A143" s="5" t="str">
        <f t="shared" si="61"/>
        <v>STEM</v>
      </c>
      <c r="B143" s="5" t="str">
        <f t="shared" si="62"/>
        <v>SPS1</v>
      </c>
      <c r="C143" s="5" t="str">
        <f t="shared" si="63"/>
        <v>CH</v>
      </c>
      <c r="D143" t="s">
        <v>65</v>
      </c>
      <c r="E143" t="str">
        <f t="shared" si="127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N143" s="1"/>
    </row>
    <row r="144" spans="1:17" x14ac:dyDescent="0.35">
      <c r="A144" s="5" t="str">
        <f t="shared" si="61"/>
        <v>STEM</v>
      </c>
      <c r="B144" s="5" t="str">
        <f t="shared" si="62"/>
        <v>SPS1</v>
      </c>
      <c r="C144" s="5" t="str">
        <f t="shared" si="63"/>
        <v>CH</v>
      </c>
      <c r="D144" t="s">
        <v>800</v>
      </c>
      <c r="E144" t="str">
        <f>E143</f>
        <v>PJ/yr.</v>
      </c>
      <c r="F144" s="1">
        <f>SUM(F145:F150)</f>
        <v>4.2574327984129825</v>
      </c>
      <c r="G144" s="1">
        <f t="shared" ref="G144:K144" si="130">SUM(G145:G150)</f>
        <v>4.6128073858017506</v>
      </c>
      <c r="H144" s="1">
        <f t="shared" si="130"/>
        <v>4.8702519968085696</v>
      </c>
      <c r="I144" s="1">
        <f t="shared" si="130"/>
        <v>4.646856143788944</v>
      </c>
      <c r="J144" s="1">
        <f t="shared" si="130"/>
        <v>4.4634594299632546</v>
      </c>
      <c r="K144" s="1">
        <f t="shared" si="130"/>
        <v>5.0334385812427813</v>
      </c>
      <c r="L144" s="1">
        <f t="shared" ref="L144" si="131">SUM(L145:L150)</f>
        <v>5.8339474738746588</v>
      </c>
      <c r="N144" s="1"/>
    </row>
    <row r="145" spans="1:14" x14ac:dyDescent="0.35">
      <c r="A145" s="5" t="str">
        <f t="shared" si="61"/>
        <v>STEM</v>
      </c>
      <c r="B145" s="5" t="str">
        <f t="shared" si="62"/>
        <v>SPS1</v>
      </c>
      <c r="C145" s="5" t="str">
        <f t="shared" si="63"/>
        <v>CH</v>
      </c>
      <c r="D145" t="s">
        <v>56</v>
      </c>
      <c r="E145" t="str">
        <f>E144</f>
        <v>PJ/yr.</v>
      </c>
      <c r="F145" s="1">
        <f>F131-F138</f>
        <v>3.2535072036567421</v>
      </c>
      <c r="G145" s="1">
        <f t="shared" ref="G145:K145" si="132">G131-G138</f>
        <v>3.6549046507510701</v>
      </c>
      <c r="H145" s="1">
        <f t="shared" si="132"/>
        <v>4.1785680627503474</v>
      </c>
      <c r="I145" s="1">
        <f t="shared" si="132"/>
        <v>3.8855637219860766</v>
      </c>
      <c r="J145" s="1">
        <f t="shared" si="132"/>
        <v>3.745930658642151</v>
      </c>
      <c r="K145" s="1">
        <f t="shared" si="132"/>
        <v>2.7247933694756599</v>
      </c>
      <c r="L145" s="1">
        <f t="shared" ref="L145" si="133">L131-L138</f>
        <v>4.815302749081031E-4</v>
      </c>
      <c r="N145" s="1"/>
    </row>
    <row r="146" spans="1:14" x14ac:dyDescent="0.35">
      <c r="A146" s="5" t="str">
        <f t="shared" si="61"/>
        <v>STEM</v>
      </c>
      <c r="B146" s="5" t="str">
        <f t="shared" si="62"/>
        <v>SPS1</v>
      </c>
      <c r="C146" s="5" t="str">
        <f t="shared" si="63"/>
        <v>CH</v>
      </c>
      <c r="D146" t="s">
        <v>57</v>
      </c>
      <c r="E146" t="str">
        <f t="shared" si="127"/>
        <v>PJ/yr.</v>
      </c>
      <c r="F146" s="1">
        <f t="shared" ref="F146:K146" si="134">F132-F139</f>
        <v>0</v>
      </c>
      <c r="G146" s="1">
        <f t="shared" si="134"/>
        <v>0</v>
      </c>
      <c r="H146" s="1">
        <f t="shared" si="134"/>
        <v>0</v>
      </c>
      <c r="I146" s="1">
        <f t="shared" si="134"/>
        <v>0</v>
      </c>
      <c r="J146" s="1">
        <f t="shared" si="134"/>
        <v>0</v>
      </c>
      <c r="K146" s="1">
        <f t="shared" si="134"/>
        <v>1.4186133167672157</v>
      </c>
      <c r="L146" s="1">
        <f t="shared" ref="L146" si="135">L132-L139</f>
        <v>4.6661783889536697</v>
      </c>
      <c r="N146" s="1"/>
    </row>
    <row r="147" spans="1:14" x14ac:dyDescent="0.35">
      <c r="A147" s="5" t="str">
        <f t="shared" si="61"/>
        <v>STEM</v>
      </c>
      <c r="B147" s="5" t="str">
        <f t="shared" si="62"/>
        <v>SPS1</v>
      </c>
      <c r="C147" s="5" t="str">
        <f t="shared" si="63"/>
        <v>CH</v>
      </c>
      <c r="D147" t="s">
        <v>58</v>
      </c>
      <c r="E147" t="str">
        <f t="shared" si="127"/>
        <v>PJ/yr.</v>
      </c>
      <c r="F147" s="1">
        <f t="shared" ref="F147:K147" si="136">F133-F140</f>
        <v>0.77378090763274066</v>
      </c>
      <c r="G147" s="1">
        <f t="shared" si="136"/>
        <v>0.71432022868699607</v>
      </c>
      <c r="H147" s="1">
        <f t="shared" si="136"/>
        <v>0.67895888900850443</v>
      </c>
      <c r="I147" s="1">
        <f t="shared" si="136"/>
        <v>0.74682367524664039</v>
      </c>
      <c r="J147" s="1">
        <f t="shared" si="136"/>
        <v>0.71650862706961438</v>
      </c>
      <c r="K147" s="1">
        <f t="shared" si="136"/>
        <v>0.53986803778236814</v>
      </c>
      <c r="L147" s="1">
        <f t="shared" ref="L147" si="137">L133-L140</f>
        <v>9.8523851898560458E-2</v>
      </c>
      <c r="N147" s="1"/>
    </row>
    <row r="148" spans="1:14" x14ac:dyDescent="0.35">
      <c r="A148" s="5" t="str">
        <f t="shared" si="61"/>
        <v>STEM</v>
      </c>
      <c r="B148" s="5" t="str">
        <f t="shared" si="62"/>
        <v>SPS1</v>
      </c>
      <c r="C148" s="5" t="str">
        <f t="shared" si="63"/>
        <v>CH</v>
      </c>
      <c r="D148" t="s">
        <v>59</v>
      </c>
      <c r="E148" t="str">
        <f t="shared" si="127"/>
        <v>PJ/yr.</v>
      </c>
      <c r="F148" s="1">
        <f t="shared" ref="F148:K148" si="138">F134-F141</f>
        <v>0</v>
      </c>
      <c r="G148" s="1">
        <f t="shared" si="138"/>
        <v>0</v>
      </c>
      <c r="H148" s="1">
        <f t="shared" si="138"/>
        <v>0</v>
      </c>
      <c r="I148" s="1">
        <f t="shared" si="138"/>
        <v>0</v>
      </c>
      <c r="J148" s="1">
        <f t="shared" si="138"/>
        <v>0</v>
      </c>
      <c r="K148" s="1">
        <f t="shared" si="138"/>
        <v>0.23729704850978667</v>
      </c>
      <c r="L148" s="1">
        <f t="shared" ref="L148" si="139">L134-L141</f>
        <v>0.74731613750265458</v>
      </c>
      <c r="N148" s="1"/>
    </row>
    <row r="149" spans="1:14" x14ac:dyDescent="0.35">
      <c r="A149" s="5" t="str">
        <f t="shared" si="61"/>
        <v>STEM</v>
      </c>
      <c r="B149" s="5" t="str">
        <f t="shared" si="62"/>
        <v>SPS1</v>
      </c>
      <c r="C149" s="5" t="str">
        <f t="shared" si="63"/>
        <v>CH</v>
      </c>
      <c r="D149" t="s">
        <v>54</v>
      </c>
      <c r="E149" t="str">
        <f t="shared" si="127"/>
        <v>PJ/yr.</v>
      </c>
      <c r="F149" s="1">
        <f t="shared" ref="F149:K149" si="140">F135-F142</f>
        <v>0.23014468712349984</v>
      </c>
      <c r="G149" s="1">
        <f t="shared" si="140"/>
        <v>0.24358250636368389</v>
      </c>
      <c r="H149" s="1">
        <f t="shared" si="140"/>
        <v>1.2725045049717524E-2</v>
      </c>
      <c r="I149" s="1">
        <f t="shared" si="140"/>
        <v>1.446874655622681E-2</v>
      </c>
      <c r="J149" s="1">
        <f t="shared" si="140"/>
        <v>1.020144251489299E-3</v>
      </c>
      <c r="K149" s="1">
        <f t="shared" si="140"/>
        <v>4.8359796924997851E-4</v>
      </c>
      <c r="L149" s="1">
        <f t="shared" ref="L149" si="141">L135-L142</f>
        <v>9.7960811081328095E-5</v>
      </c>
      <c r="N149" s="1"/>
    </row>
    <row r="150" spans="1:14" x14ac:dyDescent="0.35">
      <c r="A150" s="5" t="str">
        <f t="shared" ref="A150:A181" si="142">A149</f>
        <v>STEM</v>
      </c>
      <c r="B150" s="5" t="str">
        <f t="shared" ref="B150:B181" si="143">B149</f>
        <v>SPS1</v>
      </c>
      <c r="C150" s="5" t="str">
        <f t="shared" ref="C150:C181" si="144">C149</f>
        <v>CH</v>
      </c>
      <c r="D150" t="s">
        <v>55</v>
      </c>
      <c r="E150" t="str">
        <f t="shared" si="127"/>
        <v>PJ/yr.</v>
      </c>
      <c r="F150" s="1">
        <f t="shared" ref="F150:K150" si="145">F136-F143</f>
        <v>0</v>
      </c>
      <c r="G150" s="1">
        <f t="shared" si="145"/>
        <v>0</v>
      </c>
      <c r="H150" s="1">
        <f t="shared" si="145"/>
        <v>0</v>
      </c>
      <c r="I150" s="1">
        <f t="shared" si="145"/>
        <v>0</v>
      </c>
      <c r="J150" s="1">
        <f t="shared" si="145"/>
        <v>0</v>
      </c>
      <c r="K150" s="1">
        <f t="shared" si="145"/>
        <v>0.11238321073850047</v>
      </c>
      <c r="L150" s="1">
        <f t="shared" ref="L150" si="146">L136-L143</f>
        <v>0.32134960443378413</v>
      </c>
      <c r="N150" s="1"/>
    </row>
    <row r="151" spans="1:14" x14ac:dyDescent="0.35">
      <c r="A151" s="5" t="str">
        <f t="shared" si="142"/>
        <v>STEM</v>
      </c>
      <c r="B151" s="5" t="str">
        <f t="shared" si="143"/>
        <v>SPS1</v>
      </c>
      <c r="C151" s="5" t="str">
        <f t="shared" si="144"/>
        <v>CH</v>
      </c>
      <c r="D151" t="s">
        <v>801</v>
      </c>
      <c r="E151" t="str">
        <f t="shared" si="127"/>
        <v>PJ/yr.</v>
      </c>
      <c r="F151" s="1">
        <f>SUM(F152:F158)</f>
        <v>0.17606907070598382</v>
      </c>
      <c r="G151" s="1">
        <f t="shared" ref="G151:K151" si="147">SUM(G152:G158)</f>
        <v>0.40967565430836023</v>
      </c>
      <c r="H151" s="1">
        <f t="shared" si="147"/>
        <v>1.2594549440972029</v>
      </c>
      <c r="I151" s="1">
        <f t="shared" si="147"/>
        <v>2.5999251526287721</v>
      </c>
      <c r="J151" s="1">
        <f t="shared" si="147"/>
        <v>3.8700167652709307</v>
      </c>
      <c r="K151" s="1">
        <f t="shared" si="147"/>
        <v>4.5423048384542843</v>
      </c>
      <c r="L151" s="1">
        <f t="shared" ref="L151" si="148">SUM(L152:L158)</f>
        <v>5.8867929540148944</v>
      </c>
      <c r="N151" s="1"/>
    </row>
    <row r="152" spans="1:14" x14ac:dyDescent="0.35">
      <c r="A152" s="5" t="str">
        <f t="shared" si="142"/>
        <v>STEM</v>
      </c>
      <c r="B152" s="5" t="str">
        <f t="shared" si="143"/>
        <v>SPS1</v>
      </c>
      <c r="C152" s="5" t="str">
        <f t="shared" si="144"/>
        <v>CH</v>
      </c>
      <c r="D152" t="s">
        <v>66</v>
      </c>
      <c r="E152" t="str">
        <f>E86</f>
        <v>PJ/yr.</v>
      </c>
      <c r="F152" s="1">
        <f>'[1]Electricity and CHPs'!B25</f>
        <v>3.5079983935050367E-3</v>
      </c>
      <c r="G152" s="1">
        <f>'[1]Electricity and CHPs'!C25</f>
        <v>6.9941105787251099E-3</v>
      </c>
      <c r="H152" s="1">
        <f>'[1]Electricity and CHPs'!D25</f>
        <v>8.7588826730875084E-3</v>
      </c>
      <c r="I152" s="1">
        <f>'[1]Electricity and CHPs'!E25</f>
        <v>5.6067726834903492E-2</v>
      </c>
      <c r="J152" s="1">
        <f>'[2]Electricity and CHPs'!F25</f>
        <v>0.64683071839670159</v>
      </c>
      <c r="K152" s="1">
        <f>'[2]Electricity and CHPs'!G25</f>
        <v>0.92704443395832137</v>
      </c>
      <c r="L152" s="1">
        <f>'[2]Electricity and CHPs'!H25</f>
        <v>0.94537044813407178</v>
      </c>
      <c r="N152" s="1"/>
    </row>
    <row r="153" spans="1:14" x14ac:dyDescent="0.35">
      <c r="A153" s="5" t="str">
        <f t="shared" si="142"/>
        <v>STEM</v>
      </c>
      <c r="B153" s="5" t="str">
        <f t="shared" si="143"/>
        <v>SPS1</v>
      </c>
      <c r="C153" s="5" t="str">
        <f t="shared" si="144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'[2]Electricity and CHPs'!F31</f>
        <v>0</v>
      </c>
      <c r="K153" s="1">
        <f>'[2]Electricity and CHPs'!G31</f>
        <v>1.020367233440323E-3</v>
      </c>
      <c r="L153" s="1">
        <f>'[2]Electricity and CHPs'!H31</f>
        <v>0.91437838380530556</v>
      </c>
      <c r="N153" s="1"/>
    </row>
    <row r="154" spans="1:14" x14ac:dyDescent="0.35">
      <c r="A154" s="5" t="str">
        <f t="shared" si="142"/>
        <v>STEM</v>
      </c>
      <c r="B154" s="5" t="str">
        <f t="shared" si="143"/>
        <v>SPS1</v>
      </c>
      <c r="C154" s="5" t="str">
        <f t="shared" si="144"/>
        <v>CH</v>
      </c>
      <c r="D154" t="s">
        <v>68</v>
      </c>
      <c r="E154" t="str">
        <f>E77</f>
        <v>PJ/yr.</v>
      </c>
      <c r="F154" s="1">
        <f>'[1]Electricity and CHPs'!B42</f>
        <v>0.17256107231247877</v>
      </c>
      <c r="G154" s="1">
        <f>'[1]Electricity and CHPs'!C42</f>
        <v>0.40268154372963511</v>
      </c>
      <c r="H154" s="1">
        <f>'[1]Electricity and CHPs'!D42</f>
        <v>1.2506960614241154</v>
      </c>
      <c r="I154" s="1">
        <f>'[1]Electricity and CHPs'!E42</f>
        <v>2.5438574257938686</v>
      </c>
      <c r="J154" s="1">
        <f>'[2]Electricity and CHPs'!F42</f>
        <v>2.7764620846172767</v>
      </c>
      <c r="K154" s="1">
        <f>'[2]Electricity and CHPs'!G42</f>
        <v>2.4834411392567497</v>
      </c>
      <c r="L154" s="1">
        <f>'[2]Electricity and CHPs'!H42</f>
        <v>2.2181728593502203</v>
      </c>
      <c r="N154" s="1"/>
    </row>
    <row r="155" spans="1:14" x14ac:dyDescent="0.35">
      <c r="A155" s="5" t="str">
        <f t="shared" si="142"/>
        <v>STEM</v>
      </c>
      <c r="B155" s="5" t="str">
        <f t="shared" si="143"/>
        <v>SPS1</v>
      </c>
      <c r="C155" s="5" t="str">
        <f t="shared" si="144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'[2]Electricity and CHPs'!F43</f>
        <v>0</v>
      </c>
      <c r="K155" s="1">
        <f>'[2]Electricity and CHPs'!G43</f>
        <v>0.56265859816891228</v>
      </c>
      <c r="L155" s="1">
        <f>'[2]Electricity and CHPs'!H43</f>
        <v>1.5320433556901911</v>
      </c>
      <c r="N155" s="1"/>
    </row>
    <row r="156" spans="1:14" x14ac:dyDescent="0.35">
      <c r="A156" s="5" t="str">
        <f t="shared" si="142"/>
        <v>STEM</v>
      </c>
      <c r="B156" s="5" t="str">
        <f t="shared" si="143"/>
        <v>SPS1</v>
      </c>
      <c r="C156" s="5" t="str">
        <f t="shared" si="144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0</v>
      </c>
      <c r="J156" s="1">
        <f>'[2]Electricity and CHPs'!F50</f>
        <v>2.4557149431528604E-3</v>
      </c>
      <c r="K156" s="1">
        <f>'[2]Electricity and CHPs'!G50</f>
        <v>2.3035897553468805E-3</v>
      </c>
      <c r="L156" s="1">
        <f>'[2]Electricity and CHPs'!H50</f>
        <v>9.9983609292166693E-4</v>
      </c>
      <c r="N156" s="1"/>
    </row>
    <row r="157" spans="1:14" x14ac:dyDescent="0.35">
      <c r="A157" s="5" t="str">
        <f t="shared" si="142"/>
        <v>STEM</v>
      </c>
      <c r="B157" s="5" t="str">
        <f t="shared" si="143"/>
        <v>SPS1</v>
      </c>
      <c r="C157" s="5" t="str">
        <f t="shared" si="144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0</v>
      </c>
      <c r="J157" s="1">
        <f>'[2]Electricity and CHPs'!F53</f>
        <v>0.44280048715349424</v>
      </c>
      <c r="K157" s="1">
        <f>'[2]Electricity and CHPs'!G53</f>
        <v>0.56504291505205639</v>
      </c>
      <c r="L157" s="1">
        <f>'[2]Electricity and CHPs'!H53</f>
        <v>0.27554298054138249</v>
      </c>
      <c r="N157" s="1"/>
    </row>
    <row r="158" spans="1:14" x14ac:dyDescent="0.35">
      <c r="A158" s="5" t="str">
        <f t="shared" si="142"/>
        <v>STEM</v>
      </c>
      <c r="B158" s="5" t="str">
        <f t="shared" si="143"/>
        <v>SPS1</v>
      </c>
      <c r="C158" s="5" t="str">
        <f t="shared" si="144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0</v>
      </c>
      <c r="J158" s="1">
        <f>'[2]Electricity and CHPs'!F56</f>
        <v>1.4677601603052179E-3</v>
      </c>
      <c r="K158" s="1">
        <f>'[2]Electricity and CHPs'!G56</f>
        <v>7.9379502945826951E-4</v>
      </c>
      <c r="L158" s="1">
        <f>'[2]Electricity and CHPs'!H56</f>
        <v>2.8509040080241323E-4</v>
      </c>
      <c r="N158" s="1"/>
    </row>
    <row r="159" spans="1:14" x14ac:dyDescent="0.35">
      <c r="A159" s="5" t="str">
        <f t="shared" si="142"/>
        <v>STEM</v>
      </c>
      <c r="B159" s="5" t="str">
        <f t="shared" si="143"/>
        <v>SPS1</v>
      </c>
      <c r="C159" s="5" t="str">
        <f t="shared" si="144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L159" si="149">G160</f>
        <v>0.54530775595618142</v>
      </c>
      <c r="H159" s="1">
        <f t="shared" si="149"/>
        <v>0.50318035428973074</v>
      </c>
      <c r="I159" s="1">
        <f t="shared" si="149"/>
        <v>2.0503052471689203</v>
      </c>
      <c r="J159" s="1">
        <f t="shared" si="149"/>
        <v>0.88233521255995673</v>
      </c>
      <c r="K159" s="1">
        <f t="shared" si="149"/>
        <v>0.88260410561218516</v>
      </c>
      <c r="L159" s="1">
        <f t="shared" si="149"/>
        <v>0.88262366583452356</v>
      </c>
      <c r="N159" s="1"/>
    </row>
    <row r="160" spans="1:14" x14ac:dyDescent="0.35">
      <c r="A160" s="5" t="str">
        <f t="shared" si="142"/>
        <v>STEM</v>
      </c>
      <c r="B160" s="5" t="str">
        <f t="shared" si="143"/>
        <v>SPS1</v>
      </c>
      <c r="C160" s="5" t="str">
        <f t="shared" si="144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0.54530775595618142</v>
      </c>
      <c r="H160" s="1">
        <f>'[1]Electricity and CHPs'!D33</f>
        <v>0.50318035428973074</v>
      </c>
      <c r="I160" s="1">
        <f>'[1]Electricity and CHPs'!E33</f>
        <v>2.0503052471689203</v>
      </c>
      <c r="J160" s="1">
        <f>'[2]Electricity and CHPs'!F33</f>
        <v>0.88233521255995673</v>
      </c>
      <c r="K160" s="1">
        <f>'[2]Electricity and CHPs'!G33</f>
        <v>0.88260410561218516</v>
      </c>
      <c r="L160" s="1">
        <f>'[2]Electricity and CHPs'!H33</f>
        <v>0.88262366583452356</v>
      </c>
      <c r="N160" s="1"/>
    </row>
    <row r="161" spans="1:14" x14ac:dyDescent="0.35">
      <c r="A161" s="5" t="str">
        <f t="shared" si="142"/>
        <v>STEM</v>
      </c>
      <c r="B161" s="5" t="str">
        <f t="shared" si="143"/>
        <v>SPS1</v>
      </c>
      <c r="C161" s="5" t="str">
        <f t="shared" si="144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0">SUM(G162:G166)</f>
        <v>12.823119108238448</v>
      </c>
      <c r="H161" s="1">
        <f t="shared" si="150"/>
        <v>28.80018917143267</v>
      </c>
      <c r="I161" s="1">
        <f t="shared" si="150"/>
        <v>52.309468048653898</v>
      </c>
      <c r="J161" s="1">
        <f t="shared" si="150"/>
        <v>57.526388040822923</v>
      </c>
      <c r="K161" s="1">
        <f t="shared" si="150"/>
        <v>120.10698861920679</v>
      </c>
      <c r="L161" s="1">
        <f t="shared" ref="L161" si="151">SUM(L162:L166)</f>
        <v>146.06543019135898</v>
      </c>
      <c r="N161" s="1"/>
    </row>
    <row r="162" spans="1:14" x14ac:dyDescent="0.35">
      <c r="A162" s="5" t="str">
        <f t="shared" si="142"/>
        <v>STEM</v>
      </c>
      <c r="B162" s="5" t="str">
        <f t="shared" si="143"/>
        <v>SPS1</v>
      </c>
      <c r="C162" s="5" t="str">
        <f t="shared" si="144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0.14061592372971998</v>
      </c>
      <c r="I162" s="1">
        <f>'[1]Electricity and CHPs'!E34</f>
        <v>0.57957701760343749</v>
      </c>
      <c r="J162" s="1">
        <f>'[2]Electricity and CHPs'!F34</f>
        <v>0.74355195235966853</v>
      </c>
      <c r="K162" s="1">
        <f>'[2]Electricity and CHPs'!G34</f>
        <v>24.638616163709123</v>
      </c>
      <c r="L162" s="1">
        <f>'[2]Electricity and CHPs'!H34</f>
        <v>39.394305368218482</v>
      </c>
      <c r="N162" s="1"/>
    </row>
    <row r="163" spans="1:14" x14ac:dyDescent="0.35">
      <c r="A163" s="5" t="str">
        <f t="shared" si="142"/>
        <v>STEM</v>
      </c>
      <c r="B163" s="5" t="str">
        <f t="shared" si="143"/>
        <v>SPS1</v>
      </c>
      <c r="C163" s="5" t="str">
        <f t="shared" si="144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4.8486281142671022</v>
      </c>
      <c r="H163" s="1">
        <f>'[1]Electricity and CHPs'!D35</f>
        <v>11.161305651766572</v>
      </c>
      <c r="I163" s="1">
        <f>'[1]Electricity and CHPs'!E35</f>
        <v>19.477151131911679</v>
      </c>
      <c r="J163" s="1">
        <f>'[2]Electricity and CHPs'!F35</f>
        <v>20.470723601034496</v>
      </c>
      <c r="K163" s="1">
        <f>'[2]Electricity and CHPs'!G35</f>
        <v>40.847645049447884</v>
      </c>
      <c r="L163" s="1">
        <f>'[2]Electricity and CHPs'!H35</f>
        <v>46.227829714996609</v>
      </c>
      <c r="N163" s="1"/>
    </row>
    <row r="164" spans="1:14" x14ac:dyDescent="0.35">
      <c r="A164" s="5" t="str">
        <f t="shared" si="142"/>
        <v>STEM</v>
      </c>
      <c r="B164" s="5" t="str">
        <f t="shared" si="143"/>
        <v>SPS1</v>
      </c>
      <c r="C164" s="5" t="str">
        <f t="shared" si="144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3.3914827647697323</v>
      </c>
      <c r="H164" s="1">
        <f>'[1]Electricity and CHPs'!D36</f>
        <v>4.6620329377745984</v>
      </c>
      <c r="I164" s="1">
        <f>'[1]Electricity and CHPs'!E36</f>
        <v>11.187020787587855</v>
      </c>
      <c r="J164" s="1">
        <f>'[2]Electricity and CHPs'!F36</f>
        <v>11.801971479247381</v>
      </c>
      <c r="K164" s="1">
        <f>'[2]Electricity and CHPs'!G36</f>
        <v>12.452168160550869</v>
      </c>
      <c r="L164" s="1">
        <f>'[2]Electricity and CHPs'!H36</f>
        <v>13.862964501541711</v>
      </c>
      <c r="N164" s="1"/>
    </row>
    <row r="165" spans="1:14" x14ac:dyDescent="0.35">
      <c r="A165" s="5" t="str">
        <f t="shared" si="142"/>
        <v>STEM</v>
      </c>
      <c r="B165" s="5" t="str">
        <f t="shared" si="143"/>
        <v>SPS1</v>
      </c>
      <c r="C165" s="5" t="str">
        <f t="shared" si="144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1.2885477144662159</v>
      </c>
      <c r="H165" s="1">
        <f>'[1]Electricity and CHPs'!D37</f>
        <v>2.869986314729239</v>
      </c>
      <c r="I165" s="1">
        <f>'[1]Electricity and CHPs'!E37</f>
        <v>3.1633710222567237</v>
      </c>
      <c r="J165" s="1">
        <f>'[2]Electricity and CHPs'!F37</f>
        <v>5.6945896350343688</v>
      </c>
      <c r="K165" s="1">
        <f>'[2]Electricity and CHPs'!G37</f>
        <v>5.9851416091251242</v>
      </c>
      <c r="L165" s="1">
        <f>'[2]Electricity and CHPs'!H37</f>
        <v>6.6113241760477353</v>
      </c>
      <c r="N165" s="1"/>
    </row>
    <row r="166" spans="1:14" x14ac:dyDescent="0.35">
      <c r="A166" s="5" t="str">
        <f t="shared" si="142"/>
        <v>STEM</v>
      </c>
      <c r="B166" s="5" t="str">
        <f t="shared" si="143"/>
        <v>SPS1</v>
      </c>
      <c r="C166" s="5" t="str">
        <f t="shared" si="144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3.2944605147353974</v>
      </c>
      <c r="H166" s="1">
        <f>'[1]Electricity and CHPs'!D38</f>
        <v>9.9662483434325413</v>
      </c>
      <c r="I166" s="1">
        <f>'[1]Electricity and CHPs'!E38</f>
        <v>17.9023480892942</v>
      </c>
      <c r="J166" s="1">
        <f>'[2]Electricity and CHPs'!F38</f>
        <v>18.815551373147006</v>
      </c>
      <c r="K166" s="1">
        <f>'[2]Electricity and CHPs'!G38</f>
        <v>36.183417636373782</v>
      </c>
      <c r="L166" s="1">
        <f>'[2]Electricity and CHPs'!H38</f>
        <v>39.969006430554472</v>
      </c>
      <c r="N166" s="1"/>
    </row>
    <row r="167" spans="1:14" x14ac:dyDescent="0.3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'[2]Electricity and CHPs'!F32</f>
        <v>0</v>
      </c>
      <c r="K167" s="1">
        <f>'[2]Electricity and CHPs'!G32</f>
        <v>1.4033467551029626E-3</v>
      </c>
      <c r="L167" s="1">
        <f>'[2]Electricity and CHPs'!H32</f>
        <v>8.9618334704113269E-3</v>
      </c>
      <c r="N167" s="1"/>
    </row>
    <row r="168" spans="1:14" x14ac:dyDescent="0.35">
      <c r="A168" s="5" t="str">
        <f t="shared" ref="A168" si="152">A167</f>
        <v>STEM</v>
      </c>
      <c r="B168" s="5" t="str">
        <f t="shared" ref="B168" si="153">B167</f>
        <v>SPS1</v>
      </c>
      <c r="C168" s="5" t="str">
        <f t="shared" ref="C168" si="154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55">G167</f>
        <v>0</v>
      </c>
      <c r="H168" s="1">
        <f t="shared" si="155"/>
        <v>0</v>
      </c>
      <c r="I168" s="1">
        <f t="shared" si="155"/>
        <v>0</v>
      </c>
      <c r="J168" s="1">
        <f t="shared" si="155"/>
        <v>0</v>
      </c>
      <c r="K168" s="1">
        <f t="shared" si="155"/>
        <v>1.4033467551029626E-3</v>
      </c>
      <c r="L168" s="1">
        <f t="shared" ref="L168" si="156">L167</f>
        <v>8.9618334704113269E-3</v>
      </c>
      <c r="N168" s="1"/>
    </row>
    <row r="169" spans="1:14" x14ac:dyDescent="0.3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57">SUM(F170:F172)</f>
        <v>0</v>
      </c>
      <c r="G169" s="1">
        <f t="shared" si="157"/>
        <v>0</v>
      </c>
      <c r="H169" s="1">
        <f t="shared" si="157"/>
        <v>0</v>
      </c>
      <c r="I169" s="1">
        <f t="shared" si="157"/>
        <v>4.153084339351247E-2</v>
      </c>
      <c r="J169" s="1">
        <f t="shared" si="157"/>
        <v>7.380556914637011E-3</v>
      </c>
      <c r="K169" s="1">
        <f t="shared" si="157"/>
        <v>0.11686879446463407</v>
      </c>
      <c r="L169" s="1">
        <f t="shared" ref="L169" si="158">SUM(L170:L172)</f>
        <v>0.8663403291675752</v>
      </c>
      <c r="N169" s="1"/>
    </row>
    <row r="170" spans="1:14" x14ac:dyDescent="0.35">
      <c r="A170" s="5" t="str">
        <f t="shared" si="142"/>
        <v>STEM</v>
      </c>
      <c r="B170" s="5" t="str">
        <f t="shared" si="143"/>
        <v>SPS1</v>
      </c>
      <c r="C170" s="5" t="str">
        <f t="shared" si="144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'[2]Electricity and CHPs'!F30</f>
        <v>0</v>
      </c>
      <c r="K170" s="1">
        <f>'[2]Electricity and CHPs'!G30</f>
        <v>2.8285256729106384E-3</v>
      </c>
      <c r="L170" s="1">
        <f>'[2]Electricity and CHPs'!H30</f>
        <v>0.64656406332493532</v>
      </c>
      <c r="N170" s="1"/>
    </row>
    <row r="171" spans="1:14" x14ac:dyDescent="0.3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0</v>
      </c>
      <c r="J171" s="1">
        <f>'[2]Electricity and CHPs'!F46</f>
        <v>4.4426385400825243E-3</v>
      </c>
      <c r="K171" s="1">
        <f>'[2]Electricity and CHPs'!G46</f>
        <v>0.10481502306675558</v>
      </c>
      <c r="L171" s="1">
        <f>'[2]Electricity and CHPs'!H46</f>
        <v>0.21392808522999046</v>
      </c>
      <c r="N171" s="1"/>
    </row>
    <row r="172" spans="1:14" x14ac:dyDescent="0.35">
      <c r="A172" s="5" t="str">
        <f t="shared" si="142"/>
        <v>STEM</v>
      </c>
      <c r="B172" s="5" t="str">
        <f t="shared" si="143"/>
        <v>SPS1</v>
      </c>
      <c r="C172" s="5" t="str">
        <f t="shared" si="144"/>
        <v>CH</v>
      </c>
      <c r="D172" t="s">
        <v>234</v>
      </c>
      <c r="E172" t="str">
        <f t="shared" ref="E172:E180" si="159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4.153084339351247E-2</v>
      </c>
      <c r="J172" s="1">
        <f>'[2]Electricity and CHPs'!F57</f>
        <v>2.9379183745544867E-3</v>
      </c>
      <c r="K172" s="1">
        <f>'[2]Electricity and CHPs'!G57</f>
        <v>9.2252457249678479E-3</v>
      </c>
      <c r="L172" s="1">
        <f>'[2]Electricity and CHPs'!H57</f>
        <v>5.8481806126494664E-3</v>
      </c>
      <c r="N172" s="1"/>
    </row>
    <row r="173" spans="1:14" x14ac:dyDescent="0.35">
      <c r="A173" s="5" t="str">
        <f t="shared" si="142"/>
        <v>STEM</v>
      </c>
      <c r="B173" s="5" t="str">
        <f t="shared" si="143"/>
        <v>SPS1</v>
      </c>
      <c r="C173" s="5" t="str">
        <f t="shared" si="144"/>
        <v>CH</v>
      </c>
      <c r="D173" t="s">
        <v>806</v>
      </c>
      <c r="E173" t="str">
        <f t="shared" si="159"/>
        <v>PJ/yr.</v>
      </c>
      <c r="F173" s="1">
        <f>SUM(F174:F180)</f>
        <v>0.37851332746090666</v>
      </c>
      <c r="G173" s="1">
        <f t="shared" ref="G173:K173" si="160">SUM(G174:G180)</f>
        <v>0.31251024648786618</v>
      </c>
      <c r="H173" s="1">
        <f t="shared" si="160"/>
        <v>0.88174435354221603</v>
      </c>
      <c r="I173" s="1">
        <f t="shared" si="160"/>
        <v>2.1107445865699437</v>
      </c>
      <c r="J173" s="1">
        <f t="shared" si="160"/>
        <v>1.5394110496312157</v>
      </c>
      <c r="K173" s="1">
        <f t="shared" si="160"/>
        <v>2.6754168605920929</v>
      </c>
      <c r="L173" s="1">
        <f t="shared" ref="L173" si="161">SUM(L174:L180)</f>
        <v>6.4492609725240424</v>
      </c>
      <c r="N173" s="1"/>
    </row>
    <row r="174" spans="1:14" x14ac:dyDescent="0.35">
      <c r="A174" s="5" t="str">
        <f t="shared" si="142"/>
        <v>STEM</v>
      </c>
      <c r="B174" s="5" t="str">
        <f t="shared" si="143"/>
        <v>SPS1</v>
      </c>
      <c r="C174" s="5" t="str">
        <f t="shared" si="144"/>
        <v>CH</v>
      </c>
      <c r="D174" t="s">
        <v>79</v>
      </c>
      <c r="E174" t="str">
        <f t="shared" si="159"/>
        <v>PJ/yr.</v>
      </c>
      <c r="F174" s="1">
        <f>'[1]Electricity and CHPs'!B70</f>
        <v>9.9717135625453548E-2</v>
      </c>
      <c r="G174" s="1">
        <f>'[1]Electricity and CHPs'!C70</f>
        <v>4.6896170324756133E-2</v>
      </c>
      <c r="H174" s="1">
        <f>'[1]Electricity and CHPs'!D70</f>
        <v>6.7124356785342967E-2</v>
      </c>
      <c r="I174" s="1">
        <f>'[1]Electricity and CHPs'!E70</f>
        <v>9.463092686678605E-2</v>
      </c>
      <c r="J174" s="1">
        <f>'[2]Electricity and CHPs'!F70</f>
        <v>3.0516970291249283E-2</v>
      </c>
      <c r="K174" s="1">
        <f>'[2]Electricity and CHPs'!G70</f>
        <v>1.9442043272010483E-2</v>
      </c>
      <c r="L174" s="1">
        <f>'[2]Electricity and CHPs'!H70</f>
        <v>9.4495573930780508E-2</v>
      </c>
      <c r="N174" s="1"/>
    </row>
    <row r="175" spans="1:14" x14ac:dyDescent="0.35">
      <c r="A175" s="5" t="str">
        <f t="shared" si="142"/>
        <v>STEM</v>
      </c>
      <c r="B175" s="5" t="str">
        <f t="shared" si="143"/>
        <v>SPS1</v>
      </c>
      <c r="C175" s="5" t="str">
        <f t="shared" si="144"/>
        <v>CH</v>
      </c>
      <c r="D175" t="s">
        <v>80</v>
      </c>
      <c r="E175" t="str">
        <f t="shared" si="159"/>
        <v>PJ/yr.</v>
      </c>
      <c r="F175" s="1">
        <f>'[1]Electricity and CHPs'!B71</f>
        <v>6.5281552500512124E-2</v>
      </c>
      <c r="G175" s="1">
        <f>'[1]Electricity and CHPs'!C71</f>
        <v>6.1819133058506948E-2</v>
      </c>
      <c r="H175" s="1">
        <f>'[1]Electricity and CHPs'!D71</f>
        <v>6.3527400894878738E-2</v>
      </c>
      <c r="I175" s="1">
        <f>'[1]Electricity and CHPs'!E71</f>
        <v>0.18716294914312429</v>
      </c>
      <c r="J175" s="1">
        <f>'[2]Electricity and CHPs'!F71</f>
        <v>6.6205511641296191E-2</v>
      </c>
      <c r="K175" s="1">
        <f>'[2]Electricity and CHPs'!G71</f>
        <v>0.64043119260990911</v>
      </c>
      <c r="L175" s="1">
        <f>'[2]Electricity and CHPs'!H71</f>
        <v>2.8140368400382441</v>
      </c>
      <c r="N175" s="1"/>
    </row>
    <row r="176" spans="1:14" x14ac:dyDescent="0.35">
      <c r="A176" s="5" t="str">
        <f t="shared" si="142"/>
        <v>STEM</v>
      </c>
      <c r="B176" s="5" t="str">
        <f t="shared" si="143"/>
        <v>SPS1</v>
      </c>
      <c r="C176" s="5" t="str">
        <f t="shared" si="144"/>
        <v>CH</v>
      </c>
      <c r="D176" t="s">
        <v>81</v>
      </c>
      <c r="E176" t="str">
        <f t="shared" si="159"/>
        <v>PJ/yr.</v>
      </c>
      <c r="F176" s="1">
        <f>'[1]Electricity and CHPs'!B72</f>
        <v>6.6159788967022293E-2</v>
      </c>
      <c r="G176" s="1">
        <f>'[1]Electricity and CHPs'!C72</f>
        <v>5.603376658909813E-2</v>
      </c>
      <c r="H176" s="1">
        <f>'[1]Electricity and CHPs'!D72</f>
        <v>5.776570356781402E-2</v>
      </c>
      <c r="I176" s="1">
        <f>'[1]Electricity and CHPs'!E72</f>
        <v>0.12783120503251952</v>
      </c>
      <c r="J176" s="1">
        <f>'[2]Electricity and CHPs'!F72</f>
        <v>3.2298870436889351E-2</v>
      </c>
      <c r="K176" s="1">
        <f>'[2]Electricity and CHPs'!G72</f>
        <v>0.44119695899260764</v>
      </c>
      <c r="L176" s="1">
        <f>'[2]Electricity and CHPs'!H72</f>
        <v>1.4256712863811478</v>
      </c>
      <c r="N176" s="1"/>
    </row>
    <row r="177" spans="1:14" x14ac:dyDescent="0.35">
      <c r="A177" s="5" t="str">
        <f t="shared" si="142"/>
        <v>STEM</v>
      </c>
      <c r="B177" s="5" t="str">
        <f t="shared" si="143"/>
        <v>SPS1</v>
      </c>
      <c r="C177" s="5" t="str">
        <f t="shared" si="144"/>
        <v>CH</v>
      </c>
      <c r="D177" t="s">
        <v>82</v>
      </c>
      <c r="E177" t="str">
        <f t="shared" si="159"/>
        <v>PJ/yr.</v>
      </c>
      <c r="F177" s="1">
        <f>'[1]Electricity and CHPs'!B73</f>
        <v>2.4299972021673343E-2</v>
      </c>
      <c r="G177" s="1">
        <f>'[1]Electricity and CHPs'!C73</f>
        <v>2.4394370907758912E-2</v>
      </c>
      <c r="H177" s="1">
        <f>'[1]Electricity and CHPs'!D73</f>
        <v>0.13167801759902142</v>
      </c>
      <c r="I177" s="1">
        <f>'[1]Electricity and CHPs'!E73</f>
        <v>0.28044231849520646</v>
      </c>
      <c r="J177" s="1">
        <f>'[2]Electricity and CHPs'!F73</f>
        <v>0.23561233182144478</v>
      </c>
      <c r="K177" s="1">
        <f>'[2]Electricity and CHPs'!G73</f>
        <v>0.3199495272156978</v>
      </c>
      <c r="L177" s="1">
        <f>'[2]Electricity and CHPs'!H73</f>
        <v>0.45289977720896224</v>
      </c>
      <c r="N177" s="1"/>
    </row>
    <row r="178" spans="1:14" x14ac:dyDescent="0.35">
      <c r="A178" s="5" t="str">
        <f t="shared" si="142"/>
        <v>STEM</v>
      </c>
      <c r="B178" s="5" t="str">
        <f t="shared" si="143"/>
        <v>SPS1</v>
      </c>
      <c r="C178" s="5" t="str">
        <f t="shared" si="144"/>
        <v>CH</v>
      </c>
      <c r="D178" t="s">
        <v>1852</v>
      </c>
      <c r="E178" t="str">
        <f t="shared" si="159"/>
        <v>PJ/yr.</v>
      </c>
      <c r="F178" s="1">
        <f>'[1]Electricity and CHPs'!B74</f>
        <v>5.1266319642339492E-2</v>
      </c>
      <c r="G178" s="1">
        <f>'[1]Electricity and CHPs'!C74</f>
        <v>5.1392459042663659E-2</v>
      </c>
      <c r="H178" s="1">
        <f>'[1]Electricity and CHPs'!D74</f>
        <v>0.28596347365523234</v>
      </c>
      <c r="I178" s="1">
        <f>'[1]Electricity and CHPs'!E74</f>
        <v>0.81663865986003947</v>
      </c>
      <c r="J178" s="1">
        <f>'[2]Electricity and CHPs'!F74</f>
        <v>0.63484947065488906</v>
      </c>
      <c r="K178" s="1">
        <f>'[2]Electricity and CHPs'!G74</f>
        <v>0.4845150055544456</v>
      </c>
      <c r="L178" s="1">
        <f>'[2]Electricity and CHPs'!H74</f>
        <v>0.68799813835712942</v>
      </c>
      <c r="N178" s="1"/>
    </row>
    <row r="179" spans="1:14" x14ac:dyDescent="0.35">
      <c r="A179" s="5" t="str">
        <f t="shared" si="142"/>
        <v>STEM</v>
      </c>
      <c r="B179" s="5" t="str">
        <f t="shared" si="143"/>
        <v>SPS1</v>
      </c>
      <c r="C179" s="5" t="str">
        <f t="shared" si="144"/>
        <v>CH</v>
      </c>
      <c r="D179" t="s">
        <v>83</v>
      </c>
      <c r="E179" t="str">
        <f t="shared" si="159"/>
        <v>PJ/yr.</v>
      </c>
      <c r="F179" s="1">
        <f>'[1]Electricity and CHPs'!B75</f>
        <v>4.6514744505135805E-2</v>
      </c>
      <c r="G179" s="1">
        <f>'[1]Electricity and CHPs'!C75</f>
        <v>4.6633373971838789E-2</v>
      </c>
      <c r="H179" s="1">
        <f>'[1]Electricity and CHPs'!D75</f>
        <v>8.9337674316246021E-2</v>
      </c>
      <c r="I179" s="1">
        <f>'[1]Electricity and CHPs'!E75</f>
        <v>9.1715330631372854E-2</v>
      </c>
      <c r="J179" s="1">
        <f>'[2]Electricity and CHPs'!F75</f>
        <v>0.11888593828086283</v>
      </c>
      <c r="K179" s="1">
        <f>'[2]Electricity and CHPs'!G75</f>
        <v>8.8923275934780721E-2</v>
      </c>
      <c r="L179" s="1">
        <f>'[2]Electricity and CHPs'!H75</f>
        <v>0.12462499097033369</v>
      </c>
      <c r="N179" s="1"/>
    </row>
    <row r="180" spans="1:14" x14ac:dyDescent="0.35">
      <c r="A180" s="5" t="str">
        <f t="shared" si="142"/>
        <v>STEM</v>
      </c>
      <c r="B180" s="5" t="str">
        <f t="shared" si="143"/>
        <v>SPS1</v>
      </c>
      <c r="C180" s="5" t="str">
        <f t="shared" si="144"/>
        <v>CH</v>
      </c>
      <c r="D180" t="s">
        <v>87</v>
      </c>
      <c r="E180" t="str">
        <f t="shared" si="159"/>
        <v>PJ/yr.</v>
      </c>
      <c r="F180" s="1">
        <f>'[1]Electricity and CHPs'!B76</f>
        <v>2.527381419877003E-2</v>
      </c>
      <c r="G180" s="1">
        <f>'[1]Electricity and CHPs'!C76</f>
        <v>2.5340972593243589E-2</v>
      </c>
      <c r="H180" s="1">
        <f>'[1]Electricity and CHPs'!D76</f>
        <v>0.18634772672368052</v>
      </c>
      <c r="I180" s="1">
        <f>'[1]Electricity and CHPs'!E76</f>
        <v>0.51232319654089487</v>
      </c>
      <c r="J180" s="1">
        <f>'[2]Electricity and CHPs'!F76</f>
        <v>0.4210419565045842</v>
      </c>
      <c r="K180" s="1">
        <f>'[2]Electricity and CHPs'!G76</f>
        <v>0.68095885701264181</v>
      </c>
      <c r="L180" s="1">
        <f>'[2]Electricity and CHPs'!H76</f>
        <v>0.84953436563744444</v>
      </c>
      <c r="N180" s="1"/>
    </row>
    <row r="181" spans="1:14" x14ac:dyDescent="0.35">
      <c r="A181" s="9" t="str">
        <f t="shared" si="142"/>
        <v>STEM</v>
      </c>
      <c r="B181" s="9" t="str">
        <f t="shared" si="143"/>
        <v>SPS1</v>
      </c>
      <c r="C181" s="2" t="str">
        <f t="shared" si="144"/>
        <v>CH</v>
      </c>
      <c r="D181" s="2" t="s">
        <v>152</v>
      </c>
      <c r="E181" s="2" t="str">
        <f>E169</f>
        <v>PJ/yr.</v>
      </c>
      <c r="F181" s="3">
        <f>SUM(F182,F233)</f>
        <v>31.268150691627906</v>
      </c>
      <c r="G181" s="3">
        <f t="shared" ref="G181:K181" si="162">SUM(G182,G233)</f>
        <v>37.364487419428727</v>
      </c>
      <c r="H181" s="3">
        <f t="shared" si="162"/>
        <v>35.683794594032136</v>
      </c>
      <c r="I181" s="3">
        <f t="shared" si="162"/>
        <v>38.000250015398784</v>
      </c>
      <c r="J181" s="3">
        <f t="shared" si="162"/>
        <v>39.886619501075593</v>
      </c>
      <c r="K181" s="3">
        <f t="shared" si="162"/>
        <v>41.188236243267298</v>
      </c>
      <c r="L181" s="3">
        <f t="shared" ref="L181" si="163">SUM(L182,L233)</f>
        <v>45.059976101055973</v>
      </c>
      <c r="N181" s="1"/>
    </row>
    <row r="182" spans="1:14" x14ac:dyDescent="0.3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64">F183+F210</f>
        <v>24.50972168360876</v>
      </c>
      <c r="G182" s="1">
        <f t="shared" si="164"/>
        <v>29.341363890934055</v>
      </c>
      <c r="H182" s="1">
        <f t="shared" si="164"/>
        <v>27.745309528849006</v>
      </c>
      <c r="I182" s="1">
        <f t="shared" si="164"/>
        <v>29.864063287268948</v>
      </c>
      <c r="J182" s="1">
        <f t="shared" si="164"/>
        <v>29.79762418516373</v>
      </c>
      <c r="K182" s="1">
        <f t="shared" si="164"/>
        <v>31.466505127032516</v>
      </c>
      <c r="L182" s="1">
        <f t="shared" ref="L182" si="165">L183+L210</f>
        <v>33.444049251519111</v>
      </c>
      <c r="N182" s="1"/>
    </row>
    <row r="183" spans="1:14" x14ac:dyDescent="0.3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66">SUM(F185,F189,F190,F198,F199,F207,F209)</f>
        <v>16.337933558645258</v>
      </c>
      <c r="G183" s="1">
        <f t="shared" si="166"/>
        <v>13.601489537657892</v>
      </c>
      <c r="H183" s="1">
        <f t="shared" si="166"/>
        <v>13.079391869944322</v>
      </c>
      <c r="I183" s="1">
        <f t="shared" si="166"/>
        <v>13.588301370806315</v>
      </c>
      <c r="J183" s="1">
        <f t="shared" si="166"/>
        <v>14.038331601824684</v>
      </c>
      <c r="K183" s="1">
        <f t="shared" si="166"/>
        <v>15.441227507412346</v>
      </c>
      <c r="L183" s="1">
        <f t="shared" ref="L183" si="167">SUM(L185,L189,L190,L198,L199,L207,L209)</f>
        <v>16.537643374593614</v>
      </c>
      <c r="N183" s="1"/>
    </row>
    <row r="184" spans="1:14" x14ac:dyDescent="0.3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9.436691951707139E-3</v>
      </c>
      <c r="G184" s="1">
        <f t="shared" ref="G184:L184" si="168">G185</f>
        <v>1.2602236231020103E-2</v>
      </c>
      <c r="H184" s="1">
        <f t="shared" si="168"/>
        <v>4.3501411046161162E-2</v>
      </c>
      <c r="I184" s="1">
        <f t="shared" si="168"/>
        <v>9.7916931219493644E-3</v>
      </c>
      <c r="J184" s="1">
        <f t="shared" si="168"/>
        <v>2.9480480748354213E-3</v>
      </c>
      <c r="K184" s="1">
        <f t="shared" si="168"/>
        <v>1.2511600892725441E-3</v>
      </c>
      <c r="L184" s="1">
        <f t="shared" si="168"/>
        <v>2.6602261601403873E-5</v>
      </c>
      <c r="N184" s="1"/>
    </row>
    <row r="185" spans="1:14" x14ac:dyDescent="0.3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9.436691951707139E-3</v>
      </c>
      <c r="G185" s="1">
        <f>'[1]Electricity and CHPs'!C$94</f>
        <v>1.2602236231020103E-2</v>
      </c>
      <c r="H185" s="1">
        <f>'[1]Electricity and CHPs'!D$94</f>
        <v>4.3501411046161162E-2</v>
      </c>
      <c r="I185" s="1">
        <f>'[1]Electricity and CHPs'!E$94</f>
        <v>9.7916931219493644E-3</v>
      </c>
      <c r="J185" s="1">
        <f>'[2]Electricity and CHPs'!F$94</f>
        <v>2.9480480748354213E-3</v>
      </c>
      <c r="K185" s="1">
        <f>'[2]Electricity and CHPs'!G$94</f>
        <v>1.2511600892725441E-3</v>
      </c>
      <c r="L185" s="1">
        <f>'[2]Electricity and CHPs'!H$94</f>
        <v>2.6602261601403873E-5</v>
      </c>
      <c r="N185" s="1"/>
    </row>
    <row r="186" spans="1:14" x14ac:dyDescent="0.3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9.436691951707139E-3</v>
      </c>
      <c r="G186" s="1">
        <f t="shared" ref="G186:K186" si="169">G185-G187</f>
        <v>1.2602236231020103E-2</v>
      </c>
      <c r="H186" s="1">
        <f t="shared" si="169"/>
        <v>4.3501411046161162E-2</v>
      </c>
      <c r="I186" s="1">
        <f t="shared" si="169"/>
        <v>9.7916931219493644E-3</v>
      </c>
      <c r="J186" s="1">
        <f t="shared" si="169"/>
        <v>2.9480480748354213E-3</v>
      </c>
      <c r="K186" s="1">
        <f t="shared" si="169"/>
        <v>1.2511600892725441E-3</v>
      </c>
      <c r="L186" s="1">
        <f t="shared" ref="L186" si="170">L185-L187</f>
        <v>2.6602261601403873E-5</v>
      </c>
      <c r="N186" s="1"/>
    </row>
    <row r="187" spans="1:14" x14ac:dyDescent="0.3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1">F185*IFERROR(F80/F76,0)</f>
        <v>0</v>
      </c>
      <c r="G187" s="1">
        <f t="shared" si="171"/>
        <v>0</v>
      </c>
      <c r="H187" s="1">
        <f t="shared" si="171"/>
        <v>0</v>
      </c>
      <c r="I187" s="1">
        <f t="shared" si="171"/>
        <v>0</v>
      </c>
      <c r="J187" s="1">
        <f t="shared" si="171"/>
        <v>0</v>
      </c>
      <c r="K187" s="1">
        <f t="shared" si="171"/>
        <v>0</v>
      </c>
      <c r="L187" s="1">
        <f t="shared" ref="L187" si="172">L185*IFERROR(L80/L76,0)</f>
        <v>0</v>
      </c>
      <c r="N187" s="1"/>
    </row>
    <row r="188" spans="1:14" x14ac:dyDescent="0.3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1.8036467630566795</v>
      </c>
      <c r="G188" s="1">
        <f t="shared" ref="G188:K188" si="173">SUM(G189:G190)</f>
        <v>3.7114377824545387E-2</v>
      </c>
      <c r="H188" s="1">
        <f t="shared" si="173"/>
        <v>0.15994218272706601</v>
      </c>
      <c r="I188" s="1">
        <f t="shared" si="173"/>
        <v>0</v>
      </c>
      <c r="J188" s="1">
        <f t="shared" si="173"/>
        <v>0</v>
      </c>
      <c r="K188" s="1">
        <f t="shared" si="173"/>
        <v>0</v>
      </c>
      <c r="L188" s="1">
        <f t="shared" ref="L188" si="174">SUM(L189:L190)</f>
        <v>0</v>
      </c>
      <c r="N188" s="1"/>
    </row>
    <row r="189" spans="1:14" x14ac:dyDescent="0.3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1.8036467630566795</v>
      </c>
      <c r="G189" s="1">
        <f>'[1]Electricity and CHPs'!C$91</f>
        <v>3.7114377824545387E-2</v>
      </c>
      <c r="H189" s="1">
        <f>'[1]Electricity and CHPs'!D$91</f>
        <v>0.15994218272706601</v>
      </c>
      <c r="I189" s="1">
        <f>'[1]Electricity and CHPs'!E$91</f>
        <v>0</v>
      </c>
      <c r="J189" s="1">
        <f>'[2]Electricity and CHPs'!F$91</f>
        <v>0</v>
      </c>
      <c r="K189" s="1">
        <f>'[2]Electricity and CHPs'!G$91</f>
        <v>0</v>
      </c>
      <c r="L189" s="1">
        <f>'[2]Electricity and CHPs'!H$91</f>
        <v>0</v>
      </c>
      <c r="N189" s="1"/>
    </row>
    <row r="190" spans="1:14" x14ac:dyDescent="0.3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'[2]Electricity and CHPs'!F$95</f>
        <v>0</v>
      </c>
      <c r="K190" s="1">
        <f>'[2]Electricity and CHPs'!G$95</f>
        <v>0</v>
      </c>
      <c r="L190" s="1">
        <f>'[2]Electricity and CHPs'!H$95</f>
        <v>0</v>
      </c>
      <c r="N190" s="1"/>
    </row>
    <row r="191" spans="1:14" x14ac:dyDescent="0.3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1.7581294496319546</v>
      </c>
      <c r="G191" s="1">
        <f t="shared" ref="G191:K191" si="175">SUM(G192:G193)</f>
        <v>3.5832068528575435E-2</v>
      </c>
      <c r="H191" s="1">
        <f t="shared" si="175"/>
        <v>0.15130244438238422</v>
      </c>
      <c r="I191" s="1">
        <f t="shared" si="175"/>
        <v>0</v>
      </c>
      <c r="J191" s="1">
        <f t="shared" si="175"/>
        <v>0</v>
      </c>
      <c r="K191" s="1">
        <f t="shared" si="175"/>
        <v>0</v>
      </c>
      <c r="L191" s="1">
        <f t="shared" ref="L191" si="176">SUM(L192:L193)</f>
        <v>0</v>
      </c>
      <c r="N191" s="1"/>
    </row>
    <row r="192" spans="1:14" x14ac:dyDescent="0.3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1.7581294496319546</v>
      </c>
      <c r="G192" s="1">
        <f t="shared" ref="G192:K192" si="177">G189-G195</f>
        <v>3.5832068528575435E-2</v>
      </c>
      <c r="H192" s="1">
        <f t="shared" si="177"/>
        <v>0.15130244438238422</v>
      </c>
      <c r="I192" s="1">
        <f t="shared" si="177"/>
        <v>0</v>
      </c>
      <c r="J192" s="1">
        <f t="shared" si="177"/>
        <v>0</v>
      </c>
      <c r="K192" s="1">
        <f t="shared" si="177"/>
        <v>0</v>
      </c>
      <c r="L192" s="1">
        <f t="shared" ref="L192" si="178">L189-L195</f>
        <v>0</v>
      </c>
      <c r="N192" s="1"/>
    </row>
    <row r="193" spans="1:14" x14ac:dyDescent="0.3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79">F190-F196</f>
        <v>0</v>
      </c>
      <c r="G193" s="1">
        <f t="shared" si="179"/>
        <v>0</v>
      </c>
      <c r="H193" s="1">
        <f t="shared" si="179"/>
        <v>0</v>
      </c>
      <c r="I193" s="1">
        <f t="shared" si="179"/>
        <v>0</v>
      </c>
      <c r="J193" s="1">
        <f t="shared" si="179"/>
        <v>0</v>
      </c>
      <c r="K193" s="1">
        <f t="shared" si="179"/>
        <v>0</v>
      </c>
      <c r="L193" s="1">
        <f t="shared" ref="L193" si="180">L190-L196</f>
        <v>0</v>
      </c>
      <c r="N193" s="1"/>
    </row>
    <row r="194" spans="1:14" x14ac:dyDescent="0.3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4.5517313424724884E-2</v>
      </c>
      <c r="G194" s="1">
        <f t="shared" ref="G194:K194" si="181">SUM(G195:G196)</f>
        <v>1.2823092959699492E-3</v>
      </c>
      <c r="H194" s="1">
        <f t="shared" si="181"/>
        <v>8.6397383446817876E-3</v>
      </c>
      <c r="I194" s="1">
        <f t="shared" si="181"/>
        <v>0</v>
      </c>
      <c r="J194" s="1">
        <f t="shared" si="181"/>
        <v>0</v>
      </c>
      <c r="K194" s="1">
        <f t="shared" si="181"/>
        <v>0</v>
      </c>
      <c r="L194" s="1">
        <f t="shared" ref="L194" si="182">SUM(L195:L196)</f>
        <v>0</v>
      </c>
      <c r="N194" s="1"/>
    </row>
    <row r="195" spans="1:14" x14ac:dyDescent="0.3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83">F189*IFERROR(F118/F86,0)</f>
        <v>4.5517313424724884E-2</v>
      </c>
      <c r="G195" s="1">
        <f t="shared" si="183"/>
        <v>1.2823092959699492E-3</v>
      </c>
      <c r="H195" s="1">
        <f t="shared" si="183"/>
        <v>8.6397383446817876E-3</v>
      </c>
      <c r="I195" s="1">
        <f t="shared" si="183"/>
        <v>0</v>
      </c>
      <c r="J195" s="1">
        <f t="shared" si="183"/>
        <v>0</v>
      </c>
      <c r="K195" s="1">
        <f t="shared" si="183"/>
        <v>0</v>
      </c>
      <c r="L195" s="1">
        <f t="shared" ref="L195" si="184">L189*IFERROR(L118/L86,0)</f>
        <v>0</v>
      </c>
      <c r="N195" s="1"/>
    </row>
    <row r="196" spans="1:14" x14ac:dyDescent="0.3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83"/>
        <v>0</v>
      </c>
      <c r="G196" s="1">
        <f t="shared" si="183"/>
        <v>0</v>
      </c>
      <c r="H196" s="1">
        <f t="shared" si="183"/>
        <v>0</v>
      </c>
      <c r="I196" s="1">
        <f t="shared" si="183"/>
        <v>0</v>
      </c>
      <c r="J196" s="1">
        <f t="shared" si="183"/>
        <v>0</v>
      </c>
      <c r="K196" s="1">
        <f t="shared" si="183"/>
        <v>0</v>
      </c>
      <c r="L196" s="1">
        <f t="shared" ref="L196" si="185">L190*IFERROR(L119/L87,0)</f>
        <v>0</v>
      </c>
      <c r="N196" s="1"/>
    </row>
    <row r="197" spans="1:14" x14ac:dyDescent="0.3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14.461386032860608</v>
      </c>
      <c r="G197" s="1">
        <f t="shared" ref="G197:K197" si="186">SUM(G198:G199)</f>
        <v>13.06429502478572</v>
      </c>
      <c r="H197" s="1">
        <f t="shared" si="186"/>
        <v>12.384524026407272</v>
      </c>
      <c r="I197" s="1">
        <f t="shared" si="186"/>
        <v>13.423956535214588</v>
      </c>
      <c r="J197" s="1">
        <f t="shared" si="186"/>
        <v>12.342953031245132</v>
      </c>
      <c r="K197" s="1">
        <f t="shared" si="186"/>
        <v>13.005965663359824</v>
      </c>
      <c r="L197" s="1">
        <f t="shared" ref="L197" si="187">SUM(L198:L199)</f>
        <v>13.243801642829158</v>
      </c>
      <c r="N197" s="1"/>
    </row>
    <row r="198" spans="1:14" x14ac:dyDescent="0.3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14.461386032860608</v>
      </c>
      <c r="G198" s="1">
        <f>'[1]Electricity and CHPs'!C$93-G199</f>
        <v>13.06429502478572</v>
      </c>
      <c r="H198" s="1">
        <f>'[1]Electricity and CHPs'!D$93-H199</f>
        <v>12.384524026407272</v>
      </c>
      <c r="I198" s="1">
        <f>'[1]Electricity and CHPs'!E$93-I199</f>
        <v>13.423956535214588</v>
      </c>
      <c r="J198" s="1">
        <f>'[2]Electricity and CHPs'!F$93-J199</f>
        <v>12.342953031245132</v>
      </c>
      <c r="K198" s="1">
        <f>'[2]Electricity and CHPs'!G$93-K199</f>
        <v>8.5530060719872765</v>
      </c>
      <c r="L198" s="1">
        <f>'[2]Electricity and CHPs'!H$93-L199</f>
        <v>1.3596862821305677E-3</v>
      </c>
      <c r="N198" s="1"/>
    </row>
    <row r="199" spans="1:14" x14ac:dyDescent="0.3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SUMPRODUCT(("CHPWSTCCS"=[2]OUT_Electricity_CHP!$B$1:$B$10000)*1,([2]OUT_Electricity_CHP!$C$1:$C$10000="Var_Fout")*1,([2]OUT_Electricity_CHP!$D$1:$D$10000="LTH")*1,[2]OUT_Electricity_CHP!I$1:I$10000)</f>
        <v>0</v>
      </c>
      <c r="K199" s="1" cm="1">
        <f t="array" ref="K199">SUMPRODUCT(("CHPWSTCCS"=[2]OUT_Electricity_CHP!$B$1:$B$10000)*1,([2]OUT_Electricity_CHP!$C$1:$C$10000="Var_Fout")*1,([2]OUT_Electricity_CHP!$D$1:$D$10000="LTH")*1,[2]OUT_Electricity_CHP!J$1:J$10000)</f>
        <v>4.4529595913725473</v>
      </c>
      <c r="L199" s="1" cm="1">
        <f t="array" ref="L199">SUMPRODUCT(("CHPWSTCCS"=[2]OUT_Electricity_CHP!$B$1:$B$10000)*1,([2]OUT_Electricity_CHP!$C$1:$C$10000="Var_Fout")*1,([2]OUT_Electricity_CHP!$D$1:$D$10000="LTH")*1,[2]OUT_Electricity_CHP!K$1:K$10000)</f>
        <v>13.242441956547028</v>
      </c>
      <c r="N199" s="1"/>
    </row>
    <row r="200" spans="1:14" x14ac:dyDescent="0.3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7.2306930164303038</v>
      </c>
      <c r="G200" s="1">
        <f t="shared" ref="G200:K200" si="188">SUM(G201:G202)</f>
        <v>6.5321475123928598</v>
      </c>
      <c r="H200" s="1">
        <f t="shared" si="188"/>
        <v>6.1922620132036359</v>
      </c>
      <c r="I200" s="1">
        <f t="shared" si="188"/>
        <v>6.7119782676072939</v>
      </c>
      <c r="J200" s="1">
        <f t="shared" si="188"/>
        <v>6.1714765156225662</v>
      </c>
      <c r="K200" s="1">
        <f t="shared" si="188"/>
        <v>6.5029828316799119</v>
      </c>
      <c r="L200" s="1">
        <f t="shared" ref="L200" si="189">SUM(L201:L202)</f>
        <v>6.6219008214145791</v>
      </c>
      <c r="N200" s="1"/>
    </row>
    <row r="201" spans="1:14" x14ac:dyDescent="0.3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0">F198*F140/F133</f>
        <v>7.2306930164303038</v>
      </c>
      <c r="G201" s="1">
        <f t="shared" si="190"/>
        <v>6.5321475123928598</v>
      </c>
      <c r="H201" s="1">
        <f t="shared" si="190"/>
        <v>6.1922620132036359</v>
      </c>
      <c r="I201" s="1">
        <f t="shared" si="190"/>
        <v>6.7119782676072939</v>
      </c>
      <c r="J201" s="1">
        <f t="shared" si="190"/>
        <v>6.1714765156225662</v>
      </c>
      <c r="K201" s="1">
        <f t="shared" si="190"/>
        <v>4.2765030359936382</v>
      </c>
      <c r="L201" s="1">
        <f t="shared" ref="L201" si="191">L198*L140/L133</f>
        <v>6.7984314106528398E-4</v>
      </c>
      <c r="N201" s="1"/>
    </row>
    <row r="202" spans="1:14" x14ac:dyDescent="0.3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192">F199*IFERROR(F141/F134,0)</f>
        <v>0</v>
      </c>
      <c r="G202" s="1">
        <f t="shared" si="192"/>
        <v>0</v>
      </c>
      <c r="H202" s="1">
        <f t="shared" si="192"/>
        <v>0</v>
      </c>
      <c r="I202" s="1">
        <f t="shared" si="192"/>
        <v>0</v>
      </c>
      <c r="J202" s="1">
        <f t="shared" si="192"/>
        <v>0</v>
      </c>
      <c r="K202" s="1">
        <f t="shared" si="192"/>
        <v>2.2264797956862741</v>
      </c>
      <c r="L202" s="1">
        <f t="shared" ref="L202" si="193">L199*IFERROR(L141/L134,0)</f>
        <v>6.6212209782735139</v>
      </c>
      <c r="N202" s="1"/>
    </row>
    <row r="203" spans="1:14" x14ac:dyDescent="0.3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7.2306930164303038</v>
      </c>
      <c r="G203" s="1">
        <f t="shared" ref="G203:K203" si="194">SUM(G204:G205)</f>
        <v>6.5321475123928598</v>
      </c>
      <c r="H203" s="1">
        <f t="shared" si="194"/>
        <v>6.1922620132036359</v>
      </c>
      <c r="I203" s="1">
        <f t="shared" si="194"/>
        <v>6.7119782676072939</v>
      </c>
      <c r="J203" s="1">
        <f t="shared" si="194"/>
        <v>6.1714765156225662</v>
      </c>
      <c r="K203" s="1">
        <f t="shared" si="194"/>
        <v>6.5029828316799119</v>
      </c>
      <c r="L203" s="1">
        <f t="shared" ref="L203" si="195">SUM(L204:L205)</f>
        <v>6.6219008214145791</v>
      </c>
      <c r="N203" s="1"/>
    </row>
    <row r="204" spans="1:14" x14ac:dyDescent="0.3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196">F198-F201</f>
        <v>7.2306930164303038</v>
      </c>
      <c r="G204" s="1">
        <f t="shared" si="196"/>
        <v>6.5321475123928598</v>
      </c>
      <c r="H204" s="1">
        <f t="shared" si="196"/>
        <v>6.1922620132036359</v>
      </c>
      <c r="I204" s="1">
        <f t="shared" si="196"/>
        <v>6.7119782676072939</v>
      </c>
      <c r="J204" s="1">
        <f t="shared" si="196"/>
        <v>6.1714765156225662</v>
      </c>
      <c r="K204" s="1">
        <f t="shared" si="196"/>
        <v>4.2765030359936382</v>
      </c>
      <c r="L204" s="1">
        <f t="shared" ref="L204" si="197">L198-L201</f>
        <v>6.7984314106528377E-4</v>
      </c>
      <c r="N204" s="1"/>
    </row>
    <row r="205" spans="1:14" x14ac:dyDescent="0.3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196"/>
        <v>0</v>
      </c>
      <c r="G205" s="1">
        <f t="shared" si="196"/>
        <v>0</v>
      </c>
      <c r="H205" s="1">
        <f t="shared" si="196"/>
        <v>0</v>
      </c>
      <c r="I205" s="1">
        <f t="shared" si="196"/>
        <v>0</v>
      </c>
      <c r="J205" s="1">
        <f t="shared" si="196"/>
        <v>0</v>
      </c>
      <c r="K205" s="1">
        <f t="shared" si="196"/>
        <v>2.2264797956862732</v>
      </c>
      <c r="L205" s="1">
        <f t="shared" ref="L205" si="198">L199-L202</f>
        <v>6.6212209782735139</v>
      </c>
      <c r="N205" s="1"/>
    </row>
    <row r="206" spans="1:14" x14ac:dyDescent="0.3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6.3464070776262399E-2</v>
      </c>
      <c r="G206" s="1">
        <f t="shared" ref="G206:L206" si="199">G207</f>
        <v>0.48747789881660691</v>
      </c>
      <c r="H206" s="1">
        <f t="shared" si="199"/>
        <v>0.49142424976382193</v>
      </c>
      <c r="I206" s="1">
        <f t="shared" si="199"/>
        <v>0.15455314246977811</v>
      </c>
      <c r="J206" s="1">
        <f t="shared" si="199"/>
        <v>1.6924305225047174</v>
      </c>
      <c r="K206" s="1">
        <f t="shared" si="199"/>
        <v>2.4305760456461436</v>
      </c>
      <c r="L206" s="1">
        <f t="shared" si="199"/>
        <v>2.477912859116628</v>
      </c>
      <c r="N206" s="1"/>
    </row>
    <row r="207" spans="1:14" x14ac:dyDescent="0.3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6.3464070776262399E-2</v>
      </c>
      <c r="G207" s="1">
        <f>'[1]Electricity and CHPs'!C$92</f>
        <v>0.48747789881660691</v>
      </c>
      <c r="H207" s="1">
        <f>'[1]Electricity and CHPs'!D$92</f>
        <v>0.49142424976382193</v>
      </c>
      <c r="I207" s="1">
        <f>'[1]Electricity and CHPs'!E$92</f>
        <v>0.15455314246977811</v>
      </c>
      <c r="J207" s="1">
        <f>'[2]Electricity and CHPs'!F$92</f>
        <v>1.6924305225047174</v>
      </c>
      <c r="K207" s="1">
        <f>'[2]Electricity and CHPs'!G$92</f>
        <v>2.4305760456461436</v>
      </c>
      <c r="L207" s="1">
        <f>'[2]Electricity and CHPs'!H$92</f>
        <v>2.477912859116628</v>
      </c>
      <c r="N207" s="1"/>
    </row>
    <row r="208" spans="1:14" x14ac:dyDescent="0.3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L208" si="200">+G209</f>
        <v>0</v>
      </c>
      <c r="H208" s="1">
        <f t="shared" si="200"/>
        <v>0</v>
      </c>
      <c r="I208" s="1">
        <f t="shared" si="200"/>
        <v>0</v>
      </c>
      <c r="J208" s="1">
        <f t="shared" si="200"/>
        <v>0</v>
      </c>
      <c r="K208" s="1">
        <f t="shared" si="200"/>
        <v>3.4346383171057595E-3</v>
      </c>
      <c r="L208" s="1">
        <f t="shared" si="200"/>
        <v>0.81590227038622742</v>
      </c>
      <c r="N208" s="1"/>
    </row>
    <row r="209" spans="1:14" x14ac:dyDescent="0.3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'[2]Electricity and CHPs'!F$96</f>
        <v>0</v>
      </c>
      <c r="K209" s="1">
        <f>'[2]Electricity and CHPs'!G$96</f>
        <v>3.4346383171057595E-3</v>
      </c>
      <c r="L209" s="1">
        <f>'[2]Electricity and CHPs'!H$96</f>
        <v>0.81590227038622742</v>
      </c>
      <c r="N209" s="1"/>
    </row>
    <row r="210" spans="1:14" x14ac:dyDescent="0.3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8.171788124963502</v>
      </c>
      <c r="G210" s="1">
        <f t="shared" ref="G210:K210" si="201">SUM(G211,G217,G219,G225,G227,G229,G231)</f>
        <v>15.739874353276161</v>
      </c>
      <c r="H210" s="1">
        <f t="shared" si="201"/>
        <v>14.665917658904682</v>
      </c>
      <c r="I210" s="1">
        <f t="shared" si="201"/>
        <v>16.275761916462631</v>
      </c>
      <c r="J210" s="1">
        <f t="shared" si="201"/>
        <v>15.759292583339047</v>
      </c>
      <c r="K210" s="1">
        <f t="shared" si="201"/>
        <v>16.025277619620169</v>
      </c>
      <c r="L210" s="1">
        <f t="shared" ref="L210" si="202">SUM(L211,L217,L219,L225,L227,L229,L231)</f>
        <v>16.906405876925497</v>
      </c>
      <c r="N210" s="1"/>
    </row>
    <row r="211" spans="1:14" x14ac:dyDescent="0.3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2.634992859865243</v>
      </c>
      <c r="G211" s="1">
        <f t="shared" ref="G211:L211" si="203">+G212</f>
        <v>1.6024256132703618</v>
      </c>
      <c r="H211" s="1">
        <f t="shared" si="203"/>
        <v>0.97426754706443208</v>
      </c>
      <c r="I211" s="1">
        <f t="shared" si="203"/>
        <v>0.90182760903795767</v>
      </c>
      <c r="J211" s="1">
        <f t="shared" si="203"/>
        <v>0.90180045751198468</v>
      </c>
      <c r="K211" s="1">
        <f t="shared" si="203"/>
        <v>0.9017989834345872</v>
      </c>
      <c r="L211" s="1">
        <f t="shared" si="203"/>
        <v>0.90358853154160546</v>
      </c>
      <c r="N211" s="1"/>
    </row>
    <row r="212" spans="1:14" x14ac:dyDescent="0.3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2.634992859865243</v>
      </c>
      <c r="G212" s="1">
        <f>'[1]Electricity and CHPs'!C$97+G216</f>
        <v>1.6024256132703618</v>
      </c>
      <c r="H212" s="1">
        <f>'[1]Electricity and CHPs'!D$97+H216</f>
        <v>0.97426754706443208</v>
      </c>
      <c r="I212" s="1">
        <f>'[1]Electricity and CHPs'!E$97+I216</f>
        <v>0.90182760903795767</v>
      </c>
      <c r="J212" s="1">
        <f>'[2]Electricity and CHPs'!F$97+J216</f>
        <v>0.90180045751198468</v>
      </c>
      <c r="K212" s="1">
        <f>'[2]Electricity and CHPs'!G$97+K216</f>
        <v>0.9017989834345872</v>
      </c>
      <c r="L212" s="1">
        <f>'[2]Electricity and CHPs'!H$97+L216</f>
        <v>0.90358853154160546</v>
      </c>
      <c r="N212" s="1"/>
    </row>
    <row r="213" spans="1:14" x14ac:dyDescent="0.3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1.7331149429487605</v>
      </c>
      <c r="G213" s="1">
        <f t="shared" ref="G213:L213" si="204">G214</f>
        <v>0.7005986152711916</v>
      </c>
      <c r="H213" s="1">
        <f t="shared" si="204"/>
        <v>7.243294019272406E-2</v>
      </c>
      <c r="I213" s="1">
        <f t="shared" si="204"/>
        <v>0</v>
      </c>
      <c r="J213" s="1">
        <f t="shared" si="204"/>
        <v>0</v>
      </c>
      <c r="K213" s="1">
        <f t="shared" si="204"/>
        <v>0</v>
      </c>
      <c r="L213" s="1">
        <f t="shared" si="204"/>
        <v>0</v>
      </c>
      <c r="N213" s="1"/>
    </row>
    <row r="214" spans="1:14" x14ac:dyDescent="0.3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1.7331149429487605</v>
      </c>
      <c r="G214" s="1">
        <f t="shared" ref="G214:K214" si="205">G212-G216</f>
        <v>0.7005986152711916</v>
      </c>
      <c r="H214" s="1">
        <f t="shared" si="205"/>
        <v>7.243294019272406E-2</v>
      </c>
      <c r="I214" s="1">
        <f t="shared" si="205"/>
        <v>0</v>
      </c>
      <c r="J214" s="1">
        <f t="shared" si="205"/>
        <v>0</v>
      </c>
      <c r="K214" s="1">
        <f t="shared" si="205"/>
        <v>0</v>
      </c>
      <c r="L214" s="1">
        <f t="shared" ref="L214" si="206">L212-L216</f>
        <v>0</v>
      </c>
      <c r="N214" s="1"/>
    </row>
    <row r="215" spans="1:14" x14ac:dyDescent="0.3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0.90187791691648245</v>
      </c>
      <c r="G215" s="1">
        <f t="shared" ref="G215:L215" si="207">G216</f>
        <v>0.90182699799917021</v>
      </c>
      <c r="H215" s="1">
        <f t="shared" si="207"/>
        <v>0.90183460687170802</v>
      </c>
      <c r="I215" s="1">
        <f t="shared" si="207"/>
        <v>0.90182760903795767</v>
      </c>
      <c r="J215" s="1">
        <f t="shared" si="207"/>
        <v>0.90180045751198468</v>
      </c>
      <c r="K215" s="1">
        <f t="shared" si="207"/>
        <v>0.9017989834345872</v>
      </c>
      <c r="L215" s="1">
        <f t="shared" si="207"/>
        <v>0.90358853154160546</v>
      </c>
      <c r="N215" s="1"/>
    </row>
    <row r="216" spans="1:14" x14ac:dyDescent="0.3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0.90187791691648245</v>
      </c>
      <c r="G216" s="1">
        <f>'[1]Electricity and CHPs'!C$98</f>
        <v>0.90182699799917021</v>
      </c>
      <c r="H216" s="1">
        <f>'[1]Electricity and CHPs'!D$98</f>
        <v>0.90183460687170802</v>
      </c>
      <c r="I216" s="1">
        <f>'[1]Electricity and CHPs'!E$98</f>
        <v>0.90182760903795767</v>
      </c>
      <c r="J216" s="1">
        <f>'[2]Electricity and CHPs'!F$98</f>
        <v>0.90180045751198468</v>
      </c>
      <c r="K216" s="1">
        <f>'[2]Electricity and CHPs'!G$98</f>
        <v>0.9017989834345872</v>
      </c>
      <c r="L216" s="1">
        <f>'[2]Electricity and CHPs'!H$98</f>
        <v>0.90358853154160546</v>
      </c>
      <c r="N216" s="1"/>
    </row>
    <row r="217" spans="1:14" x14ac:dyDescent="0.3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2.9006969043703221</v>
      </c>
      <c r="G217" s="1">
        <f t="shared" ref="G217:L217" si="208">+G218</f>
        <v>7.6011446679458627</v>
      </c>
      <c r="H217" s="1">
        <f t="shared" si="208"/>
        <v>7.5220312876419371</v>
      </c>
      <c r="I217" s="1">
        <f t="shared" si="208"/>
        <v>2.1306640705997935</v>
      </c>
      <c r="J217" s="1">
        <f t="shared" si="208"/>
        <v>1.7123285920381226</v>
      </c>
      <c r="K217" s="1">
        <f t="shared" si="208"/>
        <v>1.6868310652907215</v>
      </c>
      <c r="L217" s="1">
        <f t="shared" si="208"/>
        <v>0.52340229539345329</v>
      </c>
      <c r="N217" s="1"/>
    </row>
    <row r="218" spans="1:14" x14ac:dyDescent="0.3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2.9006969043703221</v>
      </c>
      <c r="G218" s="1">
        <f>'[1]Electricity and CHPs'!C$99</f>
        <v>7.6011446679458627</v>
      </c>
      <c r="H218" s="1">
        <f>'[1]Electricity and CHPs'!D$99</f>
        <v>7.5220312876419371</v>
      </c>
      <c r="I218" s="1">
        <f>'[1]Electricity and CHPs'!E$99</f>
        <v>2.1306640705997935</v>
      </c>
      <c r="J218" s="1">
        <f>'[2]Electricity and CHPs'!F$99</f>
        <v>1.7123285920381226</v>
      </c>
      <c r="K218" s="1">
        <f>'[2]Electricity and CHPs'!G$99</f>
        <v>1.6868310652907215</v>
      </c>
      <c r="L218" s="1">
        <f>'[2]Electricity and CHPs'!H$99</f>
        <v>0.52340229539345329</v>
      </c>
      <c r="N218" s="1"/>
    </row>
    <row r="219" spans="1:14" x14ac:dyDescent="0.3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0.18434257993190098</v>
      </c>
      <c r="G219" s="1">
        <f t="shared" ref="G219:L219" si="209">+G220</f>
        <v>0.18378174247741455</v>
      </c>
      <c r="H219" s="1">
        <f t="shared" si="209"/>
        <v>7.1846489861079567E-3</v>
      </c>
      <c r="I219" s="1">
        <f t="shared" si="209"/>
        <v>8.9284904955794931E-3</v>
      </c>
      <c r="J219" s="1">
        <f t="shared" si="209"/>
        <v>4.3116252019336368E-5</v>
      </c>
      <c r="K219" s="1">
        <f t="shared" si="209"/>
        <v>1.1561557906139955E-4</v>
      </c>
      <c r="L219" s="1">
        <f t="shared" si="209"/>
        <v>3.3829792718287675E-6</v>
      </c>
      <c r="N219" s="1"/>
    </row>
    <row r="220" spans="1:14" x14ac:dyDescent="0.3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0.18434257993190098</v>
      </c>
      <c r="G220" s="1">
        <f>'[1]Electricity and CHPs'!C$100</f>
        <v>0.18378174247741455</v>
      </c>
      <c r="H220" s="1">
        <f>'[1]Electricity and CHPs'!D$100</f>
        <v>7.1846489861079567E-3</v>
      </c>
      <c r="I220" s="1">
        <f>'[1]Electricity and CHPs'!E$100</f>
        <v>8.9284904955794931E-3</v>
      </c>
      <c r="J220" s="1">
        <f>'[2]Electricity and CHPs'!F$100</f>
        <v>4.3116252019336368E-5</v>
      </c>
      <c r="K220" s="1">
        <f>'[2]Electricity and CHPs'!G$100</f>
        <v>1.1561557906139955E-4</v>
      </c>
      <c r="L220" s="1">
        <f>'[2]Electricity and CHPs'!H$100</f>
        <v>3.3829792718287675E-6</v>
      </c>
      <c r="N220" s="1"/>
    </row>
    <row r="221" spans="1:14" x14ac:dyDescent="0.3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0.18434257993190098</v>
      </c>
      <c r="G221" s="1">
        <f t="shared" ref="G221:L221" si="210">G222</f>
        <v>0.18378174247741455</v>
      </c>
      <c r="H221" s="1">
        <f t="shared" si="210"/>
        <v>7.1846489861079567E-3</v>
      </c>
      <c r="I221" s="1">
        <f t="shared" si="210"/>
        <v>8.9284904955794931E-3</v>
      </c>
      <c r="J221" s="1">
        <f t="shared" si="210"/>
        <v>4.3116252019336368E-5</v>
      </c>
      <c r="K221" s="1">
        <f t="shared" si="210"/>
        <v>1.1561557906139955E-4</v>
      </c>
      <c r="L221" s="1">
        <f t="shared" si="210"/>
        <v>3.3829792718287675E-6</v>
      </c>
      <c r="N221" s="1"/>
    </row>
    <row r="222" spans="1:14" x14ac:dyDescent="0.3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0.18434257993190098</v>
      </c>
      <c r="G222" s="1">
        <f t="shared" ref="G222:K222" si="211">G220-G224</f>
        <v>0.18378174247741455</v>
      </c>
      <c r="H222" s="1">
        <f t="shared" si="211"/>
        <v>7.1846489861079567E-3</v>
      </c>
      <c r="I222" s="1">
        <f t="shared" si="211"/>
        <v>8.9284904955794931E-3</v>
      </c>
      <c r="J222" s="1">
        <f t="shared" si="211"/>
        <v>4.3116252019336368E-5</v>
      </c>
      <c r="K222" s="1">
        <f t="shared" si="211"/>
        <v>1.1561557906139955E-4</v>
      </c>
      <c r="L222" s="1">
        <f t="shared" ref="L222" si="212">L220-L224</f>
        <v>3.3829792718287675E-6</v>
      </c>
      <c r="N222" s="1"/>
    </row>
    <row r="223" spans="1:14" x14ac:dyDescent="0.3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L223" si="213">G224</f>
        <v>0</v>
      </c>
      <c r="H223" s="1">
        <f t="shared" si="213"/>
        <v>0</v>
      </c>
      <c r="I223" s="1">
        <f t="shared" si="213"/>
        <v>0</v>
      </c>
      <c r="J223" s="1">
        <f t="shared" si="213"/>
        <v>0</v>
      </c>
      <c r="K223" s="1">
        <f t="shared" si="213"/>
        <v>0</v>
      </c>
      <c r="L223" s="1">
        <f t="shared" si="213"/>
        <v>0</v>
      </c>
      <c r="N223" s="1"/>
    </row>
    <row r="224" spans="1:14" x14ac:dyDescent="0.3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N224" s="1"/>
    </row>
    <row r="225" spans="1:14" x14ac:dyDescent="0.3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2.4517557807960362</v>
      </c>
      <c r="G225" s="1">
        <f t="shared" ref="G225:L225" si="214">+G226</f>
        <v>2.2126698813532819</v>
      </c>
      <c r="H225" s="1">
        <f t="shared" si="214"/>
        <v>1.8971086139180009</v>
      </c>
      <c r="I225" s="1">
        <f t="shared" si="214"/>
        <v>1.71362856189693</v>
      </c>
      <c r="J225" s="1">
        <f t="shared" si="214"/>
        <v>2.3667667897730595</v>
      </c>
      <c r="K225" s="1">
        <f t="shared" si="214"/>
        <v>2.079643581342594</v>
      </c>
      <c r="L225" s="1">
        <f t="shared" si="214"/>
        <v>2.934351378398159</v>
      </c>
      <c r="N225" s="1"/>
    </row>
    <row r="226" spans="1:14" x14ac:dyDescent="0.3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2.4517557807960362</v>
      </c>
      <c r="G226" s="1">
        <f>'[1]Electricity and CHPs'!C$101</f>
        <v>2.2126698813532819</v>
      </c>
      <c r="H226" s="1">
        <f>'[1]Electricity and CHPs'!D$101</f>
        <v>1.8971086139180009</v>
      </c>
      <c r="I226" s="1">
        <f>'[1]Electricity and CHPs'!E$101</f>
        <v>1.71362856189693</v>
      </c>
      <c r="J226" s="1">
        <f>'[2]Electricity and CHPs'!F$101</f>
        <v>2.3667667897730595</v>
      </c>
      <c r="K226" s="1">
        <f>'[2]Electricity and CHPs'!G$101</f>
        <v>2.079643581342594</v>
      </c>
      <c r="L226" s="1">
        <f>'[2]Electricity and CHPs'!H$101</f>
        <v>2.934351378398159</v>
      </c>
      <c r="N226" s="1"/>
    </row>
    <row r="227" spans="1:14" x14ac:dyDescent="0.3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L227" si="215">+G228</f>
        <v>0</v>
      </c>
      <c r="H227" s="1">
        <f t="shared" si="215"/>
        <v>0</v>
      </c>
      <c r="I227" s="1">
        <f t="shared" si="215"/>
        <v>1.2798217833901015E-3</v>
      </c>
      <c r="J227" s="1">
        <f t="shared" si="215"/>
        <v>4.3767603905837741E-5</v>
      </c>
      <c r="K227" s="1">
        <f t="shared" si="215"/>
        <v>4.3592761445811174E-5</v>
      </c>
      <c r="L227" s="1">
        <f t="shared" si="215"/>
        <v>4.4203528919855617E-5</v>
      </c>
      <c r="N227" s="1"/>
    </row>
    <row r="228" spans="1:14" x14ac:dyDescent="0.3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1.2798217833901015E-3</v>
      </c>
      <c r="J228" s="1">
        <f>'[2]Electricity and CHPs'!F$102</f>
        <v>4.3767603905837741E-5</v>
      </c>
      <c r="K228" s="1">
        <f>'[2]Electricity and CHPs'!G$102</f>
        <v>4.3592761445811174E-5</v>
      </c>
      <c r="L228" s="1">
        <f>'[2]Electricity and CHPs'!H$102</f>
        <v>4.4203528919855617E-5</v>
      </c>
      <c r="N228" s="1"/>
    </row>
    <row r="229" spans="1:14" x14ac:dyDescent="0.3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L229" si="216">+G230</f>
        <v>0</v>
      </c>
      <c r="H229" s="1">
        <f t="shared" si="216"/>
        <v>0</v>
      </c>
      <c r="I229" s="1">
        <f t="shared" si="216"/>
        <v>0</v>
      </c>
      <c r="J229" s="1">
        <f t="shared" si="216"/>
        <v>0</v>
      </c>
      <c r="K229" s="1">
        <f t="shared" si="216"/>
        <v>1.0131147414187707E-4</v>
      </c>
      <c r="L229" s="1">
        <f t="shared" si="216"/>
        <v>1.0351081396703227E-4</v>
      </c>
      <c r="N229" s="1"/>
    </row>
    <row r="230" spans="1:14" x14ac:dyDescent="0.3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'[2]Electricity and CHPs'!F$90</f>
        <v>0</v>
      </c>
      <c r="K230" s="1">
        <f>'[2]Electricity and CHPs'!G$90</f>
        <v>1.0131147414187707E-4</v>
      </c>
      <c r="L230" s="1">
        <f>'[2]Electricity and CHPs'!H$90</f>
        <v>1.0351081396703227E-4</v>
      </c>
      <c r="N230" s="1"/>
    </row>
    <row r="231" spans="1:14" x14ac:dyDescent="0.3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L231" si="217">+G232</f>
        <v>4.1398524482292398</v>
      </c>
      <c r="H231" s="1">
        <f t="shared" si="217"/>
        <v>4.2653255612942047</v>
      </c>
      <c r="I231" s="1">
        <f t="shared" si="217"/>
        <v>11.51943336264898</v>
      </c>
      <c r="J231" s="1">
        <f t="shared" si="217"/>
        <v>10.778309860159956</v>
      </c>
      <c r="K231" s="1">
        <f t="shared" si="217"/>
        <v>11.356743469737618</v>
      </c>
      <c r="L231" s="1">
        <f t="shared" si="217"/>
        <v>12.54491257427012</v>
      </c>
      <c r="N231" s="1"/>
    </row>
    <row r="232" spans="1:14" x14ac:dyDescent="0.3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4.1398524482292398</v>
      </c>
      <c r="H232" s="1">
        <f>'[1]Electricity and CHPs'!D$123</f>
        <v>4.2653255612942047</v>
      </c>
      <c r="I232" s="1">
        <f>'[1]Electricity and CHPs'!E$123</f>
        <v>11.51943336264898</v>
      </c>
      <c r="J232" s="1">
        <f>'[2]Electricity and CHPs'!F$123</f>
        <v>10.778309860159956</v>
      </c>
      <c r="K232" s="1">
        <f>'[2]Electricity and CHPs'!G$123</f>
        <v>11.356743469737618</v>
      </c>
      <c r="L232" s="1">
        <f>'[2]Electricity and CHPs'!H$123</f>
        <v>12.54491257427012</v>
      </c>
      <c r="N232" s="1"/>
    </row>
    <row r="233" spans="1:14" x14ac:dyDescent="0.3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6.7584290080191467</v>
      </c>
      <c r="G233" s="1">
        <f t="shared" ref="G233:K233" si="218">SUM(G234,G240,G273,G282,G288)</f>
        <v>8.023123528494672</v>
      </c>
      <c r="H233" s="1">
        <f t="shared" si="218"/>
        <v>7.9384850651831282</v>
      </c>
      <c r="I233" s="1">
        <f t="shared" si="218"/>
        <v>8.1361867281298377</v>
      </c>
      <c r="J233" s="1">
        <f t="shared" si="218"/>
        <v>10.088995315911863</v>
      </c>
      <c r="K233" s="1">
        <f t="shared" si="218"/>
        <v>9.7217311162347819</v>
      </c>
      <c r="L233" s="1">
        <f t="shared" ref="L233" si="219">SUM(L234,L240,L273,L282,L288)</f>
        <v>11.615926849536864</v>
      </c>
      <c r="N233" s="1"/>
    </row>
    <row r="234" spans="1:14" x14ac:dyDescent="0.3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0.9300285020017458</v>
      </c>
      <c r="G234" s="1">
        <f t="shared" ref="G234:L234" si="220">+G235</f>
        <v>2.0129949751913112</v>
      </c>
      <c r="H234" s="1">
        <f t="shared" si="220"/>
        <v>1.3104198277838217</v>
      </c>
      <c r="I234" s="1">
        <f t="shared" si="220"/>
        <v>1.2420320861859517</v>
      </c>
      <c r="J234" s="1">
        <f t="shared" si="220"/>
        <v>0.82677470305929135</v>
      </c>
      <c r="K234" s="1">
        <f t="shared" si="220"/>
        <v>0</v>
      </c>
      <c r="L234" s="1">
        <f t="shared" si="220"/>
        <v>0</v>
      </c>
      <c r="N234" s="1"/>
    </row>
    <row r="235" spans="1:14" x14ac:dyDescent="0.3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0.9300285020017458</v>
      </c>
      <c r="G235" s="1">
        <f>'[1]Electricity and CHPs'!C$104</f>
        <v>2.0129949751913112</v>
      </c>
      <c r="H235" s="1">
        <f>'[1]Electricity and CHPs'!D$104</f>
        <v>1.3104198277838217</v>
      </c>
      <c r="I235" s="1">
        <f>'[1]Electricity and CHPs'!E$104</f>
        <v>1.2420320861859517</v>
      </c>
      <c r="J235" s="1">
        <f>'[2]Electricity and CHPs'!F$104</f>
        <v>0.82677470305929135</v>
      </c>
      <c r="K235" s="1">
        <f>'[2]Electricity and CHPs'!G$104</f>
        <v>0</v>
      </c>
      <c r="L235" s="1">
        <f>'[2]Electricity and CHPs'!H$104</f>
        <v>0</v>
      </c>
      <c r="N235" s="1"/>
    </row>
    <row r="236" spans="1:14" x14ac:dyDescent="0.3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0.9300285020017458</v>
      </c>
      <c r="G236" s="1">
        <f t="shared" ref="G236:L236" si="221">G237</f>
        <v>2.0129949751913112</v>
      </c>
      <c r="H236" s="1">
        <f t="shared" si="221"/>
        <v>1.3104198277838217</v>
      </c>
      <c r="I236" s="1">
        <f t="shared" si="221"/>
        <v>1.2420320861859517</v>
      </c>
      <c r="J236" s="1">
        <f t="shared" si="221"/>
        <v>0.82677470305929135</v>
      </c>
      <c r="K236" s="1">
        <f t="shared" si="221"/>
        <v>0</v>
      </c>
      <c r="L236" s="1">
        <f t="shared" si="221"/>
        <v>0</v>
      </c>
      <c r="N236" s="1"/>
    </row>
    <row r="237" spans="1:14" x14ac:dyDescent="0.3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0.9300285020017458</v>
      </c>
      <c r="G237" s="1">
        <f t="shared" ref="G237:K237" si="222">G235-G239</f>
        <v>2.0129949751913112</v>
      </c>
      <c r="H237" s="1">
        <f t="shared" si="222"/>
        <v>1.3104198277838217</v>
      </c>
      <c r="I237" s="1">
        <f t="shared" si="222"/>
        <v>1.2420320861859517</v>
      </c>
      <c r="J237" s="1">
        <f t="shared" si="222"/>
        <v>0.82677470305929135</v>
      </c>
      <c r="K237" s="1">
        <f t="shared" si="222"/>
        <v>0</v>
      </c>
      <c r="L237" s="1">
        <f t="shared" ref="L237" si="223">L235-L239</f>
        <v>0</v>
      </c>
      <c r="N237" s="1"/>
    </row>
    <row r="238" spans="1:14" x14ac:dyDescent="0.3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L238" si="224">G239</f>
        <v>0</v>
      </c>
      <c r="H238" s="1">
        <f t="shared" si="224"/>
        <v>0</v>
      </c>
      <c r="I238" s="1">
        <f t="shared" si="224"/>
        <v>0</v>
      </c>
      <c r="J238" s="1">
        <f t="shared" si="224"/>
        <v>0</v>
      </c>
      <c r="K238" s="1">
        <f t="shared" si="224"/>
        <v>0</v>
      </c>
      <c r="L238" s="1">
        <f t="shared" si="224"/>
        <v>0</v>
      </c>
      <c r="N238" s="1"/>
    </row>
    <row r="239" spans="1:14" x14ac:dyDescent="0.3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25">F235*IFERROR(F81/F77,0)</f>
        <v>0</v>
      </c>
      <c r="G239" s="1">
        <f t="shared" si="225"/>
        <v>0</v>
      </c>
      <c r="H239" s="1">
        <f t="shared" si="225"/>
        <v>0</v>
      </c>
      <c r="I239" s="1">
        <f t="shared" si="225"/>
        <v>0</v>
      </c>
      <c r="J239" s="1">
        <f t="shared" si="225"/>
        <v>0</v>
      </c>
      <c r="K239" s="1">
        <f t="shared" si="225"/>
        <v>0</v>
      </c>
      <c r="L239" s="1">
        <f t="shared" ref="L239" si="226">L235*IFERROR(L81/L77,0)</f>
        <v>0</v>
      </c>
      <c r="N239" s="1"/>
    </row>
    <row r="240" spans="1:14" x14ac:dyDescent="0.3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3.2327930458800709</v>
      </c>
      <c r="G240" s="1">
        <f t="shared" ref="G240:K240" si="227">SUM(G241:G250)</f>
        <v>2.6405540594058534</v>
      </c>
      <c r="H240" s="1">
        <f t="shared" si="227"/>
        <v>2.8172325753872802</v>
      </c>
      <c r="I240" s="1">
        <f t="shared" si="227"/>
        <v>1.384172392571495</v>
      </c>
      <c r="J240" s="1">
        <f t="shared" si="227"/>
        <v>2.191211470913093</v>
      </c>
      <c r="K240" s="1">
        <f t="shared" si="227"/>
        <v>1.1274412811497212</v>
      </c>
      <c r="L240" s="1">
        <f t="shared" ref="L240" si="228">SUM(L241:L250)</f>
        <v>1.7462033568181918</v>
      </c>
      <c r="N240" s="1"/>
    </row>
    <row r="241" spans="1:14" x14ac:dyDescent="0.3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0.90562911982897554</v>
      </c>
      <c r="G241" s="1">
        <f>'[1]Electricity and CHPs_IN'!C$39*0.75-G88-G242</f>
        <v>0.24638617604288288</v>
      </c>
      <c r="H241" s="1">
        <f>'[1]Electricity and CHPs_IN'!D$39*0.75-H88-H242</f>
        <v>0.53893559510488798</v>
      </c>
      <c r="I241" s="1">
        <f>'[1]Electricity and CHPs_IN'!E$39*0.75-I88-I242</f>
        <v>5.9199724522254069E-2</v>
      </c>
      <c r="J241" s="1">
        <f>'[2]Electricity and CHPs'!F$103-J242</f>
        <v>0.99017178697618213</v>
      </c>
      <c r="K241" s="1">
        <f>'[2]Electricity and CHPs'!G$103-K242</f>
        <v>9.8717981992007445E-2</v>
      </c>
      <c r="L241" s="1">
        <f>'[2]Electricity and CHPs'!H$103-L242</f>
        <v>0.46897505975242354</v>
      </c>
      <c r="N241" s="1"/>
    </row>
    <row r="242" spans="1:14" x14ac:dyDescent="0.3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SUMPRODUCT((ISNUMBER(SEARCH("ITOT-CHPNGACCS",[2]OUT_Electricity_CHP!$B$1:$B$10000)))*1,([2]OUT_Electricity_CHP!$C$1:$C$10000="Var_Fout")*1,([2]OUT_Electricity_CHP!$D$1:$D$10000="ITOT_LTH_CHP")*1,[2]OUT_Electricity_CHP!I$1:I$10000)</f>
        <v>0</v>
      </c>
      <c r="K242" s="1" cm="1">
        <f t="array" ref="K242">SUMPRODUCT((ISNUMBER(SEARCH("ITOT-CHPNGACCS",[2]OUT_Electricity_CHP!$B$1:$B$10000)))*1,([2]OUT_Electricity_CHP!$C$1:$C$10000="Var_Fout")*1,([2]OUT_Electricity_CHP!$D$1:$D$10000="ITOT_LTH_CHP")*1,[2]OUT_Electricity_CHP!J$1:J$10000)</f>
        <v>1.4909845983742825E-2</v>
      </c>
      <c r="L242" s="1" cm="1">
        <f t="array" ref="L242">SUMPRODUCT((ISNUMBER(SEARCH("ITOT-CHPNGACCS",[2]OUT_Electricity_CHP!$B$1:$B$10000)))*1,([2]OUT_Electricity_CHP!$C$1:$C$10000="Var_Fout")*1,([2]OUT_Electricity_CHP!$D$1:$D$10000="ITOT_LTH_CHP")*1,[2]OUT_Electricity_CHP!K$1:K$10000)</f>
        <v>0.27116831110628087</v>
      </c>
      <c r="N242" s="1"/>
    </row>
    <row r="243" spans="1:14" x14ac:dyDescent="0.3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0</v>
      </c>
      <c r="J243" s="1">
        <f>'[2]Electricity and CHPs'!F$107</f>
        <v>8.904154527336767E-4</v>
      </c>
      <c r="K243" s="1">
        <f>'[2]Electricity and CHPs'!G$107</f>
        <v>6.3410372981654727E-4</v>
      </c>
      <c r="L243" s="1">
        <f>'[2]Electricity and CHPs'!H$107</f>
        <v>1.409966287433313E-4</v>
      </c>
      <c r="N243" s="1"/>
    </row>
    <row r="244" spans="1:14" x14ac:dyDescent="0.3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9.5466489765268031E-2</v>
      </c>
      <c r="G244" s="1">
        <f>'[1]Electricity and CHPs'!C$109</f>
        <v>2.8622183062037208E-2</v>
      </c>
      <c r="H244" s="1">
        <f>'[1]Electricity and CHPs'!D$109</f>
        <v>4.1406476263365882E-2</v>
      </c>
      <c r="I244" s="1">
        <f>'[1]Electricity and CHPs'!E$109</f>
        <v>0</v>
      </c>
      <c r="J244" s="1">
        <f>'[2]Electricity and CHPs'!F$109</f>
        <v>1.1053661046194586E-2</v>
      </c>
      <c r="K244" s="1">
        <f>'[2]Electricity and CHPs'!G$109</f>
        <v>2.5106564122497356E-3</v>
      </c>
      <c r="L244" s="1">
        <f>'[2]Electricity and CHPs'!H$109</f>
        <v>0</v>
      </c>
      <c r="N244" s="1"/>
    </row>
    <row r="245" spans="1:14" x14ac:dyDescent="0.3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'[2]Electricity and CHPs'!F$111</f>
        <v>0</v>
      </c>
      <c r="K245" s="1">
        <f>'[2]Electricity and CHPs'!G$111</f>
        <v>0</v>
      </c>
      <c r="L245" s="1">
        <f>'[2]Electricity and CHPs'!H$111</f>
        <v>0</v>
      </c>
      <c r="N245" s="1"/>
    </row>
    <row r="246" spans="1:14" x14ac:dyDescent="0.3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0.11441667339215134</v>
      </c>
      <c r="G246" s="1">
        <f>'[1]Electricity and CHPs'!C$112</f>
        <v>3.539099865800819E-2</v>
      </c>
      <c r="H246" s="1">
        <f>'[1]Electricity and CHPs'!D$112</f>
        <v>8.2109750926786962E-2</v>
      </c>
      <c r="I246" s="1">
        <f>'[1]Electricity and CHPs'!E$112</f>
        <v>0</v>
      </c>
      <c r="J246" s="1">
        <f>'[2]Electricity and CHPs'!F$112</f>
        <v>1.9799881619811548E-2</v>
      </c>
      <c r="K246" s="1">
        <f>'[2]Electricity and CHPs'!G$112</f>
        <v>3.881499794985103E-3</v>
      </c>
      <c r="L246" s="1">
        <f>'[2]Electricity and CHPs'!H$112</f>
        <v>0</v>
      </c>
      <c r="N246" s="1"/>
    </row>
    <row r="247" spans="1:14" x14ac:dyDescent="0.3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'[2]Electricity and CHPs'!F$114</f>
        <v>0</v>
      </c>
      <c r="K247" s="1">
        <f>'[2]Electricity and CHPs'!G$114</f>
        <v>0</v>
      </c>
      <c r="L247" s="1">
        <f>'[2]Electricity and CHPs'!H$114</f>
        <v>0</v>
      </c>
      <c r="N247" s="1"/>
    </row>
    <row r="248" spans="1:14" x14ac:dyDescent="0.3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1.4244197113477317</v>
      </c>
      <c r="G248" s="1">
        <f>'[1]Electricity and CHPs'!C$115</f>
        <v>1.5790260566022303</v>
      </c>
      <c r="H248" s="1">
        <f>'[1]Electricity and CHPs'!D$115</f>
        <v>1.4835438423017189</v>
      </c>
      <c r="I248" s="1">
        <f>'[1]Electricity and CHPs'!E$115</f>
        <v>1.3249726680492411</v>
      </c>
      <c r="J248" s="1">
        <f>'[2]Electricity and CHPs'!F$115</f>
        <v>1.1649253894596705</v>
      </c>
      <c r="K248" s="1">
        <f>'[2]Electricity and CHPs'!G$115</f>
        <v>1.0059190530183821</v>
      </c>
      <c r="L248" s="1">
        <f>'[2]Electricity and CHPs'!H$115</f>
        <v>1.0059189893307441</v>
      </c>
      <c r="N248" s="1"/>
    </row>
    <row r="249" spans="1:14" x14ac:dyDescent="0.3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0.69286105154594424</v>
      </c>
      <c r="G249" s="1">
        <f>'[1]Electricity and CHPs'!C$116</f>
        <v>0.75112864504069488</v>
      </c>
      <c r="H249" s="1">
        <f>'[1]Electricity and CHPs'!D$116</f>
        <v>0.67123691079052017</v>
      </c>
      <c r="I249" s="1">
        <f>'[1]Electricity and CHPs'!E$116</f>
        <v>0</v>
      </c>
      <c r="J249" s="1">
        <f>'[2]Electricity and CHPs'!F$116</f>
        <v>4.3703363585002371E-3</v>
      </c>
      <c r="K249" s="1">
        <f>'[2]Electricity and CHPs'!G$116</f>
        <v>8.6814021853723778E-4</v>
      </c>
      <c r="L249" s="1">
        <f>'[2]Electricity and CHPs'!H$116</f>
        <v>0</v>
      </c>
      <c r="N249" s="1"/>
    </row>
    <row r="250" spans="1:14" x14ac:dyDescent="0.3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0</v>
      </c>
      <c r="J250" s="1">
        <f>'[2]Electricity and CHPs'!F$118</f>
        <v>0</v>
      </c>
      <c r="K250" s="1">
        <f>'[2]Electricity and CHPs'!G$118</f>
        <v>0</v>
      </c>
      <c r="L250" s="1">
        <f>'[2]Electricity and CHPs'!H$118</f>
        <v>0</v>
      </c>
      <c r="N250" s="1"/>
    </row>
    <row r="251" spans="1:14" x14ac:dyDescent="0.3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1.7627367400822558</v>
      </c>
      <c r="G251" s="1">
        <f t="shared" ref="G251:K251" si="229">SUM(G252:G261)</f>
        <v>1.0248519945902437</v>
      </c>
      <c r="H251" s="1">
        <f t="shared" si="229"/>
        <v>1.2616456892140615</v>
      </c>
      <c r="I251" s="1">
        <f t="shared" si="229"/>
        <v>5.3128671674037745E-2</v>
      </c>
      <c r="J251" s="1">
        <f t="shared" si="229"/>
        <v>0.83331337457342647</v>
      </c>
      <c r="K251" s="1">
        <f t="shared" si="229"/>
        <v>7.2674134518445441E-2</v>
      </c>
      <c r="L251" s="1">
        <f t="shared" ref="L251" si="230">SUM(L252:L261)</f>
        <v>0.2708449113937611</v>
      </c>
      <c r="N251" s="1"/>
    </row>
    <row r="252" spans="1:14" x14ac:dyDescent="0.3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1">F241-F263</f>
        <v>0.88277442048421373</v>
      </c>
      <c r="G252" s="1">
        <f t="shared" si="231"/>
        <v>0.23787348359167521</v>
      </c>
      <c r="H252" s="1">
        <f t="shared" si="231"/>
        <v>0.50982343440437228</v>
      </c>
      <c r="I252" s="1">
        <f t="shared" si="231"/>
        <v>5.3128671674037745E-2</v>
      </c>
      <c r="J252" s="1">
        <f t="shared" si="231"/>
        <v>0.80398965563674607</v>
      </c>
      <c r="K252" s="1">
        <f t="shared" si="231"/>
        <v>5.9036474338857906E-2</v>
      </c>
      <c r="L252" s="1">
        <f t="shared" ref="L252" si="232">L241-L263</f>
        <v>0.17158204884919809</v>
      </c>
      <c r="N252" s="1"/>
    </row>
    <row r="253" spans="1:14" x14ac:dyDescent="0.3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1"/>
        <v>0</v>
      </c>
      <c r="G253" s="1">
        <f t="shared" si="231"/>
        <v>0</v>
      </c>
      <c r="H253" s="1">
        <f t="shared" si="231"/>
        <v>0</v>
      </c>
      <c r="I253" s="1">
        <f t="shared" si="231"/>
        <v>0</v>
      </c>
      <c r="J253" s="1">
        <f t="shared" si="231"/>
        <v>0</v>
      </c>
      <c r="K253" s="1">
        <f t="shared" si="231"/>
        <v>8.9165592939979554E-3</v>
      </c>
      <c r="L253" s="1">
        <f t="shared" ref="L253" si="233">L242-L264</f>
        <v>9.9211276666087117E-2</v>
      </c>
      <c r="N253" s="1"/>
    </row>
    <row r="254" spans="1:14" x14ac:dyDescent="0.3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1"/>
        <v>0</v>
      </c>
      <c r="G254" s="1">
        <f t="shared" si="231"/>
        <v>0</v>
      </c>
      <c r="H254" s="1">
        <f t="shared" si="231"/>
        <v>0</v>
      </c>
      <c r="I254" s="1">
        <f t="shared" si="231"/>
        <v>0</v>
      </c>
      <c r="J254" s="1">
        <f t="shared" si="231"/>
        <v>7.2299051804250827E-4</v>
      </c>
      <c r="K254" s="1">
        <f t="shared" si="231"/>
        <v>3.7921407851023104E-4</v>
      </c>
      <c r="L254" s="1">
        <f t="shared" ref="L254" si="234">L243-L265</f>
        <v>5.1585878475887332E-5</v>
      </c>
      <c r="N254" s="1"/>
    </row>
    <row r="255" spans="1:14" x14ac:dyDescent="0.3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9.3057271826806634E-2</v>
      </c>
      <c r="G255" s="1">
        <f t="shared" ref="G255:K255" si="235">G244-G266</f>
        <v>2.7633280820838085E-2</v>
      </c>
      <c r="H255" s="1">
        <f t="shared" si="235"/>
        <v>3.9169786013232011E-2</v>
      </c>
      <c r="I255" s="1">
        <f t="shared" si="235"/>
        <v>0</v>
      </c>
      <c r="J255" s="1">
        <f t="shared" si="235"/>
        <v>8.9752397058239647E-3</v>
      </c>
      <c r="K255" s="1">
        <f t="shared" si="235"/>
        <v>1.5014519124537109E-3</v>
      </c>
      <c r="L255" s="1">
        <f t="shared" ref="L255" si="236">L244-L266</f>
        <v>0</v>
      </c>
      <c r="N255" s="1"/>
    </row>
    <row r="256" spans="1:14" x14ac:dyDescent="0.3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37">F245-F267</f>
        <v>0</v>
      </c>
      <c r="G256" s="1">
        <f t="shared" si="237"/>
        <v>0</v>
      </c>
      <c r="H256" s="1">
        <f t="shared" si="237"/>
        <v>0</v>
      </c>
      <c r="I256" s="1">
        <f t="shared" si="237"/>
        <v>0</v>
      </c>
      <c r="J256" s="1">
        <f t="shared" si="237"/>
        <v>0</v>
      </c>
      <c r="K256" s="1">
        <f t="shared" si="237"/>
        <v>0</v>
      </c>
      <c r="L256" s="1">
        <f t="shared" ref="L256" si="238">L245-L267</f>
        <v>0</v>
      </c>
      <c r="N256" s="1"/>
    </row>
    <row r="257" spans="1:18" x14ac:dyDescent="0.3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39">F246-F268</f>
        <v>0.1115292235375141</v>
      </c>
      <c r="G257" s="1">
        <f t="shared" si="239"/>
        <v>3.4168232462455518E-2</v>
      </c>
      <c r="H257" s="1">
        <f t="shared" si="239"/>
        <v>7.7674355889287672E-2</v>
      </c>
      <c r="I257" s="1">
        <f t="shared" si="239"/>
        <v>0</v>
      </c>
      <c r="J257" s="1">
        <f t="shared" si="239"/>
        <v>1.6076907274619752E-2</v>
      </c>
      <c r="K257" s="1">
        <f t="shared" si="239"/>
        <v>2.3212595964681795E-3</v>
      </c>
      <c r="L257" s="1">
        <f t="shared" ref="L257" si="240">L246-L268</f>
        <v>0</v>
      </c>
      <c r="N257" s="1"/>
    </row>
    <row r="258" spans="1:18" x14ac:dyDescent="0.3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41">F247-F269</f>
        <v>0</v>
      </c>
      <c r="G258" s="1">
        <f t="shared" si="241"/>
        <v>0</v>
      </c>
      <c r="H258" s="1">
        <f t="shared" si="241"/>
        <v>0</v>
      </c>
      <c r="I258" s="1">
        <f t="shared" si="241"/>
        <v>0</v>
      </c>
      <c r="J258" s="1">
        <f t="shared" si="241"/>
        <v>0</v>
      </c>
      <c r="K258" s="1">
        <f t="shared" si="241"/>
        <v>0</v>
      </c>
      <c r="L258" s="1">
        <f t="shared" ref="L258" si="242">L247-L269</f>
        <v>0</v>
      </c>
      <c r="N258" s="1"/>
    </row>
    <row r="259" spans="1:18" x14ac:dyDescent="0.3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41"/>
        <v>0</v>
      </c>
      <c r="G259" s="1">
        <f t="shared" ref="G259:K259" si="243">G248-G270</f>
        <v>0</v>
      </c>
      <c r="H259" s="1">
        <f t="shared" si="243"/>
        <v>0</v>
      </c>
      <c r="I259" s="1">
        <f t="shared" si="243"/>
        <v>0</v>
      </c>
      <c r="J259" s="1">
        <f t="shared" si="243"/>
        <v>0</v>
      </c>
      <c r="K259" s="1">
        <f t="shared" si="243"/>
        <v>0</v>
      </c>
      <c r="L259" s="1">
        <f t="shared" ref="L259" si="244">L248-L270</f>
        <v>0</v>
      </c>
      <c r="N259" s="1"/>
    </row>
    <row r="260" spans="1:18" x14ac:dyDescent="0.3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45">F249-F271</f>
        <v>0.67537582423372122</v>
      </c>
      <c r="G260" s="1">
        <f t="shared" si="245"/>
        <v>0.72517699771527477</v>
      </c>
      <c r="H260" s="1">
        <f t="shared" si="245"/>
        <v>0.63497811290716966</v>
      </c>
      <c r="I260" s="1">
        <f t="shared" si="245"/>
        <v>0</v>
      </c>
      <c r="J260" s="1">
        <f t="shared" si="245"/>
        <v>3.5485814381942958E-3</v>
      </c>
      <c r="K260" s="1">
        <f t="shared" si="245"/>
        <v>5.1917529815746918E-4</v>
      </c>
      <c r="L260" s="1">
        <f t="shared" ref="L260" si="246">L249-L271</f>
        <v>0</v>
      </c>
      <c r="N260" s="1"/>
    </row>
    <row r="261" spans="1:18" x14ac:dyDescent="0.3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47">F250-F272</f>
        <v>0</v>
      </c>
      <c r="G261" s="1">
        <f t="shared" si="247"/>
        <v>0</v>
      </c>
      <c r="H261" s="1">
        <f t="shared" si="247"/>
        <v>0</v>
      </c>
      <c r="I261" s="1">
        <f t="shared" si="247"/>
        <v>0</v>
      </c>
      <c r="J261" s="1">
        <f t="shared" si="247"/>
        <v>0</v>
      </c>
      <c r="K261" s="1">
        <f t="shared" si="247"/>
        <v>0</v>
      </c>
      <c r="L261" s="1">
        <f t="shared" ref="L261" si="248">L250-L272</f>
        <v>0</v>
      </c>
      <c r="N261" s="1"/>
    </row>
    <row r="262" spans="1:18" x14ac:dyDescent="0.3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1.4700563057978151</v>
      </c>
      <c r="G262" s="1">
        <f t="shared" ref="G262:K262" si="249">SUM(G263:G272)</f>
        <v>1.61570206481561</v>
      </c>
      <c r="H262" s="1">
        <f t="shared" si="249"/>
        <v>1.5555868861732183</v>
      </c>
      <c r="I262" s="1">
        <f t="shared" si="249"/>
        <v>1.3310437208974575</v>
      </c>
      <c r="J262" s="1">
        <f t="shared" si="249"/>
        <v>1.3578980963396661</v>
      </c>
      <c r="K262" s="1">
        <f t="shared" si="249"/>
        <v>1.0547671466312756</v>
      </c>
      <c r="L262" s="1">
        <f t="shared" ref="L262" si="250">SUM(L263:L272)</f>
        <v>1.4753584454244306</v>
      </c>
      <c r="M262" s="1"/>
      <c r="N262" s="1"/>
      <c r="O262" s="1"/>
      <c r="P262" s="1"/>
      <c r="Q262" s="1"/>
      <c r="R262" s="1"/>
    </row>
    <row r="263" spans="1:18" x14ac:dyDescent="0.3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51">F241*IFERROR(F120/F88,0)</f>
        <v>2.2854699344761784E-2</v>
      </c>
      <c r="G263" s="1">
        <f t="shared" si="251"/>
        <v>8.5126924512076776E-3</v>
      </c>
      <c r="H263" s="1">
        <f t="shared" si="251"/>
        <v>2.9112160700515737E-2</v>
      </c>
      <c r="I263" s="1">
        <f t="shared" si="251"/>
        <v>6.0710528482163205E-3</v>
      </c>
      <c r="J263" s="1">
        <f t="shared" si="251"/>
        <v>0.18618213133943612</v>
      </c>
      <c r="K263" s="1">
        <f t="shared" si="251"/>
        <v>3.9681507653149539E-2</v>
      </c>
      <c r="L263" s="1">
        <f t="shared" ref="L263" si="252">L241*IFERROR(L120/L88,0)</f>
        <v>0.29739301090322545</v>
      </c>
      <c r="N263" s="1"/>
    </row>
    <row r="264" spans="1:18" x14ac:dyDescent="0.3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51"/>
        <v>0</v>
      </c>
      <c r="G264" s="1">
        <f t="shared" si="251"/>
        <v>0</v>
      </c>
      <c r="H264" s="1">
        <f t="shared" si="251"/>
        <v>0</v>
      </c>
      <c r="I264" s="1">
        <f t="shared" si="251"/>
        <v>0</v>
      </c>
      <c r="J264" s="1">
        <f t="shared" si="251"/>
        <v>0</v>
      </c>
      <c r="K264" s="1">
        <f t="shared" si="251"/>
        <v>5.9932866897448693E-3</v>
      </c>
      <c r="L264" s="1">
        <f t="shared" ref="L264" si="253">L242*IFERROR(L121/L89,0)</f>
        <v>0.17195703444019375</v>
      </c>
      <c r="N264" s="1"/>
    </row>
    <row r="265" spans="1:18" x14ac:dyDescent="0.3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51"/>
        <v>0</v>
      </c>
      <c r="G265" s="1">
        <f t="shared" si="251"/>
        <v>0</v>
      </c>
      <c r="H265" s="1">
        <f t="shared" si="251"/>
        <v>0</v>
      </c>
      <c r="I265" s="1">
        <f t="shared" si="251"/>
        <v>0</v>
      </c>
      <c r="J265" s="1">
        <f t="shared" si="251"/>
        <v>1.6742493469116846E-4</v>
      </c>
      <c r="K265" s="1">
        <f t="shared" si="251"/>
        <v>2.5488965130631623E-4</v>
      </c>
      <c r="L265" s="1">
        <f t="shared" ref="L265" si="254">L243*IFERROR(L122/L90,0)</f>
        <v>8.9410750267443969E-5</v>
      </c>
      <c r="N265" s="1"/>
    </row>
    <row r="266" spans="1:18" x14ac:dyDescent="0.3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51"/>
        <v>2.4092179384614027E-3</v>
      </c>
      <c r="G266" s="1">
        <f t="shared" si="251"/>
        <v>9.8890224119912236E-4</v>
      </c>
      <c r="H266" s="1">
        <f t="shared" si="251"/>
        <v>2.2366902501338697E-3</v>
      </c>
      <c r="I266" s="1">
        <f t="shared" si="251"/>
        <v>0</v>
      </c>
      <c r="J266" s="1">
        <f t="shared" si="251"/>
        <v>2.0784213403706206E-3</v>
      </c>
      <c r="K266" s="1">
        <f t="shared" si="251"/>
        <v>1.0092044997960248E-3</v>
      </c>
      <c r="L266" s="1">
        <f t="shared" ref="L266" si="255">L244*IFERROR(L123/L91,0)</f>
        <v>0</v>
      </c>
      <c r="N266" s="1"/>
    </row>
    <row r="267" spans="1:18" x14ac:dyDescent="0.3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51"/>
        <v>0</v>
      </c>
      <c r="G267" s="1">
        <f t="shared" si="251"/>
        <v>0</v>
      </c>
      <c r="H267" s="1">
        <f t="shared" si="251"/>
        <v>0</v>
      </c>
      <c r="I267" s="1">
        <f t="shared" si="251"/>
        <v>0</v>
      </c>
      <c r="J267" s="1">
        <f t="shared" si="251"/>
        <v>0</v>
      </c>
      <c r="K267" s="1">
        <f t="shared" si="251"/>
        <v>0</v>
      </c>
      <c r="L267" s="1">
        <f t="shared" ref="L267" si="256">L245*IFERROR(L124/L92,0)</f>
        <v>0</v>
      </c>
      <c r="N267" s="1"/>
    </row>
    <row r="268" spans="1:18" x14ac:dyDescent="0.3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51"/>
        <v>2.8874498546372367E-3</v>
      </c>
      <c r="G268" s="1">
        <f t="shared" si="251"/>
        <v>1.2227661955526742E-3</v>
      </c>
      <c r="H268" s="1">
        <f t="shared" si="251"/>
        <v>4.4353950374992832E-3</v>
      </c>
      <c r="I268" s="1">
        <f t="shared" si="251"/>
        <v>0</v>
      </c>
      <c r="J268" s="1">
        <f t="shared" si="251"/>
        <v>3.7229743451917944E-3</v>
      </c>
      <c r="K268" s="1">
        <f t="shared" si="251"/>
        <v>1.5602401985169232E-3</v>
      </c>
      <c r="L268" s="1">
        <f t="shared" ref="L268" si="257">L246*IFERROR(L125/L93,0)</f>
        <v>0</v>
      </c>
      <c r="N268" s="1"/>
    </row>
    <row r="269" spans="1:18" x14ac:dyDescent="0.3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51"/>
        <v>0</v>
      </c>
      <c r="G269" s="1">
        <f t="shared" si="251"/>
        <v>0</v>
      </c>
      <c r="H269" s="1">
        <f t="shared" si="251"/>
        <v>0</v>
      </c>
      <c r="I269" s="1">
        <f t="shared" si="251"/>
        <v>0</v>
      </c>
      <c r="J269" s="1">
        <f t="shared" si="251"/>
        <v>0</v>
      </c>
      <c r="K269" s="1">
        <f t="shared" si="251"/>
        <v>0</v>
      </c>
      <c r="L269" s="1">
        <f t="shared" ref="L269" si="258">L247*IFERROR(L126/L94,0)</f>
        <v>0</v>
      </c>
      <c r="N269" s="1"/>
    </row>
    <row r="270" spans="1:18" x14ac:dyDescent="0.3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51"/>
        <v>1.4244197113477317</v>
      </c>
      <c r="G270" s="1">
        <f t="shared" si="251"/>
        <v>1.5790260566022303</v>
      </c>
      <c r="H270" s="1">
        <f t="shared" si="251"/>
        <v>1.4835438423017189</v>
      </c>
      <c r="I270" s="1">
        <f t="shared" si="251"/>
        <v>1.3249726680492411</v>
      </c>
      <c r="J270" s="1">
        <f t="shared" si="251"/>
        <v>1.1649253894596705</v>
      </c>
      <c r="K270" s="1">
        <f t="shared" si="251"/>
        <v>1.0059190530183821</v>
      </c>
      <c r="L270" s="1">
        <f t="shared" ref="L270" si="259">L248*IFERROR(L127/L95,0)</f>
        <v>1.0059189893307441</v>
      </c>
      <c r="N270" s="1"/>
    </row>
    <row r="271" spans="1:18" x14ac:dyDescent="0.3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51"/>
        <v>1.7485227312222972E-2</v>
      </c>
      <c r="G271" s="1">
        <f t="shared" si="251"/>
        <v>2.5951647325420126E-2</v>
      </c>
      <c r="H271" s="1">
        <f t="shared" si="251"/>
        <v>3.6258797883350527E-2</v>
      </c>
      <c r="I271" s="1">
        <f t="shared" si="251"/>
        <v>0</v>
      </c>
      <c r="J271" s="1">
        <f t="shared" si="251"/>
        <v>8.2175492030594132E-4</v>
      </c>
      <c r="K271" s="1">
        <f t="shared" si="251"/>
        <v>3.4896492037976866E-4</v>
      </c>
      <c r="L271" s="1">
        <f t="shared" ref="L271" si="260">L249*IFERROR(L128/L96,0)</f>
        <v>0</v>
      </c>
      <c r="N271" s="1"/>
    </row>
    <row r="272" spans="1:18" x14ac:dyDescent="0.3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51"/>
        <v>0</v>
      </c>
      <c r="G272" s="1">
        <f t="shared" si="251"/>
        <v>0</v>
      </c>
      <c r="H272" s="1">
        <f t="shared" si="251"/>
        <v>0</v>
      </c>
      <c r="I272" s="1">
        <f t="shared" si="251"/>
        <v>0</v>
      </c>
      <c r="J272" s="1">
        <f t="shared" si="251"/>
        <v>0</v>
      </c>
      <c r="K272" s="1">
        <f t="shared" si="251"/>
        <v>0</v>
      </c>
      <c r="L272" s="1">
        <f t="shared" ref="L272" si="261">L250*IFERROR(L129/L97,0)</f>
        <v>0</v>
      </c>
      <c r="N272" s="1"/>
    </row>
    <row r="273" spans="1:14" x14ac:dyDescent="0.3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1.9356600170775753</v>
      </c>
      <c r="G273" s="1">
        <f t="shared" ref="G273:K273" si="262">SUM(G274:G275)</f>
        <v>1.9671878820404487</v>
      </c>
      <c r="H273" s="1">
        <f t="shared" si="262"/>
        <v>9.6382372040252254E-2</v>
      </c>
      <c r="I273" s="1">
        <f t="shared" si="262"/>
        <v>9.748796287784349E-2</v>
      </c>
      <c r="J273" s="1">
        <f t="shared" si="262"/>
        <v>6.0203147379527333E-3</v>
      </c>
      <c r="K273" s="1">
        <f t="shared" si="262"/>
        <v>0.57167478032725549</v>
      </c>
      <c r="L273" s="1">
        <f t="shared" ref="L273" si="263">SUM(L274:L275)</f>
        <v>1.0904296334058041</v>
      </c>
      <c r="N273" s="1"/>
    </row>
    <row r="274" spans="1:14" x14ac:dyDescent="0.3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1.9356600170775753</v>
      </c>
      <c r="G274" s="1">
        <f>'[1]Electricity and CHPs'!C$106-G275</f>
        <v>1.9671878820404487</v>
      </c>
      <c r="H274" s="1">
        <f>'[1]Electricity and CHPs'!D$106-H275</f>
        <v>9.6382372040252254E-2</v>
      </c>
      <c r="I274" s="1">
        <f>'[1]Electricity and CHPs'!E$106-I275</f>
        <v>9.748796287784349E-2</v>
      </c>
      <c r="J274" s="1">
        <f>'[2]Electricity and CHPs'!F$106-J275</f>
        <v>6.0203147379527333E-3</v>
      </c>
      <c r="K274" s="1">
        <f>'[2]Electricity and CHPs'!G$106-K275</f>
        <v>2.4494425420810151E-3</v>
      </c>
      <c r="L274" s="1">
        <f>'[2]Electricity and CHPs'!H$106-L275</f>
        <v>3.3230729632127698E-4</v>
      </c>
      <c r="N274" s="1"/>
    </row>
    <row r="275" spans="1:14" x14ac:dyDescent="0.3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SUMPRODUCT((ISNUMBER(SEARCH("itot*CHPWST*ccs*",[2]OUT_Electricity_CHP!$B$1:$B$10000)))*1,([2]OUT_Electricity_CHP!$C$1:$C$10000="Var_Fout")*1,+([2]OUT_Electricity_CHP!$D$1:$D$10000="ITOT_LTH_CHP")*1,[2]OUT_Electricity_CHP!I$1:I$10000)</f>
        <v>0</v>
      </c>
      <c r="K275" s="10" cm="1">
        <f t="array" ref="K275">SUMPRODUCT((ISNUMBER(SEARCH("itot*CHPWST*ccs*",[2]OUT_Electricity_CHP!$B$1:$B$10000)))*1,([2]OUT_Electricity_CHP!$C$1:$C$10000="Var_Fout")*1,+([2]OUT_Electricity_CHP!$D$1:$D$10000="ITOT_LTH_CHP")*1,[2]OUT_Electricity_CHP!J$1:J$10000)</f>
        <v>0.56922533778517448</v>
      </c>
      <c r="L275" s="10" cm="1">
        <f t="array" ref="L275">SUMPRODUCT((ISNUMBER(SEARCH("itot*CHPWST*ccs*",[2]OUT_Electricity_CHP!$B$1:$B$10000)))*1,([2]OUT_Electricity_CHP!$C$1:$C$10000="Var_Fout")*1,+([2]OUT_Electricity_CHP!$D$1:$D$10000="ITOT_LTH_CHP")*1,[2]OUT_Electricity_CHP!K$1:K$10000)</f>
        <v>1.0900973261094828</v>
      </c>
      <c r="N275" s="1"/>
    </row>
    <row r="276" spans="1:14" x14ac:dyDescent="0.3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64">SUM(G277:G278)</f>
        <v>0</v>
      </c>
      <c r="H276" s="10">
        <f t="shared" si="264"/>
        <v>0</v>
      </c>
      <c r="I276" s="10">
        <f t="shared" si="264"/>
        <v>0</v>
      </c>
      <c r="J276" s="10">
        <f t="shared" si="264"/>
        <v>0</v>
      </c>
      <c r="K276" s="10">
        <f t="shared" si="264"/>
        <v>0</v>
      </c>
      <c r="L276" s="10">
        <f t="shared" ref="L276" si="265">SUM(L277:L278)</f>
        <v>0</v>
      </c>
      <c r="N276" s="1"/>
    </row>
    <row r="277" spans="1:14" x14ac:dyDescent="0.3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N277" s="1"/>
    </row>
    <row r="278" spans="1:14" x14ac:dyDescent="0.3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N278" s="1"/>
    </row>
    <row r="279" spans="1:14" x14ac:dyDescent="0.3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1.9356600170775753</v>
      </c>
      <c r="G279" s="1">
        <f t="shared" ref="G279:K279" si="266">SUM(G280:G281)</f>
        <v>1.9671878820404487</v>
      </c>
      <c r="H279" s="1">
        <f t="shared" si="266"/>
        <v>9.6382372040252254E-2</v>
      </c>
      <c r="I279" s="1">
        <f t="shared" si="266"/>
        <v>9.748796287784349E-2</v>
      </c>
      <c r="J279" s="1">
        <f t="shared" si="266"/>
        <v>6.0203147379527333E-3</v>
      </c>
      <c r="K279" s="1">
        <f t="shared" si="266"/>
        <v>0.57167478032725549</v>
      </c>
      <c r="L279" s="1">
        <f t="shared" ref="L279" si="267">SUM(L280:L281)</f>
        <v>1.0904296334058041</v>
      </c>
      <c r="N279" s="1"/>
    </row>
    <row r="280" spans="1:14" x14ac:dyDescent="0.3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1.9356600170775753</v>
      </c>
      <c r="G280" s="1">
        <f t="shared" ref="G280:K280" si="268">G274</f>
        <v>1.9671878820404487</v>
      </c>
      <c r="H280" s="1">
        <f t="shared" si="268"/>
        <v>9.6382372040252254E-2</v>
      </c>
      <c r="I280" s="1">
        <f t="shared" si="268"/>
        <v>9.748796287784349E-2</v>
      </c>
      <c r="J280" s="1">
        <f t="shared" si="268"/>
        <v>6.0203147379527333E-3</v>
      </c>
      <c r="K280" s="1">
        <f t="shared" si="268"/>
        <v>2.4494425420810151E-3</v>
      </c>
      <c r="L280" s="1">
        <f t="shared" ref="L280" si="269">L274</f>
        <v>3.3230729632127698E-4</v>
      </c>
      <c r="N280" s="1"/>
    </row>
    <row r="281" spans="1:14" x14ac:dyDescent="0.3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70">F275</f>
        <v>0</v>
      </c>
      <c r="G281" s="1">
        <f t="shared" si="270"/>
        <v>0</v>
      </c>
      <c r="H281" s="1">
        <f t="shared" si="270"/>
        <v>0</v>
      </c>
      <c r="I281" s="1">
        <f t="shared" si="270"/>
        <v>0</v>
      </c>
      <c r="J281" s="1">
        <f t="shared" si="270"/>
        <v>0</v>
      </c>
      <c r="K281" s="1">
        <f t="shared" si="270"/>
        <v>0.56922533778517448</v>
      </c>
      <c r="L281" s="1">
        <f t="shared" ref="L281" si="271">L275</f>
        <v>1.0900973261094828</v>
      </c>
      <c r="N281" s="1"/>
    </row>
    <row r="282" spans="1:14" x14ac:dyDescent="0.3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0.65994744305975483</v>
      </c>
      <c r="G282" s="1">
        <f t="shared" ref="G282:K282" si="272">SUM(G283:G287)</f>
        <v>1.4023866118570587</v>
      </c>
      <c r="H282" s="1">
        <f t="shared" si="272"/>
        <v>3.7144502899717744</v>
      </c>
      <c r="I282" s="1">
        <f t="shared" si="272"/>
        <v>5.3812368622562738</v>
      </c>
      <c r="J282" s="1">
        <f t="shared" si="272"/>
        <v>7.0599656725461308</v>
      </c>
      <c r="K282" s="1">
        <f t="shared" si="272"/>
        <v>7.9539180069348712</v>
      </c>
      <c r="L282" s="1">
        <f t="shared" ref="L282" si="273">SUM(L283:L287)</f>
        <v>8.6690247526800714</v>
      </c>
      <c r="N282" s="1"/>
    </row>
    <row r="283" spans="1:14" x14ac:dyDescent="0.3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0.65994744305975483</v>
      </c>
      <c r="G283" s="1">
        <f>'[1]Electricity and CHPs'!C$105-G284</f>
        <v>1.4023866118570587</v>
      </c>
      <c r="H283" s="1">
        <f>'[1]Electricity and CHPs'!D$105-H284</f>
        <v>3.7144502899717744</v>
      </c>
      <c r="I283" s="1">
        <f>'[1]Electricity and CHPs'!E$105-I284</f>
        <v>5.3812368622562738</v>
      </c>
      <c r="J283" s="1">
        <f>'[2]Electricity and CHPs'!F$105-J284</f>
        <v>5.8732851789980955</v>
      </c>
      <c r="K283" s="1">
        <f>'[2]Electricity and CHPs'!G$105-K284</f>
        <v>5.2534331791969802</v>
      </c>
      <c r="L283" s="1">
        <f>'[2]Electricity and CHPs'!H$105-L284</f>
        <v>4.6922887409331651</v>
      </c>
      <c r="N283" s="1"/>
    </row>
    <row r="284" spans="1:14" x14ac:dyDescent="0.3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SUMPRODUCT((ISNUMBER(SEARCH("itot*CHPWOD*ccs",[2]OUT_Electricity_CHP!$B$1:$B$10000)))*1,([2]OUT_Electricity_CHP!$C$1:$C$10000="Var_Fout")*1,([2]OUT_Electricity_CHP!$D$1:$D$10000="ITOT_LTH_CHP")*1,[2]OUT_Electricity_CHP!I$1:I$10000)</f>
        <v>0</v>
      </c>
      <c r="K284" s="1" cm="1">
        <f t="array" ref="K284">SUMPRODUCT((ISNUMBER(SEARCH("itot*CHPWOD*ccs",[2]OUT_Electricity_CHP!$B$1:$B$10000)))*1,([2]OUT_Electricity_CHP!$C$1:$C$10000="Var_Fout")*1,([2]OUT_Electricity_CHP!$D$1:$D$10000="ITOT_LTH_CHP")*1,[2]OUT_Electricity_CHP!J$1:J$10000)</f>
        <v>1.190239342280393</v>
      </c>
      <c r="L284" s="1" cm="1">
        <f t="array" ref="L284">SUMPRODUCT((ISNUMBER(SEARCH("itot*CHPWOD*ccs",[2]OUT_Electricity_CHP!$B$1:$B$10000)))*1,([2]OUT_Electricity_CHP!$C$1:$C$10000="Var_Fout")*1,([2]OUT_Electricity_CHP!$D$1:$D$10000="ITOT_LTH_CHP")*1,[2]OUT_Electricity_CHP!K$1:K$10000)</f>
        <v>3.2408609447292607</v>
      </c>
      <c r="N284" s="1"/>
    </row>
    <row r="285" spans="1:14" x14ac:dyDescent="0.3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0</v>
      </c>
      <c r="J285" s="1">
        <f>'[2]Electricity and CHPs'!F$110</f>
        <v>6.4923986062743501E-3</v>
      </c>
      <c r="K285" s="1">
        <f>'[2]Electricity and CHPs'!G$110</f>
        <v>5.9617258377768056E-3</v>
      </c>
      <c r="L285" s="1">
        <f>'[2]Electricity and CHPs'!H$110</f>
        <v>2.484909046779075E-3</v>
      </c>
      <c r="N285" s="1"/>
    </row>
    <row r="286" spans="1:14" x14ac:dyDescent="0.3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0</v>
      </c>
      <c r="J286" s="1">
        <f>'[2]Electricity and CHPs'!F$113</f>
        <v>1.1778929214920546</v>
      </c>
      <c r="K286" s="1">
        <f>'[2]Electricity and CHPs'!G$113</f>
        <v>1.5030698232911868</v>
      </c>
      <c r="L286" s="1">
        <f>'[2]Electricity and CHPs'!H$113</f>
        <v>0.73297147533175722</v>
      </c>
      <c r="N286" s="1"/>
    </row>
    <row r="287" spans="1:14" x14ac:dyDescent="0.3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0</v>
      </c>
      <c r="J287" s="1">
        <f>'[2]Electricity and CHPs'!F$117</f>
        <v>2.295173449705902E-3</v>
      </c>
      <c r="K287" s="1">
        <f>'[2]Electricity and CHPs'!G$117</f>
        <v>1.213936328535324E-3</v>
      </c>
      <c r="L287" s="1">
        <f>'[2]Electricity and CHPs'!H$117</f>
        <v>4.1868263910945527E-4</v>
      </c>
      <c r="N287" s="1"/>
    </row>
    <row r="288" spans="1:14" x14ac:dyDescent="0.3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74">SUM(G289:G290)</f>
        <v>0</v>
      </c>
      <c r="H288" s="1">
        <f t="shared" si="274"/>
        <v>0</v>
      </c>
      <c r="I288" s="1">
        <f t="shared" si="274"/>
        <v>3.125742423827519E-2</v>
      </c>
      <c r="J288" s="1">
        <f t="shared" si="274"/>
        <v>5.0231546553934974E-3</v>
      </c>
      <c r="K288" s="1">
        <f t="shared" si="274"/>
        <v>6.8697047822932622E-2</v>
      </c>
      <c r="L288" s="1">
        <f t="shared" ref="L288" si="275">SUM(L289:L290)</f>
        <v>0.11026910663279746</v>
      </c>
      <c r="N288" s="1"/>
    </row>
    <row r="289" spans="1:14" x14ac:dyDescent="0.3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0</v>
      </c>
      <c r="J289" s="1">
        <f>'[2]Electricity and CHPs'!F$108</f>
        <v>2.9931716224596387E-3</v>
      </c>
      <c r="K289" s="1">
        <f>'[2]Electricity and CHPs'!G$108</f>
        <v>6.2889013840053298E-2</v>
      </c>
      <c r="L289" s="1">
        <f>'[2]Electricity and CHPs'!H$108</f>
        <v>0.10696404261499522</v>
      </c>
      <c r="N289" s="1"/>
    </row>
    <row r="290" spans="1:14" x14ac:dyDescent="0.3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3.125742423827519E-2</v>
      </c>
      <c r="J290" s="1">
        <f>'[2]Electricity and CHPs'!F$119</f>
        <v>2.0299830329338587E-3</v>
      </c>
      <c r="K290" s="1">
        <f>'[2]Electricity and CHPs'!G$119</f>
        <v>5.8080339828793202E-3</v>
      </c>
      <c r="L290" s="1">
        <f>'[2]Electricity and CHPs'!H$119</f>
        <v>3.305064017802237E-3</v>
      </c>
      <c r="N290" s="1"/>
    </row>
    <row r="291" spans="1:14" x14ac:dyDescent="0.3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438.16608189086332</v>
      </c>
      <c r="G291" s="3">
        <f t="shared" ref="G291" si="276">SUM(G292,G294,G302,G310,G358,G379,G387,G389,G397,G401,G395)</f>
        <v>420.57941799880848</v>
      </c>
      <c r="H291" s="3">
        <f t="shared" ref="H291" si="277">SUM(H292,H294,H302,H310,H358,H379,H387,H389,H397,H401,H395)</f>
        <v>432.48181220459333</v>
      </c>
      <c r="I291" s="3">
        <f>IFERROR(SUM(I292,I294,I302,I310,I358,I379,I387,I389,I397,I401,I395),0)</f>
        <v>490.16928849620979</v>
      </c>
      <c r="J291" s="3">
        <f t="shared" ref="J291" si="278">SUM(J292,J294,J302,J310,J358,J379,J387,J389,J397,J401,J395)</f>
        <v>434.205530064828</v>
      </c>
      <c r="K291" s="3">
        <f t="shared" ref="K291" si="279">SUM(K292,K294,K302,K310,K358,K379,K387,K389,K397,K401,K395)</f>
        <v>504.23655966288499</v>
      </c>
      <c r="L291" s="3">
        <f>IFERROR(SUM(L292,L294,L302,L310,L358,L379,L387,L389,L397,L401,L395),0)</f>
        <v>476.03527788072154</v>
      </c>
      <c r="N291" s="1"/>
    </row>
    <row r="292" spans="1:14" x14ac:dyDescent="0.3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250.94871707957057</v>
      </c>
      <c r="G292" s="1">
        <f t="shared" ref="G292:L292" si="280">G293</f>
        <v>253.29674232384002</v>
      </c>
      <c r="H292" s="1">
        <f t="shared" si="280"/>
        <v>233.18388719099903</v>
      </c>
      <c r="I292" s="1">
        <f t="shared" si="280"/>
        <v>211.82063694625381</v>
      </c>
      <c r="J292" s="1">
        <f t="shared" si="280"/>
        <v>190.4978221908589</v>
      </c>
      <c r="K292" s="1">
        <f t="shared" si="280"/>
        <v>190.48508938193666</v>
      </c>
      <c r="L292" s="1">
        <f t="shared" si="280"/>
        <v>102.30465951115572</v>
      </c>
      <c r="N292" s="1"/>
    </row>
    <row r="293" spans="1:14" x14ac:dyDescent="0.3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250.94871707957057</v>
      </c>
      <c r="G293" s="1">
        <f>'[1]Electricity and CHPs_IN'!C$14</f>
        <v>253.29674232384002</v>
      </c>
      <c r="H293" s="1">
        <f>'[1]Electricity and CHPs_IN'!D$14</f>
        <v>233.18388719099903</v>
      </c>
      <c r="I293" s="1">
        <f>'[1]Electricity and CHPs_IN'!E$14</f>
        <v>211.82063694625381</v>
      </c>
      <c r="J293" s="1">
        <f>'[2]Electricity and CHPs_IN'!F$14</f>
        <v>190.4978221908589</v>
      </c>
      <c r="K293" s="1">
        <f>'[2]Electricity and CHPs_IN'!G$14</f>
        <v>190.48508938193666</v>
      </c>
      <c r="L293" s="1">
        <f>'[2]Electricity and CHPs_IN'!H$14</f>
        <v>102.30465951115572</v>
      </c>
      <c r="N293" s="1"/>
    </row>
    <row r="294" spans="1:14" x14ac:dyDescent="0.3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81">E293</f>
        <v>PJ/yr.</v>
      </c>
      <c r="F294" s="1">
        <f>SUM(F295:F297)</f>
        <v>149.43060968985017</v>
      </c>
      <c r="G294" s="1">
        <f t="shared" ref="G294:K294" si="282">SUM(G295:G297)</f>
        <v>125.65124522840297</v>
      </c>
      <c r="H294" s="1">
        <f t="shared" si="282"/>
        <v>137.72924305395776</v>
      </c>
      <c r="I294" s="1">
        <f t="shared" si="282"/>
        <v>191.68914738393363</v>
      </c>
      <c r="J294" s="1">
        <f t="shared" si="282"/>
        <v>152.50297506255069</v>
      </c>
      <c r="K294" s="1">
        <f t="shared" si="282"/>
        <v>154.88647956261917</v>
      </c>
      <c r="L294" s="1">
        <f t="shared" ref="L294" si="283">SUM(L295:L297)</f>
        <v>158.90458366536896</v>
      </c>
      <c r="N294" s="1"/>
    </row>
    <row r="295" spans="1:14" x14ac:dyDescent="0.3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81"/>
        <v>PJ/yr.</v>
      </c>
      <c r="F295" s="1">
        <f>'[1]Electricity and CHPs_IN'!B$15</f>
        <v>66.745681606063101</v>
      </c>
      <c r="G295" s="1">
        <f>'[1]Electricity and CHPs_IN'!C$15</f>
        <v>49.798777987808691</v>
      </c>
      <c r="H295" s="1">
        <f>'[1]Electricity and CHPs_IN'!D$15</f>
        <v>68.970400584037336</v>
      </c>
      <c r="I295" s="1">
        <f>'[1]Electricity and CHPs_IN'!E$15</f>
        <v>70.970232393460137</v>
      </c>
      <c r="J295" s="1">
        <f>'[2]Electricity and CHPs_IN'!F$15</f>
        <v>71.44644713286462</v>
      </c>
      <c r="K295" s="1">
        <f>'[2]Electricity and CHPs_IN'!G$15</f>
        <v>73.932924658636495</v>
      </c>
      <c r="L295" s="1">
        <f>'[2]Electricity and CHPs_IN'!H$15</f>
        <v>74.836056776230464</v>
      </c>
      <c r="N295" s="1"/>
    </row>
    <row r="296" spans="1:14" x14ac:dyDescent="0.3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81"/>
        <v>PJ/yr.</v>
      </c>
      <c r="F296" s="1">
        <f>'[1]Electricity and CHPs_IN'!B$16</f>
        <v>66.632430866657671</v>
      </c>
      <c r="G296" s="1">
        <f>'[1]Electricity and CHPs_IN'!C$16</f>
        <v>55.764055694378619</v>
      </c>
      <c r="H296" s="1">
        <f>'[1]Electricity and CHPs_IN'!D$16</f>
        <v>65.677217745587797</v>
      </c>
      <c r="I296" s="1">
        <f>'[1]Electricity and CHPs_IN'!E$16</f>
        <v>64.853740316850036</v>
      </c>
      <c r="J296" s="1">
        <f>'[2]Electricity and CHPs_IN'!F$16</f>
        <v>65.039957519478904</v>
      </c>
      <c r="K296" s="1">
        <f>'[2]Electricity and CHPs_IN'!G$16</f>
        <v>64.381689547413231</v>
      </c>
      <c r="L296" s="1">
        <f>'[2]Electricity and CHPs_IN'!H$16</f>
        <v>67.134973788047233</v>
      </c>
      <c r="N296" s="1"/>
    </row>
    <row r="297" spans="1:14" x14ac:dyDescent="0.3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81"/>
        <v>PJ/yr.</v>
      </c>
      <c r="F297" s="1">
        <f>'[1]Electricity and CHPs_IN'!B$13</f>
        <v>16.052497217129396</v>
      </c>
      <c r="G297" s="1">
        <f>'[1]Electricity and CHPs_IN'!C$13</f>
        <v>20.088411546215649</v>
      </c>
      <c r="H297" s="1">
        <f>'[1]Electricity and CHPs_IN'!D$13</f>
        <v>3.0816247243326447</v>
      </c>
      <c r="I297" s="1">
        <f>'[1]Electricity and CHPs_IN'!E$13</f>
        <v>55.865174673623464</v>
      </c>
      <c r="J297" s="1">
        <f>'[2]Electricity and CHPs_IN'!F$13</f>
        <v>16.016570410207162</v>
      </c>
      <c r="K297" s="1">
        <f>'[2]Electricity and CHPs_IN'!G$13</f>
        <v>16.571865356569432</v>
      </c>
      <c r="L297" s="1">
        <f>'[2]Electricity and CHPs_IN'!H$13</f>
        <v>16.93355310109126</v>
      </c>
      <c r="N297" s="1"/>
    </row>
    <row r="298" spans="1:14" x14ac:dyDescent="0.3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81"/>
        <v>PJ/yr.</v>
      </c>
      <c r="F298" s="1">
        <f>SUM(F299:F301)</f>
        <v>0.28755479086613472</v>
      </c>
      <c r="G298" s="1">
        <f t="shared" ref="G298:K298" si="284">SUM(G299:G301)</f>
        <v>0.39523117248099776</v>
      </c>
      <c r="H298" s="1">
        <f t="shared" si="284"/>
        <v>0.19643403163368417</v>
      </c>
      <c r="I298" s="1">
        <f t="shared" si="284"/>
        <v>9.162515962178347E-2</v>
      </c>
      <c r="J298" s="1">
        <f t="shared" si="284"/>
        <v>0.12084452995550148</v>
      </c>
      <c r="K298" s="1">
        <f t="shared" si="284"/>
        <v>1.6913980946210518E-2</v>
      </c>
      <c r="L298" s="1">
        <f t="shared" ref="L298" si="285">SUM(L299:L301)</f>
        <v>9.8457099583645159E-5</v>
      </c>
      <c r="N298" s="1"/>
    </row>
    <row r="299" spans="1:14" x14ac:dyDescent="0.3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81"/>
        <v>PJ/yr.</v>
      </c>
      <c r="F299" s="1">
        <f>'[1]Electricity and CHPs_IN'!B$18</f>
        <v>0.23725264665402263</v>
      </c>
      <c r="G299" s="1">
        <f>'[1]Electricity and CHPs_IN'!C$18</f>
        <v>0.29228510052458495</v>
      </c>
      <c r="H299" s="1">
        <f>'[1]Electricity and CHPs_IN'!D$18</f>
        <v>0.13554092101139664</v>
      </c>
      <c r="I299" s="1">
        <f>'[1]Electricity and CHPs_IN'!E$18</f>
        <v>1.7718494471028752E-2</v>
      </c>
      <c r="J299" s="1">
        <f>'[2]Electricity and CHPs_IN'!F$18</f>
        <v>1.3501290380991729E-2</v>
      </c>
      <c r="K299" s="1">
        <f>'[2]Electricity and CHPs_IN'!G$18</f>
        <v>1.6532247958680444E-2</v>
      </c>
      <c r="L299" s="1">
        <f>'[2]Electricity and CHPs_IN'!H$18</f>
        <v>8.9454851575172385E-5</v>
      </c>
      <c r="N299" s="1"/>
    </row>
    <row r="300" spans="1:14" x14ac:dyDescent="0.3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81"/>
        <v>PJ/yr.</v>
      </c>
      <c r="F300" s="1">
        <f>IFERROR(F72/SUM(F72,F185),0)*'[1]Electricity and CHPs_IN'!B$28</f>
        <v>2.2155717614293875E-2</v>
      </c>
      <c r="G300" s="1">
        <f>IFERROR(G72/SUM(G72,G185),0)*'[1]Electricity and CHPs_IN'!C$28</f>
        <v>5.1075999674683688E-2</v>
      </c>
      <c r="H300" s="1">
        <f>IFERROR(H72/SUM(H72,H185),0)*'[1]Electricity and CHPs_IN'!D$28</f>
        <v>1.5936133952869049E-2</v>
      </c>
      <c r="I300" s="1">
        <f>IFERROR(I72/SUM(I72,I185),0)*'[1]Electricity and CHPs_IN'!E$28</f>
        <v>3.1945384254943145E-3</v>
      </c>
      <c r="J300" s="1">
        <f>IFERROR(J72/SUM(J72,J185),0)*'[2]Electricity and CHPs_IN'!F$28</f>
        <v>9.6622684533189361E-4</v>
      </c>
      <c r="K300" s="1">
        <f>IFERROR(K72/SUM(K72,K185),0)*'[2]Electricity and CHPs_IN'!G$28</f>
        <v>3.8173298753007326E-4</v>
      </c>
      <c r="L300" s="1">
        <f>IFERROR(L72/SUM(L72,L185),0)*'[2]Electricity and CHPs_IN'!H$28</f>
        <v>9.0022480084727753E-6</v>
      </c>
      <c r="M300" s="1"/>
      <c r="N300" s="1"/>
    </row>
    <row r="301" spans="1:14" x14ac:dyDescent="0.3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81"/>
        <v>PJ/yr.</v>
      </c>
      <c r="F301" s="1">
        <f>IFERROR(F73/SUM(F73,F235),0)*'[1]Electricity and CHPs_IN'!B$41</f>
        <v>2.8146426597818245E-2</v>
      </c>
      <c r="G301" s="1">
        <f>IFERROR(G73/SUM(G73,G235),0)*'[1]Electricity and CHPs_IN'!C$41</f>
        <v>5.1870072281729108E-2</v>
      </c>
      <c r="H301" s="1">
        <f>IFERROR(H73/SUM(H73,H235),0)*'[1]Electricity and CHPs_IN'!D$41</f>
        <v>4.4956976669418489E-2</v>
      </c>
      <c r="I301" s="1">
        <f>IFERROR(I73/SUM(I73,I235),0)*'[1]Electricity and CHPs_IN'!E$41</f>
        <v>7.0712126725260407E-2</v>
      </c>
      <c r="J301" s="1">
        <f>IFERROR(J73/SUM(J73,J235),0)*'[2]Electricity and CHPs_IN'!F$41</f>
        <v>0.10637701272917785</v>
      </c>
      <c r="K301" s="1">
        <f>IFERROR(K73/SUM(K73,K235),0)*'[2]Electricity and CHPs_IN'!G$41</f>
        <v>0</v>
      </c>
      <c r="L301" s="1">
        <f>IFERROR(L73/SUM(L73,L235),0)*'[2]Electricity and CHPs_IN'!H$41</f>
        <v>0</v>
      </c>
      <c r="N301" s="1"/>
    </row>
    <row r="302" spans="1:14" x14ac:dyDescent="0.3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81"/>
        <v>PJ/yr.</v>
      </c>
      <c r="F302" s="1">
        <f>F298</f>
        <v>0.28755479086613472</v>
      </c>
      <c r="G302" s="1">
        <f t="shared" ref="G302:K302" si="286">G298</f>
        <v>0.39523117248099776</v>
      </c>
      <c r="H302" s="1">
        <f t="shared" si="286"/>
        <v>0.19643403163368417</v>
      </c>
      <c r="I302" s="1">
        <f t="shared" si="286"/>
        <v>9.162515962178347E-2</v>
      </c>
      <c r="J302" s="1">
        <f t="shared" si="286"/>
        <v>0.12084452995550148</v>
      </c>
      <c r="K302" s="1">
        <f t="shared" si="286"/>
        <v>1.6913980946210518E-2</v>
      </c>
      <c r="L302" s="1">
        <f t="shared" ref="L302" si="287">L298</f>
        <v>9.8457099583645159E-5</v>
      </c>
      <c r="N302" s="1"/>
    </row>
    <row r="303" spans="1:14" x14ac:dyDescent="0.3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81"/>
        <v>PJ/yr.</v>
      </c>
      <c r="F303" s="1">
        <f t="shared" ref="F303:K303" si="288">F299</f>
        <v>0.23725264665402263</v>
      </c>
      <c r="G303" s="1">
        <f t="shared" si="288"/>
        <v>0.29228510052458495</v>
      </c>
      <c r="H303" s="1">
        <f t="shared" si="288"/>
        <v>0.13554092101139664</v>
      </c>
      <c r="I303" s="1">
        <f t="shared" si="288"/>
        <v>1.7718494471028752E-2</v>
      </c>
      <c r="J303" s="1">
        <f t="shared" si="288"/>
        <v>1.3501290380991729E-2</v>
      </c>
      <c r="K303" s="1">
        <f t="shared" si="288"/>
        <v>1.6532247958680444E-2</v>
      </c>
      <c r="L303" s="1">
        <f t="shared" ref="L303" si="289">L299</f>
        <v>8.9454851575172385E-5</v>
      </c>
      <c r="N303" s="1"/>
    </row>
    <row r="304" spans="1:14" x14ac:dyDescent="0.3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81"/>
        <v>PJ/yr.</v>
      </c>
      <c r="F304" s="1">
        <f t="shared" ref="F304:K304" si="290">F300</f>
        <v>2.2155717614293875E-2</v>
      </c>
      <c r="G304" s="1">
        <f t="shared" si="290"/>
        <v>5.1075999674683688E-2</v>
      </c>
      <c r="H304" s="1">
        <f t="shared" si="290"/>
        <v>1.5936133952869049E-2</v>
      </c>
      <c r="I304" s="1">
        <f t="shared" si="290"/>
        <v>3.1945384254943145E-3</v>
      </c>
      <c r="J304" s="1">
        <f t="shared" si="290"/>
        <v>9.6622684533189361E-4</v>
      </c>
      <c r="K304" s="1">
        <f t="shared" si="290"/>
        <v>3.8173298753007326E-4</v>
      </c>
      <c r="L304" s="1">
        <f t="shared" ref="L304" si="291">L300</f>
        <v>9.0022480084727753E-6</v>
      </c>
      <c r="N304" s="1"/>
    </row>
    <row r="305" spans="1:14" x14ac:dyDescent="0.3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81"/>
        <v>PJ/yr.</v>
      </c>
      <c r="F305" s="1">
        <f t="shared" ref="F305:K305" si="292">F301</f>
        <v>2.8146426597818245E-2</v>
      </c>
      <c r="G305" s="1">
        <f t="shared" si="292"/>
        <v>5.1870072281729108E-2</v>
      </c>
      <c r="H305" s="1">
        <f t="shared" si="292"/>
        <v>4.4956976669418489E-2</v>
      </c>
      <c r="I305" s="1">
        <f t="shared" si="292"/>
        <v>7.0712126725260407E-2</v>
      </c>
      <c r="J305" s="1">
        <f t="shared" si="292"/>
        <v>0.10637701272917785</v>
      </c>
      <c r="K305" s="1">
        <f t="shared" si="292"/>
        <v>0</v>
      </c>
      <c r="L305" s="1">
        <f t="shared" ref="L305" si="293">L301</f>
        <v>0</v>
      </c>
      <c r="N305" s="1"/>
    </row>
    <row r="306" spans="1:14" x14ac:dyDescent="0.3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81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N306" s="1"/>
    </row>
    <row r="307" spans="1:14" x14ac:dyDescent="0.3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81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N307" s="1"/>
    </row>
    <row r="308" spans="1:14" x14ac:dyDescent="0.3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81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N308" s="1"/>
    </row>
    <row r="309" spans="1:14" x14ac:dyDescent="0.3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81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N309" s="1"/>
    </row>
    <row r="310" spans="1:14" x14ac:dyDescent="0.3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81"/>
        <v>PJ/yr.</v>
      </c>
      <c r="F310" s="1">
        <f>SUM(F311:F325)</f>
        <v>4.4870192850517192</v>
      </c>
      <c r="G310" s="1">
        <f t="shared" ref="G310:K310" si="294">SUM(G311:G325)</f>
        <v>2.3999337970005077</v>
      </c>
      <c r="H310" s="1">
        <f t="shared" si="294"/>
        <v>2.8637078801647471</v>
      </c>
      <c r="I310" s="1">
        <f>IFERROR(SUM(I311:I325),0)</f>
        <v>1.4529899595983369</v>
      </c>
      <c r="J310" s="1">
        <f t="shared" si="294"/>
        <v>2.1274390477975</v>
      </c>
      <c r="K310" s="1">
        <f t="shared" si="294"/>
        <v>1.7028690524004297</v>
      </c>
      <c r="L310" s="1">
        <f>IFERROR(SUM(L311:L325),0)</f>
        <v>3.3568373433018168</v>
      </c>
      <c r="N310" s="1"/>
    </row>
    <row r="311" spans="1:14" x14ac:dyDescent="0.3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81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'[2]Electricity and CHPs_IN'!F$21</f>
        <v>0</v>
      </c>
      <c r="K311" s="1">
        <f>'[2]Electricity and CHPs_IN'!G$21</f>
        <v>1.5407783613488297E-5</v>
      </c>
      <c r="L311" s="1">
        <f>'[2]Electricity and CHPs_IN'!H$21</f>
        <v>3.5286443043040963E-3</v>
      </c>
      <c r="N311" s="1"/>
    </row>
    <row r="312" spans="1:14" x14ac:dyDescent="0.3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81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'[2]Electricity and CHPs_IN'!F$22</f>
        <v>0</v>
      </c>
      <c r="K312" s="1">
        <f>'[2]Electricity and CHPs_IN'!G$22</f>
        <v>1.3126368393952535E-5</v>
      </c>
      <c r="L312" s="1">
        <f>'[2]Electricity and CHPs_IN'!H$22</f>
        <v>0.1091429595771123</v>
      </c>
      <c r="N312" s="1"/>
    </row>
    <row r="313" spans="1:14" x14ac:dyDescent="0.3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81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'[2]Electricity and CHPs_IN'!F$23</f>
        <v>0</v>
      </c>
      <c r="K313" s="1">
        <f>'[2]Electricity and CHPs_IN'!G$23</f>
        <v>0</v>
      </c>
      <c r="L313" s="1">
        <f>'[2]Electricity and CHPs_IN'!H$23</f>
        <v>0</v>
      </c>
      <c r="N313" s="1"/>
    </row>
    <row r="314" spans="1:14" x14ac:dyDescent="0.3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81"/>
        <v>PJ/yr.</v>
      </c>
      <c r="F314" s="1">
        <f>IFERROR(F86/SUM(F86+F189),0)*'[1]Electricity and CHPs_IN'!B$24</f>
        <v>1.3986035539728514</v>
      </c>
      <c r="G314" s="1">
        <f>IFERROR(G86/SUM(G86+G189),0)*'[1]Electricity and CHPs_IN'!C$24</f>
        <v>2.8637805192996215E-2</v>
      </c>
      <c r="H314" s="1">
        <f>IFERROR(H86/SUM(H86+H189),0)*'[1]Electricity and CHPs_IN'!D$24</f>
        <v>0.11587488496817153</v>
      </c>
      <c r="I314" s="1">
        <f>IFERROR(I86/SUM(I86+I189),0)*'[1]Electricity and CHPs_IN'!E$24</f>
        <v>0</v>
      </c>
      <c r="J314" s="1">
        <f>IFERROR(J86/SUM(J86+J189),0)*'[2]Electricity and CHPs_IN'!F$24</f>
        <v>0</v>
      </c>
      <c r="K314" s="1">
        <f>IFERROR(K86/SUM(K86+K189),0)*'[2]Electricity and CHPs_IN'!G$24</f>
        <v>0</v>
      </c>
      <c r="L314" s="1">
        <f>IFERROR(L86/SUM(L86+L189),0)*'[2]Electricity and CHPs_IN'!H$24</f>
        <v>0</v>
      </c>
      <c r="N314" s="1"/>
    </row>
    <row r="315" spans="1:14" x14ac:dyDescent="0.3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81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IFERROR(J87/SUM(J87+J190),0)*'[2]Electricity and CHPs_IN'!F$29</f>
        <v>0</v>
      </c>
      <c r="K315" s="1">
        <f>IFERROR(K87/SUM(K87+K190),0)*'[2]Electricity and CHPs_IN'!G$29</f>
        <v>0</v>
      </c>
      <c r="L315" s="1">
        <f>IFERROR(L87/SUM(L87+L190),0)*'[2]Electricity and CHPs_IN'!H$29</f>
        <v>0</v>
      </c>
      <c r="N315" s="1"/>
    </row>
    <row r="316" spans="1:14" x14ac:dyDescent="0.3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81"/>
        <v>PJ/yr.</v>
      </c>
      <c r="F316" s="1">
        <f>F88/SUM(F88,F241)*'[1]Electricity and CHPs_IN'!B$39</f>
        <v>0.89362871307127156</v>
      </c>
      <c r="G316" s="1">
        <f>G88/SUM(G88,G241)*'[1]Electricity and CHPs_IN'!C$39</f>
        <v>0.28870094250568629</v>
      </c>
      <c r="H316" s="1">
        <f>H88/SUM(H88,H241)*'[1]Electricity and CHPs_IN'!D$39</f>
        <v>0.63234851958414739</v>
      </c>
      <c r="I316" s="1">
        <f>I88/SUM(I88,I241)*'[1]Electricity and CHPs_IN'!E$39</f>
        <v>6.9081493343059922E-2</v>
      </c>
      <c r="J316" s="1">
        <f>J88/SUM(J88,J241)*'[2]Electricity and CHPs_IN'!F$39</f>
        <v>0.64335254729551838</v>
      </c>
      <c r="K316" s="1">
        <f>K88/SUM(K88,K241)*'[2]Electricity and CHPs_IN'!G$39</f>
        <v>0.13451554654589321</v>
      </c>
      <c r="L316" s="1">
        <f>L88/SUM(L88,L241)*'[2]Electricity and CHPs_IN'!H$39</f>
        <v>1.229427967820411</v>
      </c>
      <c r="N316" s="1"/>
    </row>
    <row r="317" spans="1:14" x14ac:dyDescent="0.3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81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IFERROR(J89/SUM(J89,J242),0)*'[2]Electricity and CHPs_IN'!F$40</f>
        <v>0</v>
      </c>
      <c r="K317" s="1">
        <f>IFERROR(K89/SUM(K89,K242),0)*'[2]Electricity and CHPs_IN'!G$40</f>
        <v>1.945785372126636E-2</v>
      </c>
      <c r="L317" s="1">
        <f>IFERROR(L89/SUM(L89,L242),0)*'[2]Electricity and CHPs_IN'!H$40</f>
        <v>0.51098735627669079</v>
      </c>
      <c r="N317" s="1"/>
    </row>
    <row r="318" spans="1:14" x14ac:dyDescent="0.3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81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IFERROR(J90/SUM(J90,J243),0)*'[2]Electricity and CHPs_IN'!$B$47</f>
        <v>0</v>
      </c>
      <c r="K318" s="1">
        <f>IFERROR(K90/SUM(K90,K243),0)*'[2]Electricity and CHPs_IN'!$B$47</f>
        <v>0</v>
      </c>
      <c r="L318" s="1">
        <f>IFERROR(L90/SUM(L90,L243),0)*'[2]Electricity and CHPs_IN'!$B$47</f>
        <v>0</v>
      </c>
      <c r="N318" s="1"/>
    </row>
    <row r="319" spans="1:14" x14ac:dyDescent="0.3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81"/>
        <v>PJ/yr.</v>
      </c>
      <c r="F319" s="1">
        <f>F91/SUM(F91,F244)*'[1]Electricity and CHPs_IN'!B$48</f>
        <v>0.1084823681965997</v>
      </c>
      <c r="G319" s="1">
        <f>G91/SUM(G91,G244)*'[1]Electricity and CHPs_IN'!C$48</f>
        <v>1.4188015523689659E-2</v>
      </c>
      <c r="H319" s="1">
        <f>H91/SUM(H91,H244)*'[1]Electricity and CHPs_IN'!D$48</f>
        <v>4.7960759437846535E-2</v>
      </c>
      <c r="I319" s="1">
        <f>IFERROR(I91/SUM(I91,I244)*'[1]Electricity and CHPs_IN'!E$48,0)</f>
        <v>0</v>
      </c>
      <c r="J319" s="1">
        <f>J91/SUM(J91,J244)*'[2]Electricity and CHPs_IN'!F$48</f>
        <v>6.1444664519960503E-3</v>
      </c>
      <c r="K319" s="1">
        <f>K91/SUM(K91,K244)*'[2]Electricity and CHPs_IN'!G$48</f>
        <v>1.3067860388850589E-3</v>
      </c>
      <c r="L319" s="1">
        <f>IFERROR(L91/SUM(L91,L244)*'[2]Electricity and CHPs_IN'!H$48,0)</f>
        <v>0</v>
      </c>
      <c r="N319" s="1"/>
    </row>
    <row r="320" spans="1:14" x14ac:dyDescent="0.3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81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0</v>
      </c>
      <c r="J320" s="1">
        <f>IFERROR(J92/SUM(J92,J245),0)*'[2]Electricity and CHPs_IN'!F$49</f>
        <v>0</v>
      </c>
      <c r="K320" s="1">
        <f>IFERROR(K92/SUM(K92,K245),0)*'[2]Electricity and CHPs_IN'!G$49</f>
        <v>0</v>
      </c>
      <c r="L320" s="1">
        <f>IFERROR(L92/SUM(L92,L245),0)*'[2]Electricity and CHPs_IN'!H$49</f>
        <v>0</v>
      </c>
      <c r="N320" s="1"/>
    </row>
    <row r="321" spans="1:14" x14ac:dyDescent="0.3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81"/>
        <v>PJ/yr.</v>
      </c>
      <c r="F321" s="1">
        <f>IFERROR(F93/SUM(F93,F246),0)*'[1]Electricity and CHPs_IN'!B$51</f>
        <v>0.12899436616723819</v>
      </c>
      <c r="G321" s="1">
        <f>IFERROR(G93/SUM(G93,G246),0)*'[1]Electricity and CHPs_IN'!C$51</f>
        <v>1.9321698878924501E-2</v>
      </c>
      <c r="H321" s="1">
        <f>IFERROR(H93/SUM(H93,H246),0)*'[1]Electricity and CHPs_IN'!D$51</f>
        <v>7.3364792399169432E-2</v>
      </c>
      <c r="I321" s="1">
        <f>IFERROR(I93/SUM(I93,I246),0)*'[1]Electricity and CHPs_IN'!E$51</f>
        <v>0</v>
      </c>
      <c r="J321" s="1">
        <f>IFERROR(J93/SUM(J93,J246),0)*'[2]Electricity and CHPs_IN'!F$51</f>
        <v>1.1454125387589567E-2</v>
      </c>
      <c r="K321" s="1">
        <f>IFERROR(K93/SUM(K93,K246),0)*'[2]Electricity and CHPs_IN'!G$51</f>
        <v>2.2066399379519872E-3</v>
      </c>
      <c r="L321" s="1">
        <f>IFERROR(L93/SUM(L93,L246),0)*'[2]Electricity and CHPs_IN'!H$51</f>
        <v>0</v>
      </c>
      <c r="N321" s="1"/>
    </row>
    <row r="322" spans="1:14" x14ac:dyDescent="0.3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81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0</v>
      </c>
      <c r="J322" s="1">
        <f>IFERROR(J94/SUM(J94,J247),0)*'[2]Electricity and CHPs_IN'!F$52</f>
        <v>0</v>
      </c>
      <c r="K322" s="1">
        <f>IFERROR(K94/SUM(K94,K247),0)*'[2]Electricity and CHPs_IN'!G$52</f>
        <v>0</v>
      </c>
      <c r="L322" s="1">
        <f>IFERROR(L94/SUM(L94,L247),0)*'[2]Electricity and CHPs_IN'!H$52</f>
        <v>0</v>
      </c>
      <c r="N322" s="1"/>
    </row>
    <row r="323" spans="1:14" x14ac:dyDescent="0.3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81"/>
        <v>PJ/yr.</v>
      </c>
      <c r="F323" s="1">
        <f>IFERROR(F95/SUM(F95,F248),0)*'[1]Electricity and CHPs_IN'!B$54</f>
        <v>1.0647533428843095</v>
      </c>
      <c r="G323" s="1">
        <f>IFERROR(G95/SUM(G95,G248),0)*'[1]Electricity and CHPs_IN'!C$54</f>
        <v>1.2566906558847364</v>
      </c>
      <c r="H323" s="1">
        <f>IFERROR(H95/SUM(H95,H248),0)*'[1]Electricity and CHPs_IN'!D$54</f>
        <v>1.3078011392037654</v>
      </c>
      <c r="I323" s="1">
        <f>IFERROR(I95/SUM(I95,I248),0)*'[1]Electricity and CHPs_IN'!E$54</f>
        <v>1.383908466255277</v>
      </c>
      <c r="J323" s="1">
        <f>IFERROR(J95/SUM(J95,J248),0)*'[2]Electricity and CHPs_IN'!F$54</f>
        <v>1.4624123568414855</v>
      </c>
      <c r="K323" s="1">
        <f>IFERROR(K95/SUM(K95,K248),0)*'[2]Electricity and CHPs_IN'!G$54</f>
        <v>1.5446456835641702</v>
      </c>
      <c r="L323" s="1">
        <f>IFERROR(L95/SUM(L95,L248),0)*'[2]Electricity and CHPs_IN'!H$54</f>
        <v>1.5037504153232986</v>
      </c>
      <c r="N323" s="1"/>
    </row>
    <row r="324" spans="1:14" x14ac:dyDescent="0.3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81"/>
        <v>PJ/yr.</v>
      </c>
      <c r="F324" s="1">
        <f>IFERROR(F96/SUM(F96,F249),0)*'[1]Electricity and CHPs_IN'!B$55</f>
        <v>0.89255694075944847</v>
      </c>
      <c r="G324" s="1">
        <f>IFERROR(G96/SUM(G96,G249),0)*'[1]Electricity and CHPs_IN'!C$55</f>
        <v>0.79239467901447458</v>
      </c>
      <c r="H324" s="1">
        <f>IFERROR(H96/SUM(H96,H249),0)*'[1]Electricity and CHPs_IN'!D$55</f>
        <v>0.68635778457164687</v>
      </c>
      <c r="I324" s="1">
        <f>IFERROR(I96/SUM(I96,I249),0)*'[1]Electricity and CHPs_IN'!E$55</f>
        <v>0</v>
      </c>
      <c r="J324" s="1">
        <f>IFERROR(J96/SUM(J96,J249),0)*'[2]Electricity and CHPs_IN'!F$55</f>
        <v>4.07555182091062E-3</v>
      </c>
      <c r="K324" s="1">
        <f>IFERROR(K96/SUM(K96,K249),0)*'[2]Electricity and CHPs_IN'!G$55</f>
        <v>7.0800844025547052E-4</v>
      </c>
      <c r="L324" s="1">
        <f>IFERROR(L96/SUM(L96,L249),0)*'[2]Electricity and CHPs_IN'!H$55</f>
        <v>0</v>
      </c>
      <c r="N324" s="1"/>
    </row>
    <row r="325" spans="1:14" x14ac:dyDescent="0.3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81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0</v>
      </c>
      <c r="J325" s="1">
        <f>IFERROR(J97/SUM(J97,J250),0)*'[2]Electricity and CHPs_IN'!F$58</f>
        <v>0</v>
      </c>
      <c r="K325" s="1">
        <f>IFERROR(K97/SUM(K97,K250),0)*'[2]Electricity and CHPs_IN'!G$58</f>
        <v>0</v>
      </c>
      <c r="L325" s="1">
        <f>IFERROR(L97/SUM(L97,L250),0)*'[2]Electricity and CHPs_IN'!H$58</f>
        <v>0</v>
      </c>
      <c r="N325" s="1"/>
    </row>
    <row r="326" spans="1:14" x14ac:dyDescent="0.3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81"/>
        <v>PJ/yr.</v>
      </c>
      <c r="F326" s="1">
        <f>F310-F342</f>
        <v>3.3359007210481675</v>
      </c>
      <c r="G326" s="1">
        <f t="shared" ref="G326:K326" si="295">G310-G342</f>
        <v>1.1037438582681114</v>
      </c>
      <c r="H326" s="1">
        <f t="shared" si="295"/>
        <v>1.4718599504181222</v>
      </c>
      <c r="I326" s="1">
        <f>IFERROR(I310-I342,0)</f>
        <v>6.1997044888206565E-2</v>
      </c>
      <c r="J326" s="1">
        <f t="shared" si="295"/>
        <v>0.5399816347866031</v>
      </c>
      <c r="K326" s="1">
        <f t="shared" si="295"/>
        <v>9.462257701809329E-2</v>
      </c>
      <c r="L326" s="1">
        <f>IFERROR(L310-L342,0)</f>
        <v>0.67798157958777772</v>
      </c>
      <c r="N326" s="1"/>
    </row>
    <row r="327" spans="1:14" x14ac:dyDescent="0.3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81"/>
        <v>PJ/yr.</v>
      </c>
      <c r="F327" s="1">
        <f>IFERROR(F99/F83,0)*F311</f>
        <v>0</v>
      </c>
      <c r="G327" s="1">
        <f t="shared" ref="G327:K327" si="296">IFERROR(G99/G83,0)*G311</f>
        <v>0</v>
      </c>
      <c r="H327" s="1">
        <f t="shared" si="296"/>
        <v>0</v>
      </c>
      <c r="I327" s="1">
        <f t="shared" si="296"/>
        <v>0</v>
      </c>
      <c r="J327" s="1">
        <f t="shared" si="296"/>
        <v>0</v>
      </c>
      <c r="K327" s="1">
        <f t="shared" si="296"/>
        <v>9.2143417395832041E-6</v>
      </c>
      <c r="L327" s="1">
        <f t="shared" ref="L327" si="297">IFERROR(L99/L83,0)*L311</f>
        <v>1.2910111247966449E-3</v>
      </c>
      <c r="N327" s="1"/>
    </row>
    <row r="328" spans="1:14" x14ac:dyDescent="0.3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81"/>
        <v>PJ/yr.</v>
      </c>
      <c r="F328" s="1">
        <f t="shared" ref="F328:K328" si="298">IFERROR(F100/F84,0)*F312</f>
        <v>0</v>
      </c>
      <c r="G328" s="1">
        <f t="shared" si="298"/>
        <v>0</v>
      </c>
      <c r="H328" s="1">
        <f t="shared" si="298"/>
        <v>0</v>
      </c>
      <c r="I328" s="1">
        <f t="shared" si="298"/>
        <v>0</v>
      </c>
      <c r="J328" s="1">
        <f t="shared" si="298"/>
        <v>0</v>
      </c>
      <c r="K328" s="1">
        <f t="shared" si="298"/>
        <v>7.8499833081546956E-6</v>
      </c>
      <c r="L328" s="1">
        <f t="shared" ref="L328" si="299">IFERROR(L100/L84,0)*L312</f>
        <v>3.9931702618881883E-2</v>
      </c>
      <c r="N328" s="1"/>
    </row>
    <row r="329" spans="1:14" x14ac:dyDescent="0.3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81"/>
        <v>PJ/yr.</v>
      </c>
      <c r="F329" s="1">
        <f t="shared" ref="F329:K329" si="300">IFERROR(F101/F85,0)*F313</f>
        <v>0</v>
      </c>
      <c r="G329" s="1">
        <f t="shared" si="300"/>
        <v>0</v>
      </c>
      <c r="H329" s="1">
        <f t="shared" si="300"/>
        <v>0</v>
      </c>
      <c r="I329" s="1">
        <f t="shared" si="300"/>
        <v>0</v>
      </c>
      <c r="J329" s="1">
        <f t="shared" si="300"/>
        <v>0</v>
      </c>
      <c r="K329" s="1">
        <f t="shared" si="300"/>
        <v>0</v>
      </c>
      <c r="L329" s="1">
        <f t="shared" ref="L329" si="301">IFERROR(L101/L85,0)*L313</f>
        <v>0</v>
      </c>
      <c r="N329" s="1"/>
    </row>
    <row r="330" spans="1:14" x14ac:dyDescent="0.3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81"/>
        <v>PJ/yr.</v>
      </c>
      <c r="F330" s="1">
        <f t="shared" ref="F330:K330" si="302">IFERROR(F102/F86,0)*F314</f>
        <v>1.363308019599353</v>
      </c>
      <c r="G330" s="1">
        <f t="shared" si="302"/>
        <v>2.7648363203997838E-2</v>
      </c>
      <c r="H330" s="1">
        <f t="shared" si="302"/>
        <v>0.10961556882170199</v>
      </c>
      <c r="I330" s="1">
        <f t="shared" si="302"/>
        <v>0</v>
      </c>
      <c r="J330" s="1">
        <f t="shared" si="302"/>
        <v>0</v>
      </c>
      <c r="K330" s="1">
        <f t="shared" si="302"/>
        <v>0</v>
      </c>
      <c r="L330" s="1">
        <f t="shared" ref="L330" si="303">IFERROR(L102/L86,0)*L314</f>
        <v>0</v>
      </c>
      <c r="N330" s="1"/>
    </row>
    <row r="331" spans="1:14" x14ac:dyDescent="0.3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81"/>
        <v>PJ/yr.</v>
      </c>
      <c r="F331" s="1">
        <f t="shared" ref="F331:K331" si="304">IFERROR(F103/F87,0)*F315</f>
        <v>0</v>
      </c>
      <c r="G331" s="1">
        <f t="shared" si="304"/>
        <v>0</v>
      </c>
      <c r="H331" s="1">
        <f t="shared" si="304"/>
        <v>0</v>
      </c>
      <c r="I331" s="1">
        <f t="shared" si="304"/>
        <v>0</v>
      </c>
      <c r="J331" s="1">
        <f t="shared" si="304"/>
        <v>0</v>
      </c>
      <c r="K331" s="1">
        <f t="shared" si="304"/>
        <v>0</v>
      </c>
      <c r="L331" s="1">
        <f t="shared" ref="L331" si="305">IFERROR(L103/L87,0)*L315</f>
        <v>0</v>
      </c>
      <c r="N331" s="1"/>
    </row>
    <row r="332" spans="1:14" x14ac:dyDescent="0.3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81"/>
        <v>PJ/yr.</v>
      </c>
      <c r="F332" s="1">
        <f t="shared" ref="F332:K332" si="306">IFERROR(F104/F88,0)*F316</f>
        <v>0.87107685920978439</v>
      </c>
      <c r="G332" s="1">
        <f t="shared" si="306"/>
        <v>0.27872626627426916</v>
      </c>
      <c r="H332" s="1">
        <f t="shared" si="306"/>
        <v>0.59819039032329546</v>
      </c>
      <c r="I332" s="1">
        <f t="shared" si="306"/>
        <v>6.1997044888206676E-2</v>
      </c>
      <c r="J332" s="1">
        <f t="shared" si="306"/>
        <v>0.52238288320932469</v>
      </c>
      <c r="K332" s="1">
        <f t="shared" si="306"/>
        <v>8.0444549732358067E-2</v>
      </c>
      <c r="L332" s="1">
        <f t="shared" ref="L332" si="307">IFERROR(L104/L88,0)*L316</f>
        <v>0.4498059443555345</v>
      </c>
      <c r="N332" s="1"/>
    </row>
    <row r="333" spans="1:14" x14ac:dyDescent="0.3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81"/>
        <v>PJ/yr.</v>
      </c>
      <c r="F333" s="1">
        <f t="shared" ref="F333:K333" si="308">IFERROR(F105/F89,0)*F317</f>
        <v>0</v>
      </c>
      <c r="G333" s="1">
        <f t="shared" si="308"/>
        <v>0</v>
      </c>
      <c r="H333" s="1">
        <f t="shared" si="308"/>
        <v>0</v>
      </c>
      <c r="I333" s="1">
        <f t="shared" si="308"/>
        <v>0</v>
      </c>
      <c r="J333" s="1">
        <f t="shared" si="308"/>
        <v>0</v>
      </c>
      <c r="K333" s="1">
        <f t="shared" si="308"/>
        <v>1.1636411712688748E-2</v>
      </c>
      <c r="L333" s="1">
        <f t="shared" ref="L333" si="309">IFERROR(L105/L89,0)*L317</f>
        <v>0.18695292148856463</v>
      </c>
      <c r="N333" s="1"/>
    </row>
    <row r="334" spans="1:14" x14ac:dyDescent="0.3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81"/>
        <v>PJ/yr.</v>
      </c>
      <c r="F334" s="1">
        <f t="shared" ref="F334:K334" si="310">IFERROR(F106/F90,0)*F318</f>
        <v>0</v>
      </c>
      <c r="G334" s="1">
        <f t="shared" si="310"/>
        <v>0</v>
      </c>
      <c r="H334" s="1">
        <f t="shared" si="310"/>
        <v>0</v>
      </c>
      <c r="I334" s="1">
        <f t="shared" si="310"/>
        <v>0</v>
      </c>
      <c r="J334" s="1">
        <f t="shared" si="310"/>
        <v>0</v>
      </c>
      <c r="K334" s="1">
        <f t="shared" si="310"/>
        <v>0</v>
      </c>
      <c r="L334" s="1">
        <f t="shared" ref="L334" si="311">IFERROR(L106/L90,0)*L318</f>
        <v>0</v>
      </c>
      <c r="N334" s="1"/>
    </row>
    <row r="335" spans="1:14" x14ac:dyDescent="0.3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81"/>
        <v>PJ/yr.</v>
      </c>
      <c r="F335" s="1">
        <f t="shared" ref="F335:K335" si="312">IFERROR(F107/F91,0)*F319</f>
        <v>0.10574467805937306</v>
      </c>
      <c r="G335" s="1">
        <f t="shared" si="312"/>
        <v>1.3697816704153983E-2</v>
      </c>
      <c r="H335" s="1">
        <f t="shared" si="312"/>
        <v>4.5370020676563518E-2</v>
      </c>
      <c r="I335" s="1">
        <f>IFERROR(IFERROR(I107/I91,0)*I319,0)</f>
        <v>0</v>
      </c>
      <c r="J335" s="1">
        <f t="shared" si="312"/>
        <v>4.989121616864118E-3</v>
      </c>
      <c r="K335" s="1">
        <f t="shared" si="312"/>
        <v>7.8149936712909845E-4</v>
      </c>
      <c r="L335" s="1">
        <f>IFERROR(IFERROR(L107/L91,0)*L319,0)</f>
        <v>0</v>
      </c>
      <c r="N335" s="1"/>
    </row>
    <row r="336" spans="1:14" x14ac:dyDescent="0.3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81"/>
        <v>PJ/yr.</v>
      </c>
      <c r="F336" s="1">
        <f t="shared" ref="F336:K336" si="313">IFERROR(F108/F92,0)*F320</f>
        <v>0</v>
      </c>
      <c r="G336" s="1">
        <f t="shared" si="313"/>
        <v>0</v>
      </c>
      <c r="H336" s="1">
        <f t="shared" si="313"/>
        <v>0</v>
      </c>
      <c r="I336" s="1">
        <f t="shared" si="313"/>
        <v>0</v>
      </c>
      <c r="J336" s="1">
        <f t="shared" si="313"/>
        <v>0</v>
      </c>
      <c r="K336" s="1">
        <f t="shared" si="313"/>
        <v>0</v>
      </c>
      <c r="L336" s="1">
        <f t="shared" ref="L336" si="314">IFERROR(L108/L92,0)*L320</f>
        <v>0</v>
      </c>
      <c r="N336" s="1"/>
    </row>
    <row r="337" spans="1:14" x14ac:dyDescent="0.3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81"/>
        <v>PJ/yr.</v>
      </c>
      <c r="F337" s="1">
        <f t="shared" ref="F337:K337" si="315">IFERROR(F109/F93,0)*F321</f>
        <v>0.12573902974820045</v>
      </c>
      <c r="G337" s="1">
        <f t="shared" si="315"/>
        <v>1.8654130256233178E-2</v>
      </c>
      <c r="H337" s="1">
        <f t="shared" si="315"/>
        <v>6.9401781520904982E-2</v>
      </c>
      <c r="I337" s="1">
        <f t="shared" si="315"/>
        <v>0</v>
      </c>
      <c r="J337" s="1">
        <f t="shared" si="315"/>
        <v>9.3004046844345836E-3</v>
      </c>
      <c r="K337" s="1">
        <f t="shared" si="315"/>
        <v>1.3196404489158702E-3</v>
      </c>
      <c r="L337" s="1">
        <f t="shared" ref="L337" si="316">IFERROR(L109/L93,0)*L321</f>
        <v>0</v>
      </c>
      <c r="N337" s="1"/>
    </row>
    <row r="338" spans="1:14" x14ac:dyDescent="0.3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81"/>
        <v>PJ/yr.</v>
      </c>
      <c r="F338" s="1">
        <f t="shared" ref="F338:K338" si="317">IFERROR(F110/F94,0)*F322</f>
        <v>0</v>
      </c>
      <c r="G338" s="1">
        <f t="shared" si="317"/>
        <v>0</v>
      </c>
      <c r="H338" s="1">
        <f t="shared" si="317"/>
        <v>0</v>
      </c>
      <c r="I338" s="1">
        <f t="shared" si="317"/>
        <v>0</v>
      </c>
      <c r="J338" s="1">
        <f t="shared" si="317"/>
        <v>0</v>
      </c>
      <c r="K338" s="1">
        <f t="shared" si="317"/>
        <v>0</v>
      </c>
      <c r="L338" s="1">
        <f t="shared" ref="L338" si="318">IFERROR(L110/L94,0)*L322</f>
        <v>0</v>
      </c>
      <c r="N338" s="1"/>
    </row>
    <row r="339" spans="1:14" x14ac:dyDescent="0.3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81"/>
        <v>PJ/yr.</v>
      </c>
      <c r="F339" s="1">
        <f t="shared" ref="F339:K339" si="319">IFERROR(F111/F95,0)*F323</f>
        <v>0</v>
      </c>
      <c r="G339" s="1">
        <f t="shared" si="319"/>
        <v>0</v>
      </c>
      <c r="H339" s="1">
        <f t="shared" si="319"/>
        <v>0</v>
      </c>
      <c r="I339" s="1">
        <f t="shared" si="319"/>
        <v>0</v>
      </c>
      <c r="J339" s="1">
        <f t="shared" si="319"/>
        <v>0</v>
      </c>
      <c r="K339" s="1">
        <f t="shared" si="319"/>
        <v>0</v>
      </c>
      <c r="L339" s="1">
        <f t="shared" ref="L339" si="320">IFERROR(L111/L95,0)*L323</f>
        <v>0</v>
      </c>
      <c r="N339" s="1"/>
    </row>
    <row r="340" spans="1:14" x14ac:dyDescent="0.3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81"/>
        <v>PJ/yr.</v>
      </c>
      <c r="F340" s="1">
        <f t="shared" ref="F340:K340" si="321">IFERROR(F112/F96,0)*F324</f>
        <v>0.87003213443145633</v>
      </c>
      <c r="G340" s="1">
        <f t="shared" si="321"/>
        <v>0.76501728182945716</v>
      </c>
      <c r="H340" s="1">
        <f t="shared" si="321"/>
        <v>0.64928218907565627</v>
      </c>
      <c r="I340" s="1">
        <f t="shared" si="321"/>
        <v>0</v>
      </c>
      <c r="J340" s="1">
        <f t="shared" si="321"/>
        <v>3.3092252759797745E-3</v>
      </c>
      <c r="K340" s="1">
        <f t="shared" si="321"/>
        <v>4.2341143195391735E-4</v>
      </c>
      <c r="L340" s="1">
        <f t="shared" ref="L340" si="322">IFERROR(L112/L96,0)*L324</f>
        <v>0</v>
      </c>
      <c r="N340" s="1"/>
    </row>
    <row r="341" spans="1:14" x14ac:dyDescent="0.3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81"/>
        <v>PJ/yr.</v>
      </c>
      <c r="F341" s="1">
        <f t="shared" ref="F341:K341" si="323">IFERROR(F113/F97,0)*F325</f>
        <v>0</v>
      </c>
      <c r="G341" s="1">
        <f t="shared" si="323"/>
        <v>0</v>
      </c>
      <c r="H341" s="1">
        <f t="shared" si="323"/>
        <v>0</v>
      </c>
      <c r="I341" s="1">
        <f t="shared" si="323"/>
        <v>0</v>
      </c>
      <c r="J341" s="1">
        <f t="shared" si="323"/>
        <v>0</v>
      </c>
      <c r="K341" s="1">
        <f t="shared" si="323"/>
        <v>0</v>
      </c>
      <c r="L341" s="1">
        <f t="shared" ref="L341" si="324">IFERROR(L113/L97,0)*L325</f>
        <v>0</v>
      </c>
      <c r="N341" s="1"/>
    </row>
    <row r="342" spans="1:14" x14ac:dyDescent="0.3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81"/>
        <v>PJ/yr.</v>
      </c>
      <c r="F342" s="1">
        <f>SUM(F343:F357)</f>
        <v>1.1511185640035515</v>
      </c>
      <c r="G342" s="1">
        <f t="shared" ref="G342:K342" si="325">SUM(G343:G357)</f>
        <v>1.2961899387323963</v>
      </c>
      <c r="H342" s="1">
        <f t="shared" si="325"/>
        <v>1.3918479297466249</v>
      </c>
      <c r="I342" s="1">
        <f>IFERROR(SUM(I343:I357),0)</f>
        <v>1.3909929147101303</v>
      </c>
      <c r="J342" s="1">
        <f t="shared" si="325"/>
        <v>1.5874574130108969</v>
      </c>
      <c r="K342" s="1">
        <f t="shared" si="325"/>
        <v>1.6082464753823364</v>
      </c>
      <c r="L342" s="1">
        <f>IFERROR(SUM(L343:L357),0)</f>
        <v>2.6788557637140391</v>
      </c>
      <c r="N342" s="1"/>
    </row>
    <row r="343" spans="1:14" x14ac:dyDescent="0.3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81"/>
        <v>PJ/yr.</v>
      </c>
      <c r="F343" s="1">
        <f>F311-F327</f>
        <v>0</v>
      </c>
      <c r="G343" s="1">
        <f t="shared" ref="G343:K343" si="326">G311-G327</f>
        <v>0</v>
      </c>
      <c r="H343" s="1">
        <f t="shared" si="326"/>
        <v>0</v>
      </c>
      <c r="I343" s="1">
        <f t="shared" si="326"/>
        <v>0</v>
      </c>
      <c r="J343" s="1">
        <f t="shared" si="326"/>
        <v>0</v>
      </c>
      <c r="K343" s="1">
        <f t="shared" si="326"/>
        <v>6.1934418739050924E-6</v>
      </c>
      <c r="L343" s="1">
        <f t="shared" ref="L343" si="327">L311-L327</f>
        <v>2.2376331795074516E-3</v>
      </c>
      <c r="N343" s="1"/>
    </row>
    <row r="344" spans="1:14" x14ac:dyDescent="0.3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81"/>
        <v>PJ/yr.</v>
      </c>
      <c r="F344" s="1">
        <f t="shared" ref="F344:K344" si="328">F312-F328</f>
        <v>0</v>
      </c>
      <c r="G344" s="1">
        <f t="shared" si="328"/>
        <v>0</v>
      </c>
      <c r="H344" s="1">
        <f t="shared" si="328"/>
        <v>0</v>
      </c>
      <c r="I344" s="1">
        <f t="shared" si="328"/>
        <v>0</v>
      </c>
      <c r="J344" s="1">
        <f t="shared" si="328"/>
        <v>0</v>
      </c>
      <c r="K344" s="1">
        <f t="shared" si="328"/>
        <v>5.276385085797839E-6</v>
      </c>
      <c r="L344" s="1">
        <f t="shared" ref="L344" si="329">L312-L328</f>
        <v>6.921125695823041E-2</v>
      </c>
      <c r="N344" s="1"/>
    </row>
    <row r="345" spans="1:14" x14ac:dyDescent="0.3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81"/>
        <v>PJ/yr.</v>
      </c>
      <c r="F345" s="1">
        <f t="shared" ref="F345:K345" si="330">F313-F329</f>
        <v>0</v>
      </c>
      <c r="G345" s="1">
        <f t="shared" si="330"/>
        <v>0</v>
      </c>
      <c r="H345" s="1">
        <f t="shared" si="330"/>
        <v>0</v>
      </c>
      <c r="I345" s="1">
        <f t="shared" si="330"/>
        <v>0</v>
      </c>
      <c r="J345" s="1">
        <f t="shared" si="330"/>
        <v>0</v>
      </c>
      <c r="K345" s="1">
        <f t="shared" si="330"/>
        <v>0</v>
      </c>
      <c r="L345" s="1">
        <f t="shared" ref="L345" si="331">L313-L329</f>
        <v>0</v>
      </c>
      <c r="N345" s="1"/>
    </row>
    <row r="346" spans="1:14" x14ac:dyDescent="0.3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81"/>
        <v>PJ/yr.</v>
      </c>
      <c r="F346" s="1">
        <f t="shared" ref="F346:K346" si="332">F314-F330</f>
        <v>3.5295534373498416E-2</v>
      </c>
      <c r="G346" s="1">
        <f t="shared" si="332"/>
        <v>9.8944198899837688E-4</v>
      </c>
      <c r="H346" s="1">
        <f t="shared" si="332"/>
        <v>6.2593161464695318E-3</v>
      </c>
      <c r="I346" s="1">
        <f t="shared" si="332"/>
        <v>0</v>
      </c>
      <c r="J346" s="1">
        <f t="shared" si="332"/>
        <v>0</v>
      </c>
      <c r="K346" s="1">
        <f t="shared" si="332"/>
        <v>0</v>
      </c>
      <c r="L346" s="1">
        <f t="shared" ref="L346" si="333">L314-L330</f>
        <v>0</v>
      </c>
      <c r="N346" s="1"/>
    </row>
    <row r="347" spans="1:14" x14ac:dyDescent="0.3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81"/>
        <v>PJ/yr.</v>
      </c>
      <c r="F347" s="1">
        <f t="shared" ref="F347:K347" si="334">F315-F331</f>
        <v>0</v>
      </c>
      <c r="G347" s="1">
        <f t="shared" si="334"/>
        <v>0</v>
      </c>
      <c r="H347" s="1">
        <f t="shared" si="334"/>
        <v>0</v>
      </c>
      <c r="I347" s="1">
        <f t="shared" si="334"/>
        <v>0</v>
      </c>
      <c r="J347" s="1">
        <f t="shared" si="334"/>
        <v>0</v>
      </c>
      <c r="K347" s="1">
        <f t="shared" si="334"/>
        <v>0</v>
      </c>
      <c r="L347" s="1">
        <f t="shared" ref="L347" si="335">L315-L331</f>
        <v>0</v>
      </c>
      <c r="N347" s="1"/>
    </row>
    <row r="348" spans="1:14" x14ac:dyDescent="0.3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81"/>
        <v>PJ/yr.</v>
      </c>
      <c r="F348" s="1">
        <f t="shared" ref="F348:K348" si="336">F316-F332</f>
        <v>2.255185386148717E-2</v>
      </c>
      <c r="G348" s="1">
        <f t="shared" si="336"/>
        <v>9.9746762314171233E-3</v>
      </c>
      <c r="H348" s="1">
        <f t="shared" si="336"/>
        <v>3.4158129260851933E-2</v>
      </c>
      <c r="I348" s="1">
        <f t="shared" si="336"/>
        <v>7.0844484548532455E-3</v>
      </c>
      <c r="J348" s="1">
        <f t="shared" si="336"/>
        <v>0.1209696640861937</v>
      </c>
      <c r="K348" s="1">
        <f t="shared" si="336"/>
        <v>5.4070996813535138E-2</v>
      </c>
      <c r="L348" s="1">
        <f t="shared" ref="L348" si="337">L316-L332</f>
        <v>0.77962202346487652</v>
      </c>
      <c r="N348" s="1"/>
    </row>
    <row r="349" spans="1:14" x14ac:dyDescent="0.3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81"/>
        <v>PJ/yr.</v>
      </c>
      <c r="F349" s="1">
        <f t="shared" ref="F349:K349" si="338">F317-F333</f>
        <v>0</v>
      </c>
      <c r="G349" s="1">
        <f t="shared" si="338"/>
        <v>0</v>
      </c>
      <c r="H349" s="1">
        <f t="shared" si="338"/>
        <v>0</v>
      </c>
      <c r="I349" s="1">
        <f t="shared" si="338"/>
        <v>0</v>
      </c>
      <c r="J349" s="1">
        <f t="shared" si="338"/>
        <v>0</v>
      </c>
      <c r="K349" s="1">
        <f t="shared" si="338"/>
        <v>7.8214420085776122E-3</v>
      </c>
      <c r="L349" s="1">
        <f t="shared" ref="L349" si="339">L317-L333</f>
        <v>0.32403443478812616</v>
      </c>
      <c r="N349" s="1"/>
    </row>
    <row r="350" spans="1:14" x14ac:dyDescent="0.3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81"/>
        <v>PJ/yr.</v>
      </c>
      <c r="F350" s="1">
        <f t="shared" ref="F350:K350" si="340">F318-F334</f>
        <v>0</v>
      </c>
      <c r="G350" s="1">
        <f t="shared" si="340"/>
        <v>0</v>
      </c>
      <c r="H350" s="1">
        <f t="shared" si="340"/>
        <v>0</v>
      </c>
      <c r="I350" s="1">
        <f t="shared" si="340"/>
        <v>0</v>
      </c>
      <c r="J350" s="1">
        <f t="shared" si="340"/>
        <v>0</v>
      </c>
      <c r="K350" s="1">
        <f t="shared" si="340"/>
        <v>0</v>
      </c>
      <c r="L350" s="1">
        <f t="shared" ref="L350" si="341">L318-L334</f>
        <v>0</v>
      </c>
      <c r="N350" s="1"/>
    </row>
    <row r="351" spans="1:14" x14ac:dyDescent="0.3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81"/>
        <v>PJ/yr.</v>
      </c>
      <c r="F351" s="1">
        <f t="shared" ref="F351:K351" si="342">F319-F335</f>
        <v>2.7376901372266477E-3</v>
      </c>
      <c r="G351" s="1">
        <f t="shared" si="342"/>
        <v>4.9019881953567615E-4</v>
      </c>
      <c r="H351" s="1">
        <f t="shared" si="342"/>
        <v>2.5907387612830179E-3</v>
      </c>
      <c r="I351" s="1">
        <f>IFERROR(I319-I335,0)</f>
        <v>0</v>
      </c>
      <c r="J351" s="1">
        <f t="shared" si="342"/>
        <v>1.1553448351319323E-3</v>
      </c>
      <c r="K351" s="1">
        <f t="shared" si="342"/>
        <v>5.2528667175596045E-4</v>
      </c>
      <c r="L351" s="1">
        <f>IFERROR(L319-L335,0)</f>
        <v>0</v>
      </c>
      <c r="N351" s="1"/>
    </row>
    <row r="352" spans="1:14" x14ac:dyDescent="0.3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81"/>
        <v>PJ/yr.</v>
      </c>
      <c r="F352" s="1">
        <f t="shared" ref="F352:K352" si="343">F320-F336</f>
        <v>0</v>
      </c>
      <c r="G352" s="1">
        <f t="shared" si="343"/>
        <v>0</v>
      </c>
      <c r="H352" s="1">
        <f t="shared" si="343"/>
        <v>0</v>
      </c>
      <c r="I352" s="1">
        <f t="shared" si="343"/>
        <v>0</v>
      </c>
      <c r="J352" s="1">
        <f t="shared" si="343"/>
        <v>0</v>
      </c>
      <c r="K352" s="1">
        <f t="shared" si="343"/>
        <v>0</v>
      </c>
      <c r="L352" s="1">
        <f t="shared" ref="L352" si="344">L320-L336</f>
        <v>0</v>
      </c>
      <c r="N352" s="1"/>
    </row>
    <row r="353" spans="1:15" x14ac:dyDescent="0.3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81"/>
        <v>PJ/yr.</v>
      </c>
      <c r="F353" s="1">
        <f t="shared" ref="F353:K353" si="345">F321-F337</f>
        <v>3.2553364190377465E-3</v>
      </c>
      <c r="G353" s="1">
        <f t="shared" si="345"/>
        <v>6.6756862269132244E-4</v>
      </c>
      <c r="H353" s="1">
        <f t="shared" si="345"/>
        <v>3.9630108782644502E-3</v>
      </c>
      <c r="I353" s="1">
        <f t="shared" si="345"/>
        <v>0</v>
      </c>
      <c r="J353" s="1">
        <f t="shared" si="345"/>
        <v>2.1537207031549835E-3</v>
      </c>
      <c r="K353" s="1">
        <f t="shared" si="345"/>
        <v>8.8699948903611702E-4</v>
      </c>
      <c r="L353" s="1">
        <f t="shared" ref="L353" si="346">L321-L337</f>
        <v>0</v>
      </c>
      <c r="N353" s="1"/>
    </row>
    <row r="354" spans="1:15" x14ac:dyDescent="0.3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81"/>
        <v>PJ/yr.</v>
      </c>
      <c r="F354" s="1">
        <f t="shared" ref="F354:K354" si="347">F322-F338</f>
        <v>0</v>
      </c>
      <c r="G354" s="1">
        <f t="shared" si="347"/>
        <v>0</v>
      </c>
      <c r="H354" s="1">
        <f t="shared" si="347"/>
        <v>0</v>
      </c>
      <c r="I354" s="1">
        <f t="shared" si="347"/>
        <v>0</v>
      </c>
      <c r="J354" s="1">
        <f t="shared" si="347"/>
        <v>0</v>
      </c>
      <c r="K354" s="1">
        <f t="shared" si="347"/>
        <v>0</v>
      </c>
      <c r="L354" s="1">
        <f t="shared" ref="L354" si="348">L322-L338</f>
        <v>0</v>
      </c>
      <c r="N354" s="1"/>
    </row>
    <row r="355" spans="1:15" x14ac:dyDescent="0.3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81"/>
        <v>PJ/yr.</v>
      </c>
      <c r="F355" s="1">
        <f t="shared" ref="F355:K355" si="349">F323-F339</f>
        <v>1.0647533428843095</v>
      </c>
      <c r="G355" s="1">
        <f t="shared" si="349"/>
        <v>1.2566906558847364</v>
      </c>
      <c r="H355" s="1">
        <f t="shared" si="349"/>
        <v>1.3078011392037654</v>
      </c>
      <c r="I355" s="1">
        <f t="shared" si="349"/>
        <v>1.383908466255277</v>
      </c>
      <c r="J355" s="1">
        <f t="shared" si="349"/>
        <v>1.4624123568414855</v>
      </c>
      <c r="K355" s="1">
        <f t="shared" si="349"/>
        <v>1.5446456835641702</v>
      </c>
      <c r="L355" s="1">
        <f t="shared" ref="L355" si="350">L323-L339</f>
        <v>1.5037504153232986</v>
      </c>
      <c r="N355" s="1"/>
    </row>
    <row r="356" spans="1:15" x14ac:dyDescent="0.3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81"/>
        <v>PJ/yr.</v>
      </c>
      <c r="F356" s="1">
        <f t="shared" ref="F356:K356" si="351">F324-F340</f>
        <v>2.2524806327992142E-2</v>
      </c>
      <c r="G356" s="1">
        <f t="shared" si="351"/>
        <v>2.7377397185017416E-2</v>
      </c>
      <c r="H356" s="1">
        <f t="shared" si="351"/>
        <v>3.7075595495990599E-2</v>
      </c>
      <c r="I356" s="1">
        <f t="shared" si="351"/>
        <v>0</v>
      </c>
      <c r="J356" s="1">
        <f t="shared" si="351"/>
        <v>7.6632654493084557E-4</v>
      </c>
      <c r="K356" s="1">
        <f t="shared" si="351"/>
        <v>2.8459700830155317E-4</v>
      </c>
      <c r="L356" s="1">
        <f t="shared" ref="L356" si="352">L324-L340</f>
        <v>0</v>
      </c>
      <c r="N356" s="1"/>
    </row>
    <row r="357" spans="1:15" x14ac:dyDescent="0.3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81"/>
        <v>PJ/yr.</v>
      </c>
      <c r="F357" s="1">
        <f t="shared" ref="F357:K357" si="353">F325-F341</f>
        <v>0</v>
      </c>
      <c r="G357" s="1">
        <f t="shared" si="353"/>
        <v>0</v>
      </c>
      <c r="H357" s="1">
        <f t="shared" si="353"/>
        <v>0</v>
      </c>
      <c r="I357" s="1">
        <f t="shared" si="353"/>
        <v>0</v>
      </c>
      <c r="J357" s="1">
        <f t="shared" si="353"/>
        <v>0</v>
      </c>
      <c r="K357" s="1">
        <f t="shared" si="353"/>
        <v>0</v>
      </c>
      <c r="L357" s="1">
        <f t="shared" ref="L357" si="354">L325-L341</f>
        <v>0</v>
      </c>
      <c r="N357" s="1"/>
    </row>
    <row r="358" spans="1:15" x14ac:dyDescent="0.3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55">E357</f>
        <v>PJ/yr.</v>
      </c>
      <c r="F358" s="1">
        <f>SUM(F359:F364)</f>
        <v>22.495592698041992</v>
      </c>
      <c r="G358" s="1">
        <f t="shared" ref="G358:K358" si="356">SUM(G359:G364)</f>
        <v>24.703746857402027</v>
      </c>
      <c r="H358" s="1">
        <f t="shared" si="356"/>
        <v>27.024424697068927</v>
      </c>
      <c r="I358" s="1">
        <f t="shared" si="356"/>
        <v>25.859022944312148</v>
      </c>
      <c r="J358" s="1">
        <f t="shared" si="356"/>
        <v>25.173492002904965</v>
      </c>
      <c r="K358" s="1">
        <f t="shared" si="356"/>
        <v>28.805315410743141</v>
      </c>
      <c r="L358" s="1">
        <f t="shared" ref="L358" si="357">SUM(L359:L364)</f>
        <v>48.271809116009116</v>
      </c>
      <c r="N358" s="1"/>
    </row>
    <row r="359" spans="1:15" x14ac:dyDescent="0.3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55"/>
        <v>PJ/yr.</v>
      </c>
      <c r="F359" s="1">
        <f>'[1]Electricity and CHPs_IN'!B$19</f>
        <v>18.203630783692468</v>
      </c>
      <c r="G359" s="1">
        <f>'[1]Electricity and CHPs_IN'!C$19</f>
        <v>20.449481328055573</v>
      </c>
      <c r="H359" s="1">
        <f>'[1]Electricity and CHPs_IN'!D$19</f>
        <v>23.37941964085519</v>
      </c>
      <c r="I359" s="1">
        <f>'[1]Electricity and CHPs_IN'!E$19</f>
        <v>21.740037121186226</v>
      </c>
      <c r="J359" s="1">
        <f>'[2]Electricity and CHPs_IN'!F$19</f>
        <v>20.95877905990028</v>
      </c>
      <c r="K359" s="1">
        <f>'[2]Electricity and CHPs_IN'!G$19</f>
        <v>15.245434958324228</v>
      </c>
      <c r="L359" s="1">
        <f>'[2]Electricity and CHPs_IN'!H$19</f>
        <v>2.6942000699260874E-3</v>
      </c>
      <c r="N359" s="1"/>
      <c r="O359" s="1"/>
    </row>
    <row r="360" spans="1:15" x14ac:dyDescent="0.3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55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'[2]Electricity and CHPs_IN'!F$20</f>
        <v>0</v>
      </c>
      <c r="K360" s="1">
        <f>'[2]Electricity and CHPs_IN'!G$20</f>
        <v>8.4767119408482667</v>
      </c>
      <c r="L360" s="1">
        <f>'[2]Electricity and CHPs_IN'!H$20</f>
        <v>27.335344961048065</v>
      </c>
      <c r="N360" s="1"/>
      <c r="O360" s="1"/>
    </row>
    <row r="361" spans="1:15" x14ac:dyDescent="0.3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55"/>
        <v>PJ/yr.</v>
      </c>
      <c r="F361" s="1">
        <f>IFERROR(F133/SUM(F133,F198),0)*'[1]Electricity and CHPs_IN'!B$26</f>
        <v>3.8975072429808311</v>
      </c>
      <c r="G361" s="1">
        <f>IFERROR(G133/SUM(G133,G198),0)*'[1]Electricity and CHPs_IN'!C$26</f>
        <v>3.8212567093944836</v>
      </c>
      <c r="H361" s="1">
        <f>IFERROR(H133/SUM(H133,H198),0)*'[1]Electricity and CHPs_IN'!D$26</f>
        <v>3.6210573285347292</v>
      </c>
      <c r="I361" s="1">
        <f>IFERROR(I133/SUM(I133,I198),0)*'[1]Electricity and CHPs_IN'!E$26</f>
        <v>4.0888133004811937</v>
      </c>
      <c r="J361" s="1">
        <f>IFERROR(J133/SUM(J133,J198),0)*'[2]Electricity and CHPs_IN'!F$26</f>
        <v>4.2123277576781133</v>
      </c>
      <c r="K361" s="1">
        <f>IFERROR(K133/SUM(K133,K198),0)*'[2]Electricity and CHPs_IN'!G$26</f>
        <v>3.8021598261242127</v>
      </c>
      <c r="L361" s="1">
        <f>IFERROR(L133/SUM(L133,L198),0)*'[2]Electricity and CHPs_IN'!H$26</f>
        <v>16.814530655724511</v>
      </c>
      <c r="N361" s="1"/>
    </row>
    <row r="362" spans="1:15" x14ac:dyDescent="0.3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55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IFERROR(J134/SUM(J134,J199),0)*'[2]Electricity and CHPs_IN'!F$27</f>
        <v>0</v>
      </c>
      <c r="K362" s="1">
        <f>IFERROR(K134/SUM(K134,K199),0)*'[2]Electricity and CHPs_IN'!G$27</f>
        <v>0.94750245571791503</v>
      </c>
      <c r="L362" s="1">
        <f>IFERROR(L134/SUM(L134,L199),0)*'[2]Electricity and CHPs_IN'!H$27</f>
        <v>2.8071374708987116</v>
      </c>
      <c r="N362" s="1"/>
    </row>
    <row r="363" spans="1:15" x14ac:dyDescent="0.3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55"/>
        <v>PJ/yr.</v>
      </c>
      <c r="F363" s="1">
        <f>IFERROR(F135/SUM(F135,F274),0)*'[1]Electricity and CHPs_IN'!B$44</f>
        <v>0.39445467136869372</v>
      </c>
      <c r="G363" s="1">
        <f>IFERROR(G135/SUM(G135,G274),0)*'[1]Electricity and CHPs_IN'!C$44</f>
        <v>0.43300881995197105</v>
      </c>
      <c r="H363" s="1">
        <f>IFERROR(H135/SUM(H135,H274),0)*'[1]Electricity and CHPs_IN'!D$44</f>
        <v>2.394772767900772E-2</v>
      </c>
      <c r="I363" s="1">
        <f>IFERROR(I135/SUM(I135,I274),0)*'[1]Electricity and CHPs_IN'!E$44</f>
        <v>3.0172522644727841E-2</v>
      </c>
      <c r="J363" s="1">
        <f>IFERROR(J135/SUM(J135,J274),0)*'[2]Electricity and CHPs_IN'!F$44</f>
        <v>2.385185326571883E-3</v>
      </c>
      <c r="K363" s="1">
        <f>IFERROR(K135/SUM(K135,K274),0)*'[2]Electricity and CHPs_IN'!G$44</f>
        <v>1.2866214992972686E-3</v>
      </c>
      <c r="L363" s="1">
        <f>IFERROR(L135/SUM(L135,L274),0)*'[2]Electricity and CHPs_IN'!H$44</f>
        <v>3.598864678768227E-4</v>
      </c>
      <c r="N363" s="1"/>
    </row>
    <row r="364" spans="1:15" x14ac:dyDescent="0.3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55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IFERROR(J136/SUM(J136,J275),0)*'[2]Electricity and CHPs_IN'!F$45</f>
        <v>0</v>
      </c>
      <c r="K364" s="1">
        <f>IFERROR(K136/SUM(K136,K275),0)*'[2]Electricity and CHPs_IN'!G$45</f>
        <v>0.33221960822922419</v>
      </c>
      <c r="L364" s="1">
        <f>IFERROR(L136/SUM(L136,L275),0)*'[2]Electricity and CHPs_IN'!H$45</f>
        <v>1.31174194180003</v>
      </c>
      <c r="N364" s="1"/>
      <c r="O364" s="4"/>
    </row>
    <row r="365" spans="1:15" x14ac:dyDescent="0.3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55"/>
        <v>PJ/yr.</v>
      </c>
      <c r="F365" s="1">
        <f>SUM(F366:F369)</f>
        <v>11.050569013336652</v>
      </c>
      <c r="G365" s="1">
        <f t="shared" ref="G365:K365" si="358">SUM(G366:G369)</f>
        <v>12.135369018725026</v>
      </c>
      <c r="H365" s="1">
        <f t="shared" si="358"/>
        <v>13.500238484694959</v>
      </c>
      <c r="I365" s="1">
        <f t="shared" si="358"/>
        <v>12.914425210833709</v>
      </c>
      <c r="J365" s="1">
        <f t="shared" si="358"/>
        <v>12.585553408789197</v>
      </c>
      <c r="K365" s="1">
        <f t="shared" si="358"/>
        <v>14.235904590507312</v>
      </c>
      <c r="L365" s="1">
        <f t="shared" ref="L365" si="359">SUM(L366:L369)</f>
        <v>23.479853643870605</v>
      </c>
      <c r="N365" s="1"/>
      <c r="O365" s="7"/>
    </row>
    <row r="366" spans="1:15" x14ac:dyDescent="0.3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55"/>
        <v>PJ/yr.</v>
      </c>
      <c r="F366" s="1">
        <f>F359*IFERROR(F138/F131,0)</f>
        <v>9.1018153918462357</v>
      </c>
      <c r="G366" s="1">
        <f t="shared" ref="G366:K366" si="360">G359*IFERROR(G138/G131,0)</f>
        <v>10.224740664027784</v>
      </c>
      <c r="H366" s="1">
        <f t="shared" si="360"/>
        <v>11.689709820427595</v>
      </c>
      <c r="I366" s="1">
        <f t="shared" si="360"/>
        <v>10.870018560593113</v>
      </c>
      <c r="J366" s="1">
        <f t="shared" si="360"/>
        <v>10.47938952995014</v>
      </c>
      <c r="K366" s="1">
        <f t="shared" si="360"/>
        <v>7.6227174791621142</v>
      </c>
      <c r="L366" s="1">
        <f t="shared" ref="L366" si="361">L359*IFERROR(L138/L131,0)</f>
        <v>1.3471000349630437E-3</v>
      </c>
      <c r="N366" s="1"/>
      <c r="O366" s="1"/>
    </row>
    <row r="367" spans="1:15" x14ac:dyDescent="0.3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55"/>
        <v>PJ/yr.</v>
      </c>
      <c r="F367" s="1">
        <f t="shared" ref="F367:K367" si="362">F360*IFERROR(F139/F132,0)</f>
        <v>0</v>
      </c>
      <c r="G367" s="1">
        <f t="shared" si="362"/>
        <v>0</v>
      </c>
      <c r="H367" s="1">
        <f t="shared" si="362"/>
        <v>0</v>
      </c>
      <c r="I367" s="1">
        <f t="shared" si="362"/>
        <v>0</v>
      </c>
      <c r="J367" s="1">
        <f t="shared" si="362"/>
        <v>0</v>
      </c>
      <c r="K367" s="1">
        <f t="shared" si="362"/>
        <v>4.2383559704241334</v>
      </c>
      <c r="L367" s="1">
        <f t="shared" ref="L367" si="363">L360*IFERROR(L139/L132,0)</f>
        <v>13.667672480524029</v>
      </c>
      <c r="N367" s="1"/>
    </row>
    <row r="368" spans="1:15" x14ac:dyDescent="0.3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55"/>
        <v>PJ/yr.</v>
      </c>
      <c r="F368" s="1">
        <f t="shared" ref="F368:K368" si="364">F361*IFERROR(F140/F133,0)</f>
        <v>1.9487536214904155</v>
      </c>
      <c r="G368" s="1">
        <f t="shared" si="364"/>
        <v>1.9106283546972418</v>
      </c>
      <c r="H368" s="1">
        <f t="shared" si="364"/>
        <v>1.8105286642673646</v>
      </c>
      <c r="I368" s="1">
        <f t="shared" si="364"/>
        <v>2.0444066502405969</v>
      </c>
      <c r="J368" s="1">
        <f t="shared" si="364"/>
        <v>2.1061638788390566</v>
      </c>
      <c r="K368" s="1">
        <f t="shared" si="364"/>
        <v>1.9010799130621063</v>
      </c>
      <c r="L368" s="1">
        <f t="shared" ref="L368" si="365">L361*IFERROR(L140/L133,0)</f>
        <v>8.4072653278622571</v>
      </c>
      <c r="N368" s="1"/>
    </row>
    <row r="369" spans="1:15" x14ac:dyDescent="0.3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55"/>
        <v>PJ/yr.</v>
      </c>
      <c r="F369" s="1">
        <f t="shared" ref="F369:K369" si="366">F362*IFERROR(F141/F134,0)</f>
        <v>0</v>
      </c>
      <c r="G369" s="1">
        <f t="shared" si="366"/>
        <v>0</v>
      </c>
      <c r="H369" s="1">
        <f t="shared" si="366"/>
        <v>0</v>
      </c>
      <c r="I369" s="1">
        <f t="shared" si="366"/>
        <v>0</v>
      </c>
      <c r="J369" s="1">
        <f t="shared" si="366"/>
        <v>0</v>
      </c>
      <c r="K369" s="1">
        <f t="shared" si="366"/>
        <v>0.47375122785895762</v>
      </c>
      <c r="L369" s="1">
        <f t="shared" ref="L369" si="367">L362*IFERROR(L141/L134,0)</f>
        <v>1.4035687354493558</v>
      </c>
      <c r="N369" s="1"/>
    </row>
    <row r="370" spans="1:15" x14ac:dyDescent="0.3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55"/>
        <v>PJ/yr.</v>
      </c>
      <c r="F370" s="1">
        <f t="shared" ref="F370:K370" si="368">F363*IFERROR(F142/F135,0)</f>
        <v>0</v>
      </c>
      <c r="G370" s="1">
        <f t="shared" si="368"/>
        <v>0</v>
      </c>
      <c r="H370" s="1">
        <f t="shared" si="368"/>
        <v>0</v>
      </c>
      <c r="I370" s="1">
        <f t="shared" si="368"/>
        <v>0</v>
      </c>
      <c r="J370" s="1">
        <f t="shared" si="368"/>
        <v>0</v>
      </c>
      <c r="K370" s="1">
        <f t="shared" si="368"/>
        <v>0</v>
      </c>
      <c r="L370" s="1">
        <f t="shared" ref="L370" si="369">L363*IFERROR(L142/L135,0)</f>
        <v>0</v>
      </c>
      <c r="N370" s="1"/>
    </row>
    <row r="371" spans="1:15" x14ac:dyDescent="0.3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55"/>
        <v>PJ/yr.</v>
      </c>
      <c r="F371" s="1">
        <f t="shared" ref="F371:K371" si="370">F364*IFERROR(F143/F136,0)</f>
        <v>0</v>
      </c>
      <c r="G371" s="1">
        <f t="shared" si="370"/>
        <v>0</v>
      </c>
      <c r="H371" s="1">
        <f t="shared" si="370"/>
        <v>0</v>
      </c>
      <c r="I371" s="1">
        <f t="shared" si="370"/>
        <v>0</v>
      </c>
      <c r="J371" s="1">
        <f t="shared" si="370"/>
        <v>0</v>
      </c>
      <c r="K371" s="1">
        <f t="shared" si="370"/>
        <v>0</v>
      </c>
      <c r="L371" s="1">
        <f t="shared" ref="L371" si="371">L364*IFERROR(L143/L136,0)</f>
        <v>0</v>
      </c>
      <c r="N371" s="1"/>
    </row>
    <row r="372" spans="1:15" x14ac:dyDescent="0.3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55"/>
        <v>PJ/yr.</v>
      </c>
      <c r="F372" s="1">
        <f>SUM(F373:F378)</f>
        <v>11.445023684705342</v>
      </c>
      <c r="G372" s="1">
        <f t="shared" ref="G372:K372" si="372">SUM(G373:G378)</f>
        <v>12.568377838676998</v>
      </c>
      <c r="H372" s="1">
        <f t="shared" si="372"/>
        <v>13.524186212373968</v>
      </c>
      <c r="I372" s="1">
        <f t="shared" si="372"/>
        <v>12.944597733478437</v>
      </c>
      <c r="J372" s="1">
        <f t="shared" si="372"/>
        <v>12.587938594115769</v>
      </c>
      <c r="K372" s="1">
        <f t="shared" si="372"/>
        <v>14.569410820235831</v>
      </c>
      <c r="L372" s="1">
        <f t="shared" ref="L372" si="373">SUM(L373:L378)</f>
        <v>24.791955472138511</v>
      </c>
      <c r="M372" s="1"/>
      <c r="N372" s="1"/>
      <c r="O372" s="1"/>
    </row>
    <row r="373" spans="1:15" x14ac:dyDescent="0.3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55"/>
        <v>PJ/yr.</v>
      </c>
      <c r="F373" s="1">
        <f t="shared" ref="F373:K373" si="374">F366*IFERROR(F145/F138,0)</f>
        <v>9.1018153918462339</v>
      </c>
      <c r="G373" s="1">
        <f t="shared" si="374"/>
        <v>10.224740664027786</v>
      </c>
      <c r="H373" s="1">
        <f t="shared" si="374"/>
        <v>11.689709820427595</v>
      </c>
      <c r="I373" s="1">
        <f t="shared" si="374"/>
        <v>10.870018560593113</v>
      </c>
      <c r="J373" s="1">
        <f t="shared" si="374"/>
        <v>10.47938952995014</v>
      </c>
      <c r="K373" s="1">
        <f t="shared" si="374"/>
        <v>7.6227174791621142</v>
      </c>
      <c r="L373" s="1">
        <f t="shared" ref="L373" si="375">L366*IFERROR(L145/L138,0)</f>
        <v>1.3471000349630437E-3</v>
      </c>
      <c r="M373" s="1"/>
      <c r="N373" s="1"/>
      <c r="O373" s="1"/>
    </row>
    <row r="374" spans="1:15" x14ac:dyDescent="0.3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55"/>
        <v>PJ/yr.</v>
      </c>
      <c r="F374" s="1">
        <f t="shared" ref="F374:K374" si="376">F367*IFERROR(F146/F139,0)</f>
        <v>0</v>
      </c>
      <c r="G374" s="1">
        <f t="shared" si="376"/>
        <v>0</v>
      </c>
      <c r="H374" s="1">
        <f t="shared" si="376"/>
        <v>0</v>
      </c>
      <c r="I374" s="1">
        <f t="shared" si="376"/>
        <v>0</v>
      </c>
      <c r="J374" s="1">
        <f t="shared" si="376"/>
        <v>0</v>
      </c>
      <c r="K374" s="1">
        <f t="shared" si="376"/>
        <v>4.2383559704241334</v>
      </c>
      <c r="L374" s="1">
        <f t="shared" ref="L374" si="377">L367*IFERROR(L146/L139,0)</f>
        <v>13.667672480524034</v>
      </c>
      <c r="N374" s="1"/>
    </row>
    <row r="375" spans="1:15" x14ac:dyDescent="0.3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55"/>
        <v>PJ/yr.</v>
      </c>
      <c r="F375" s="1">
        <f t="shared" ref="F375:K375" si="378">F368*IFERROR(F147/F140,0)</f>
        <v>1.9487536214904155</v>
      </c>
      <c r="G375" s="1">
        <f t="shared" si="378"/>
        <v>1.9106283546972418</v>
      </c>
      <c r="H375" s="1">
        <f t="shared" si="378"/>
        <v>1.8105286642673646</v>
      </c>
      <c r="I375" s="1">
        <f t="shared" si="378"/>
        <v>2.0444066502405969</v>
      </c>
      <c r="J375" s="1">
        <f t="shared" si="378"/>
        <v>2.1061638788390566</v>
      </c>
      <c r="K375" s="1">
        <f t="shared" si="378"/>
        <v>1.9010799130621063</v>
      </c>
      <c r="L375" s="1">
        <f t="shared" ref="L375" si="379">L368*IFERROR(L147/L140,0)</f>
        <v>8.4072653278622536</v>
      </c>
      <c r="N375" s="1"/>
    </row>
    <row r="376" spans="1:15" x14ac:dyDescent="0.3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55"/>
        <v>PJ/yr.</v>
      </c>
      <c r="F376" s="1">
        <f t="shared" ref="F376:K376" si="380">F369*IFERROR(F148/F141,0)</f>
        <v>0</v>
      </c>
      <c r="G376" s="1">
        <f t="shared" si="380"/>
        <v>0</v>
      </c>
      <c r="H376" s="1">
        <f t="shared" si="380"/>
        <v>0</v>
      </c>
      <c r="I376" s="1">
        <f t="shared" si="380"/>
        <v>0</v>
      </c>
      <c r="J376" s="1">
        <f t="shared" si="380"/>
        <v>0</v>
      </c>
      <c r="K376" s="1">
        <f t="shared" si="380"/>
        <v>0.47375122785895751</v>
      </c>
      <c r="L376" s="1">
        <f t="shared" ref="L376" si="381">L369*IFERROR(L148/L141,0)</f>
        <v>1.4035687354493558</v>
      </c>
      <c r="N376" s="1"/>
    </row>
    <row r="377" spans="1:15" x14ac:dyDescent="0.3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55"/>
        <v>PJ/yr.</v>
      </c>
      <c r="F377" s="1">
        <f>F363</f>
        <v>0.39445467136869372</v>
      </c>
      <c r="G377" s="1">
        <f t="shared" ref="G377:K377" si="382">G363</f>
        <v>0.43300881995197105</v>
      </c>
      <c r="H377" s="1">
        <f t="shared" si="382"/>
        <v>2.394772767900772E-2</v>
      </c>
      <c r="I377" s="1">
        <f t="shared" si="382"/>
        <v>3.0172522644727841E-2</v>
      </c>
      <c r="J377" s="1">
        <f t="shared" si="382"/>
        <v>2.385185326571883E-3</v>
      </c>
      <c r="K377" s="1">
        <f t="shared" si="382"/>
        <v>1.2866214992972686E-3</v>
      </c>
      <c r="L377" s="1">
        <f t="shared" ref="L377" si="383">L363</f>
        <v>3.598864678768227E-4</v>
      </c>
      <c r="N377" s="1"/>
    </row>
    <row r="378" spans="1:15" x14ac:dyDescent="0.3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55"/>
        <v>PJ/yr.</v>
      </c>
      <c r="F378" s="1">
        <f t="shared" ref="F378:K378" si="384">F364</f>
        <v>0</v>
      </c>
      <c r="G378" s="1">
        <f t="shared" si="384"/>
        <v>0</v>
      </c>
      <c r="H378" s="1">
        <f t="shared" si="384"/>
        <v>0</v>
      </c>
      <c r="I378" s="1">
        <f t="shared" si="384"/>
        <v>0</v>
      </c>
      <c r="J378" s="1">
        <f t="shared" si="384"/>
        <v>0</v>
      </c>
      <c r="K378" s="1">
        <f t="shared" si="384"/>
        <v>0.33221960822922419</v>
      </c>
      <c r="L378" s="1">
        <f t="shared" ref="L378" si="385">L364</f>
        <v>1.31174194180003</v>
      </c>
      <c r="N378" s="1"/>
    </row>
    <row r="379" spans="1:15" x14ac:dyDescent="0.3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55"/>
        <v>PJ/yr.</v>
      </c>
      <c r="F379" s="1">
        <f>SUM(F380:F386)</f>
        <v>0.18165528715321963</v>
      </c>
      <c r="G379" s="1">
        <f t="shared" ref="G379:K379" si="386">SUM(G380:G386)</f>
        <v>0.39880877077936833</v>
      </c>
      <c r="H379" s="1">
        <f t="shared" si="386"/>
        <v>1.1801065689945827</v>
      </c>
      <c r="I379" s="1">
        <f t="shared" si="386"/>
        <v>2.4707913727888386</v>
      </c>
      <c r="J379" s="1">
        <f t="shared" si="386"/>
        <v>3.6499475134312234</v>
      </c>
      <c r="K379" s="1">
        <f t="shared" si="386"/>
        <v>4.2168679378781571</v>
      </c>
      <c r="L379" s="1">
        <f t="shared" ref="L379" si="387">SUM(L380:L386)</f>
        <v>8.0106794551769891</v>
      </c>
      <c r="N379" s="1"/>
    </row>
    <row r="380" spans="1:15" x14ac:dyDescent="0.3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55"/>
        <v>PJ/yr.</v>
      </c>
      <c r="F380" s="1">
        <f>IFERROR(F152/SUM(F152,F207),0)*'[1]Electricity and CHPs_IN'!B$25</f>
        <v>7.5971511517630209E-4</v>
      </c>
      <c r="G380" s="1">
        <f>IFERROR(G152/SUM(G152,G207),0)*'[1]Electricity and CHPs_IN'!C$25</f>
        <v>4.6793035404071583E-4</v>
      </c>
      <c r="H380" s="1">
        <f>IFERROR(H152/SUM(H152,H207),0)*'[1]Electricity and CHPs_IN'!D$25</f>
        <v>7.7363872484923748E-4</v>
      </c>
      <c r="I380" s="1">
        <f>IFERROR(I152/SUM(I152,I207),0)*'[1]Electricity and CHPs_IN'!E$25</f>
        <v>5.6459674464534711E-2</v>
      </c>
      <c r="J380" s="1">
        <f>IFERROR(J152/SUM(J152,J207),0)*'[2]Electricity and CHPs_IN'!F$25</f>
        <v>0.61555387140633011</v>
      </c>
      <c r="K380" s="1">
        <f>IFERROR(K152/SUM(K152,K207),0)*'[2]Electricity and CHPs_IN'!G$25</f>
        <v>0.83591264997907044</v>
      </c>
      <c r="L380" s="1">
        <f>IFERROR(L152/SUM(L152,L207),0)*'[2]Electricity and CHPs_IN'!H$25</f>
        <v>0.85256988414261103</v>
      </c>
      <c r="N380" s="1"/>
    </row>
    <row r="381" spans="1:15" x14ac:dyDescent="0.3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55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'[2]Electricity and CHPs_IN'!F$31</f>
        <v>0</v>
      </c>
      <c r="K381" s="1">
        <f>'[2]Electricity and CHPs_IN'!G$31</f>
        <v>4.6360333701303685E-3</v>
      </c>
      <c r="L381" s="1">
        <f>'[2]Electricity and CHPs_IN'!H$31</f>
        <v>3.5459972905925428</v>
      </c>
      <c r="N381" s="1"/>
    </row>
    <row r="382" spans="1:15" x14ac:dyDescent="0.3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55"/>
        <v>PJ/yr.</v>
      </c>
      <c r="F382" s="1">
        <f>IFERROR(F154/SUM(F154,F283),0)*'[1]Electricity and CHPs_IN'!B$42</f>
        <v>0.18089557203804332</v>
      </c>
      <c r="G382" s="1">
        <f>IFERROR(G154/SUM(G154,G283),0)*'[1]Electricity and CHPs_IN'!C$42</f>
        <v>0.39834084042532764</v>
      </c>
      <c r="H382" s="1">
        <f>IFERROR(H154/SUM(H154,H283),0)*'[1]Electricity and CHPs_IN'!D$42</f>
        <v>1.1793329302697335</v>
      </c>
      <c r="I382" s="1">
        <f>IFERROR(I154/SUM(I154,I283),0)*'[1]Electricity and CHPs_IN'!E$42</f>
        <v>2.4143316983243039</v>
      </c>
      <c r="J382" s="1">
        <f>IFERROR(J154/SUM(J154,J283),0)*'[2]Electricity and CHPs_IN'!F$42</f>
        <v>2.5781043234532031</v>
      </c>
      <c r="K382" s="1">
        <f>IFERROR(K154/SUM(K154,K283),0)*'[2]Electricity and CHPs_IN'!G$42</f>
        <v>2.2617753445848692</v>
      </c>
      <c r="L382" s="1">
        <f>IFERROR(L154/SUM(L154,L283),0)*'[2]Electricity and CHPs_IN'!H$42</f>
        <v>1.9370381409440931</v>
      </c>
      <c r="N382" s="1"/>
    </row>
    <row r="383" spans="1:15" x14ac:dyDescent="0.3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55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IFERROR(J155/SUM(J155,J284),0)*'[2]Electricity and CHPs_IN'!F$43</f>
        <v>0</v>
      </c>
      <c r="K383" s="1">
        <f>IFERROR(K155/SUM(K155,K284),0)*'[2]Electricity and CHPs_IN'!G$43</f>
        <v>0.5464304709837654</v>
      </c>
      <c r="L383" s="1">
        <f>IFERROR(L155/SUM(L155,L284),0)*'[2]Electricity and CHPs_IN'!H$43</f>
        <v>1.4090320662103542</v>
      </c>
      <c r="N383" s="1"/>
    </row>
    <row r="384" spans="1:15" x14ac:dyDescent="0.3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55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0</v>
      </c>
      <c r="J384" s="1">
        <f>IFERROR(J156/SUM(J285,J156),0)*'[2]Electricity and CHPs_IN'!F$50</f>
        <v>3.1058455743177243E-3</v>
      </c>
      <c r="K384" s="1">
        <f>IFERROR(K156/SUM(K285,K156),0)*'[2]Electricity and CHPs_IN'!G$50</f>
        <v>2.7650837853769191E-3</v>
      </c>
      <c r="L384" s="1">
        <f>IFERROR(L156/SUM(L285,L156),0)*'[2]Electricity and CHPs_IN'!H$50</f>
        <v>1.2323631085730622E-3</v>
      </c>
      <c r="N384" s="1"/>
    </row>
    <row r="385" spans="1:14" x14ac:dyDescent="0.3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55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0</v>
      </c>
      <c r="J385" s="1">
        <f>IFERROR(J157/SUM(J286,J157),0)*'[2]Electricity and CHPs_IN'!F$53</f>
        <v>0.45121641147872277</v>
      </c>
      <c r="K385" s="1">
        <f>IFERROR(K157/SUM(K286,K157),0)*'[2]Electricity and CHPs_IN'!G$53</f>
        <v>0.56425141527101885</v>
      </c>
      <c r="L385" s="1">
        <f>IFERROR(L157/SUM(L286,L157),0)*'[2]Electricity and CHPs_IN'!H$53</f>
        <v>0.26438668637729579</v>
      </c>
      <c r="N385" s="1"/>
    </row>
    <row r="386" spans="1:14" x14ac:dyDescent="0.3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55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0</v>
      </c>
      <c r="J386" s="1">
        <f>IFERROR(J158/SUM(J287,J158),0)*'[2]Electricity and CHPs_IN'!F$56</f>
        <v>1.9670615186496948E-3</v>
      </c>
      <c r="K386" s="1">
        <f>IFERROR(K158/SUM(K287,K158),0)*'[2]Electricity and CHPs_IN'!G$56</f>
        <v>1.0969399039256499E-3</v>
      </c>
      <c r="L386" s="1">
        <f>IFERROR(L158/SUM(L287,L158),0)*'[2]Electricity and CHPs_IN'!H$56</f>
        <v>4.230238015192871E-4</v>
      </c>
      <c r="N386" s="1"/>
    </row>
    <row r="387" spans="1:14" x14ac:dyDescent="0.3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55"/>
        <v>PJ/yr.</v>
      </c>
      <c r="F387" s="1">
        <f>F388</f>
        <v>0.52400000000000047</v>
      </c>
      <c r="G387" s="1">
        <f t="shared" ref="G387:L387" si="388">G388</f>
        <v>0.54530775595618142</v>
      </c>
      <c r="H387" s="1">
        <f t="shared" si="388"/>
        <v>0.50318035428973074</v>
      </c>
      <c r="I387" s="1">
        <f t="shared" si="388"/>
        <v>2.0503052471689203</v>
      </c>
      <c r="J387" s="1">
        <f t="shared" si="388"/>
        <v>0.88233521255995673</v>
      </c>
      <c r="K387" s="1">
        <f t="shared" si="388"/>
        <v>0.88260410561218516</v>
      </c>
      <c r="L387" s="1">
        <f t="shared" si="388"/>
        <v>0.88262366583452356</v>
      </c>
      <c r="N387" s="1"/>
    </row>
    <row r="388" spans="1:14" x14ac:dyDescent="0.3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55"/>
        <v>PJ/yr.</v>
      </c>
      <c r="F388" s="1">
        <f>'[1]Electricity and CHPs_IN'!B$33</f>
        <v>0.52400000000000047</v>
      </c>
      <c r="G388" s="1">
        <f>'[1]Electricity and CHPs_IN'!C$33</f>
        <v>0.54530775595618142</v>
      </c>
      <c r="H388" s="1">
        <f>'[1]Electricity and CHPs_IN'!D$33</f>
        <v>0.50318035428973074</v>
      </c>
      <c r="I388" s="1">
        <f>'[1]Electricity and CHPs_IN'!E$33</f>
        <v>2.0503052471689203</v>
      </c>
      <c r="J388" s="1">
        <f>'[2]Electricity and CHPs_IN'!F$33</f>
        <v>0.88233521255995673</v>
      </c>
      <c r="K388" s="1">
        <f>'[2]Electricity and CHPs_IN'!G$33</f>
        <v>0.88260410561218516</v>
      </c>
      <c r="L388" s="1">
        <f>'[2]Electricity and CHPs_IN'!H$33</f>
        <v>0.88262366583452356</v>
      </c>
      <c r="N388" s="1"/>
    </row>
    <row r="389" spans="1:14" x14ac:dyDescent="0.3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55"/>
        <v>PJ/yr.</v>
      </c>
      <c r="F389" s="1">
        <f>SUM(F390:F394)</f>
        <v>9.3550000000000111</v>
      </c>
      <c r="G389" s="1">
        <f t="shared" ref="G389:K389" si="389">SUM(G390:G394)</f>
        <v>12.823119108238448</v>
      </c>
      <c r="H389" s="1">
        <f t="shared" si="389"/>
        <v>28.80018917143267</v>
      </c>
      <c r="I389" s="1">
        <f t="shared" si="389"/>
        <v>52.309468048653898</v>
      </c>
      <c r="J389" s="1">
        <f t="shared" si="389"/>
        <v>57.526388040822923</v>
      </c>
      <c r="K389" s="1">
        <f t="shared" si="389"/>
        <v>120.10698861920679</v>
      </c>
      <c r="L389" s="1">
        <f t="shared" ref="L389" si="390">SUM(L390:L394)</f>
        <v>146.06543019135898</v>
      </c>
      <c r="N389" s="1"/>
    </row>
    <row r="390" spans="1:14" x14ac:dyDescent="0.3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55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0.14061592372971998</v>
      </c>
      <c r="I390" s="1">
        <f>'[1]Electricity and CHPs_IN'!E34</f>
        <v>0.57957701760343749</v>
      </c>
      <c r="J390" s="1">
        <f>'[2]Electricity and CHPs_IN'!F34</f>
        <v>0.74355195235966853</v>
      </c>
      <c r="K390" s="1">
        <f>'[2]Electricity and CHPs_IN'!G34</f>
        <v>24.638616163709123</v>
      </c>
      <c r="L390" s="1">
        <f>'[2]Electricity and CHPs_IN'!H34</f>
        <v>39.394305368218482</v>
      </c>
      <c r="N390" s="1"/>
    </row>
    <row r="391" spans="1:14" x14ac:dyDescent="0.3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55"/>
        <v>PJ/yr.</v>
      </c>
      <c r="F391" s="1">
        <f>'[1]Electricity and CHPs_IN'!B35</f>
        <v>3.517953999707534</v>
      </c>
      <c r="G391" s="1">
        <f>'[1]Electricity and CHPs_IN'!C35</f>
        <v>4.8486281142671022</v>
      </c>
      <c r="H391" s="1">
        <f>'[1]Electricity and CHPs_IN'!D35</f>
        <v>11.161305651766572</v>
      </c>
      <c r="I391" s="1">
        <f>'[1]Electricity and CHPs_IN'!E35</f>
        <v>19.477151131911679</v>
      </c>
      <c r="J391" s="1">
        <f>'[2]Electricity and CHPs_IN'!F35</f>
        <v>20.470723601034496</v>
      </c>
      <c r="K391" s="1">
        <f>'[2]Electricity and CHPs_IN'!G35</f>
        <v>40.847645049447884</v>
      </c>
      <c r="L391" s="1">
        <f>'[2]Electricity and CHPs_IN'!H35</f>
        <v>46.227829714996609</v>
      </c>
      <c r="N391" s="1"/>
    </row>
    <row r="392" spans="1:14" x14ac:dyDescent="0.3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55"/>
        <v>PJ/yr.</v>
      </c>
      <c r="F392" s="1">
        <f>'[1]Electricity and CHPs_IN'!B36</f>
        <v>2.1349390887346629</v>
      </c>
      <c r="G392" s="1">
        <f>'[1]Electricity and CHPs_IN'!C36</f>
        <v>3.3914827647697323</v>
      </c>
      <c r="H392" s="1">
        <f>'[1]Electricity and CHPs_IN'!D36</f>
        <v>4.6620329377745984</v>
      </c>
      <c r="I392" s="1">
        <f>'[1]Electricity and CHPs_IN'!E36</f>
        <v>11.187020787587855</v>
      </c>
      <c r="J392" s="1">
        <f>'[2]Electricity and CHPs_IN'!F36</f>
        <v>11.801971479247381</v>
      </c>
      <c r="K392" s="1">
        <f>'[2]Electricity and CHPs_IN'!G36</f>
        <v>12.452168160550869</v>
      </c>
      <c r="L392" s="1">
        <f>'[2]Electricity and CHPs_IN'!H36</f>
        <v>13.862964501541711</v>
      </c>
      <c r="N392" s="1"/>
    </row>
    <row r="393" spans="1:14" x14ac:dyDescent="0.3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55"/>
        <v>PJ/yr.</v>
      </c>
      <c r="F393" s="1">
        <f>'[1]Electricity and CHPs_IN'!B37</f>
        <v>0.86248322578584768</v>
      </c>
      <c r="G393" s="1">
        <f>'[1]Electricity and CHPs_IN'!C37</f>
        <v>1.2885477144662159</v>
      </c>
      <c r="H393" s="1">
        <f>'[1]Electricity and CHPs_IN'!D37</f>
        <v>2.869986314729239</v>
      </c>
      <c r="I393" s="1">
        <f>'[1]Electricity and CHPs_IN'!E37</f>
        <v>3.1633710222567237</v>
      </c>
      <c r="J393" s="1">
        <f>'[2]Electricity and CHPs_IN'!F37</f>
        <v>5.6945896350343688</v>
      </c>
      <c r="K393" s="1">
        <f>'[2]Electricity and CHPs_IN'!G37</f>
        <v>5.9851416091251242</v>
      </c>
      <c r="L393" s="1">
        <f>'[2]Electricity and CHPs_IN'!H37</f>
        <v>6.6113241760477353</v>
      </c>
      <c r="N393" s="1"/>
    </row>
    <row r="394" spans="1:14" x14ac:dyDescent="0.3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55"/>
        <v>PJ/yr.</v>
      </c>
      <c r="F394" s="1">
        <f>'[1]Electricity and CHPs_IN'!B38</f>
        <v>2.8396236857719668</v>
      </c>
      <c r="G394" s="1">
        <f>'[1]Electricity and CHPs_IN'!C38</f>
        <v>3.2944605147353974</v>
      </c>
      <c r="H394" s="1">
        <f>'[1]Electricity and CHPs_IN'!D38</f>
        <v>9.9662483434325413</v>
      </c>
      <c r="I394" s="1">
        <f>'[1]Electricity and CHPs_IN'!E38</f>
        <v>17.9023480892942</v>
      </c>
      <c r="J394" s="1">
        <f>'[2]Electricity and CHPs_IN'!F38</f>
        <v>18.815551373147006</v>
      </c>
      <c r="K394" s="1">
        <f>'[2]Electricity and CHPs_IN'!G38</f>
        <v>36.183417636373782</v>
      </c>
      <c r="L394" s="1">
        <f>'[2]Electricity and CHPs_IN'!H38</f>
        <v>39.969006430554472</v>
      </c>
      <c r="N394" s="1"/>
    </row>
    <row r="395" spans="1:14" x14ac:dyDescent="0.3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55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'[2]Electricity and CHPs'!F252</f>
        <v>0</v>
      </c>
      <c r="K395" s="1">
        <f>'[2]Electricity and CHPs'!G252</f>
        <v>0</v>
      </c>
      <c r="L395" s="1">
        <f>'[2]Electricity and CHPs'!H252</f>
        <v>0</v>
      </c>
      <c r="N395" s="1"/>
    </row>
    <row r="396" spans="1:14" x14ac:dyDescent="0.3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55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'[2]Electricity and CHPs_IN'!F$32</f>
        <v>0</v>
      </c>
      <c r="K396" s="1">
        <f>'[2]Electricity and CHPs_IN'!G$32</f>
        <v>9.355645034019755E-3</v>
      </c>
      <c r="L396" s="1">
        <f>'[2]Electricity and CHPs_IN'!H$32</f>
        <v>5.9745556469408892E-2</v>
      </c>
      <c r="N396" s="1"/>
    </row>
    <row r="397" spans="1:14" x14ac:dyDescent="0.3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55"/>
        <v>PJ/yr.</v>
      </c>
      <c r="F397" s="1">
        <f t="shared" ref="F397" si="391">SUM(F398:F400)</f>
        <v>0</v>
      </c>
      <c r="G397" s="1">
        <f t="shared" ref="G397" si="392">SUM(G398:G400)</f>
        <v>0</v>
      </c>
      <c r="H397" s="1">
        <f t="shared" ref="H397" si="393">SUM(H398:H400)</f>
        <v>0</v>
      </c>
      <c r="I397" s="1">
        <f t="shared" ref="I397" si="394">SUM(I398:I400)</f>
        <v>4.9886898971186151E-2</v>
      </c>
      <c r="J397" s="1">
        <f t="shared" ref="J397" si="395">SUM(J398:J400)</f>
        <v>8.5035667333427586E-3</v>
      </c>
      <c r="K397" s="1">
        <f t="shared" ref="K397:L397" si="396">SUM(K398:K400)</f>
        <v>0.13263302295107421</v>
      </c>
      <c r="L397" s="1">
        <f t="shared" si="396"/>
        <v>0.92478992869789312</v>
      </c>
      <c r="N397" s="1"/>
    </row>
    <row r="398" spans="1:14" x14ac:dyDescent="0.3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55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IFERROR(J170/SUM(J170,J209),0)*'[2]Electricity and CHPs_IN'!F$30</f>
        <v>0</v>
      </c>
      <c r="K398" s="1">
        <f>IFERROR(K170/SUM(K170,K209),0)*'[2]Electricity and CHPs_IN'!G$30</f>
        <v>3.0414254547426293E-3</v>
      </c>
      <c r="L398" s="1">
        <f>IFERROR(L170/SUM(L170,L209),0)*'[2]Electricity and CHPs_IN'!H$30</f>
        <v>0.68059375086835339</v>
      </c>
      <c r="N398" s="1"/>
    </row>
    <row r="399" spans="1:14" x14ac:dyDescent="0.3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55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0</v>
      </c>
      <c r="J399" s="1">
        <f>IFERROR(J171/SUM(J171,J289),0)*'[2]Electricity and CHPs_IN'!F$46</f>
        <v>5.0800427990652409E-3</v>
      </c>
      <c r="K399" s="1">
        <f>IFERROR(K171/SUM(K171,K289),0)*'[2]Electricity and CHPs_IN'!G$46</f>
        <v>0.11910798075767681</v>
      </c>
      <c r="L399" s="1">
        <f>IFERROR(L171/SUM(L171,L289),0)*'[2]Electricity and CHPs_IN'!H$46</f>
        <v>0.23769787247776691</v>
      </c>
      <c r="N399" s="1"/>
    </row>
    <row r="400" spans="1:14" x14ac:dyDescent="0.3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55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4.9886898971186151E-2</v>
      </c>
      <c r="J400" s="1">
        <f>IFERROR(J172/SUM(J172,J290),0)*'[2]Electricity and CHPs_IN'!F$57</f>
        <v>3.4235239342775186E-3</v>
      </c>
      <c r="K400" s="1">
        <f>IFERROR(K172/SUM(K172,K290),0)*'[2]Electricity and CHPs_IN'!G$57</f>
        <v>1.0483616738654767E-2</v>
      </c>
      <c r="L400" s="1">
        <f>IFERROR(L172/SUM(L172,L290),0)*'[2]Electricity and CHPs_IN'!H$57</f>
        <v>6.4983053517728376E-3</v>
      </c>
      <c r="N400" s="1"/>
    </row>
    <row r="401" spans="1:19" x14ac:dyDescent="0.3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55"/>
        <v>PJ/yr.</v>
      </c>
      <c r="F401" s="1">
        <f>SUM(F402:F408)</f>
        <v>0.45593306032952807</v>
      </c>
      <c r="G401" s="1">
        <f t="shared" ref="G401:K401" si="397">SUM(G402:G408)</f>
        <v>0.3652829847079232</v>
      </c>
      <c r="H401" s="1">
        <f t="shared" si="397"/>
        <v>1.0006392560522566</v>
      </c>
      <c r="I401" s="1">
        <f t="shared" si="397"/>
        <v>2.3754145349072311</v>
      </c>
      <c r="J401" s="1">
        <f t="shared" si="397"/>
        <v>1.7157828972130735</v>
      </c>
      <c r="K401" s="1">
        <f t="shared" si="397"/>
        <v>3.0007985885910964</v>
      </c>
      <c r="L401" s="1">
        <f t="shared" ref="L401" si="398">SUM(L402:L408)</f>
        <v>7.3137665467178952</v>
      </c>
      <c r="N401" s="1"/>
    </row>
    <row r="402" spans="1:19" x14ac:dyDescent="0.3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55"/>
        <v>PJ/yr.</v>
      </c>
      <c r="F402" s="1">
        <f>'[1]Electricity and CHPs_IN'!B63</f>
        <v>0.14259270360686971</v>
      </c>
      <c r="G402" s="1">
        <f>'[1]Electricity and CHPs_IN'!C63</f>
        <v>6.7111088028825455E-2</v>
      </c>
      <c r="H402" s="1">
        <f>'[1]Electricity and CHPs_IN'!D63</f>
        <v>9.591150856597179E-2</v>
      </c>
      <c r="I402" s="1">
        <f>'[1]Electricity and CHPs_IN'!E63</f>
        <v>0.13523474292896367</v>
      </c>
      <c r="J402" s="1">
        <f>'[2]Electricity and CHPs_IN'!F63</f>
        <v>4.3598260853506883E-2</v>
      </c>
      <c r="K402" s="1">
        <f>'[2]Electricity and CHPs_IN'!G63</f>
        <v>2.7777197675888654E-2</v>
      </c>
      <c r="L402" s="1">
        <f>'[2]Electricity and CHPs_IN'!H63</f>
        <v>0.13499556678468153</v>
      </c>
      <c r="N402" s="1"/>
    </row>
    <row r="403" spans="1:19" x14ac:dyDescent="0.3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55"/>
        <v>PJ/yr.</v>
      </c>
      <c r="F403" s="1">
        <f>'[1]Electricity and CHPs_IN'!B64</f>
        <v>7.568817361514843E-2</v>
      </c>
      <c r="G403" s="1">
        <f>'[1]Electricity and CHPs_IN'!C64</f>
        <v>7.1510951842750053E-2</v>
      </c>
      <c r="H403" s="1">
        <f>'[1]Electricity and CHPs_IN'!D64</f>
        <v>7.3281443349705988E-2</v>
      </c>
      <c r="I403" s="1">
        <f>'[1]Electricity and CHPs_IN'!E64</f>
        <v>0.21589922497023142</v>
      </c>
      <c r="J403" s="1">
        <f>'[2]Electricity and CHPs_IN'!F64</f>
        <v>7.6359854286181056E-2</v>
      </c>
      <c r="K403" s="1">
        <f>'[2]Electricity and CHPs_IN'!G64</f>
        <v>0.73864308008470858</v>
      </c>
      <c r="L403" s="1">
        <f>'[2]Electricity and CHPs_IN'!H64</f>
        <v>3.2455704243028296</v>
      </c>
      <c r="N403" s="1"/>
    </row>
    <row r="404" spans="1:19" x14ac:dyDescent="0.3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55"/>
        <v>PJ/yr.</v>
      </c>
      <c r="F404" s="1">
        <f>'[1]Electricity and CHPs_IN'!B65</f>
        <v>7.3999378163524338E-2</v>
      </c>
      <c r="G404" s="1">
        <f>'[1]Electricity and CHPs_IN'!C65</f>
        <v>6.2665356006377029E-2</v>
      </c>
      <c r="H404" s="1">
        <f>'[1]Electricity and CHPs_IN'!D65</f>
        <v>6.4617068089746862E-2</v>
      </c>
      <c r="I404" s="1">
        <f>'[1]Electricity and CHPs_IN'!E65</f>
        <v>0.14298741531296721</v>
      </c>
      <c r="J404" s="1">
        <f>'[2]Electricity and CHPs_IN'!F65</f>
        <v>3.6119545736192867E-2</v>
      </c>
      <c r="K404" s="1">
        <f>'[2]Electricity and CHPs_IN'!G65</f>
        <v>0.49336047700715452</v>
      </c>
      <c r="L404" s="1">
        <f>'[2]Electricity and CHPs_IN'!H65</f>
        <v>1.5942298971075759</v>
      </c>
      <c r="N404" s="1"/>
    </row>
    <row r="405" spans="1:19" x14ac:dyDescent="0.3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55"/>
        <v>PJ/yr.</v>
      </c>
      <c r="F405" s="1">
        <f>'[1]Electricity and CHPs_IN'!B66</f>
        <v>2.6988860836167975E-2</v>
      </c>
      <c r="G405" s="1">
        <f>'[1]Electricity and CHPs_IN'!C66</f>
        <v>2.7063249737833448E-2</v>
      </c>
      <c r="H405" s="1">
        <f>'[1]Electricity and CHPs_IN'!D66</f>
        <v>0.14563440610302489</v>
      </c>
      <c r="I405" s="1">
        <f>'[1]Electricity and CHPs_IN'!E66</f>
        <v>0.31014545012189976</v>
      </c>
      <c r="J405" s="1">
        <f>'[2]Electricity and CHPs_IN'!F66</f>
        <v>0.26055620351405295</v>
      </c>
      <c r="K405" s="1">
        <f>'[2]Electricity and CHPs_IN'!G66</f>
        <v>0.35382146524990993</v>
      </c>
      <c r="L405" s="1">
        <f>'[2]Electricity and CHPs_IN'!H66</f>
        <v>0.50084646638491692</v>
      </c>
      <c r="N405" s="1"/>
    </row>
    <row r="406" spans="1:19" x14ac:dyDescent="0.3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55"/>
        <v>PJ/yr.</v>
      </c>
      <c r="F406" s="1">
        <f>'[1]Electricity and CHPs_IN'!B67</f>
        <v>5.6926372581146967E-2</v>
      </c>
      <c r="G406" s="1">
        <f>'[1]Electricity and CHPs_IN'!C67</f>
        <v>5.7040408185467774E-2</v>
      </c>
      <c r="H406" s="1">
        <f>'[1]Electricity and CHPs_IN'!D67</f>
        <v>0.31627214219597655</v>
      </c>
      <c r="I406" s="1">
        <f>'[1]Electricity and CHPs_IN'!E67</f>
        <v>0.90312027066322043</v>
      </c>
      <c r="J406" s="1">
        <f>'[2]Electricity and CHPs_IN'!F67</f>
        <v>0.70205932091416545</v>
      </c>
      <c r="K406" s="1">
        <f>'[2]Electricity and CHPs_IN'!G67</f>
        <v>0.53580918093062335</v>
      </c>
      <c r="L406" s="1">
        <f>'[2]Electricity and CHPs_IN'!H67</f>
        <v>0.76083401415049468</v>
      </c>
      <c r="N406" s="1"/>
    </row>
    <row r="407" spans="1:19" x14ac:dyDescent="0.3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55"/>
        <v>PJ/yr.</v>
      </c>
      <c r="F407" s="1">
        <f>'[1]Electricity and CHPs_IN'!B68</f>
        <v>5.1671772909639355E-2</v>
      </c>
      <c r="G407" s="1">
        <f>'[1]Electricity and CHPs_IN'!C68</f>
        <v>5.1777503542751388E-2</v>
      </c>
      <c r="H407" s="1">
        <f>'[1]Electricity and CHPs_IN'!D68</f>
        <v>9.8830390023417036E-2</v>
      </c>
      <c r="I407" s="1">
        <f>'[1]Electricity and CHPs_IN'!E68</f>
        <v>0.10145308080786458</v>
      </c>
      <c r="J407" s="1">
        <f>'[2]Electricity and CHPs_IN'!F68</f>
        <v>0.13147341425526252</v>
      </c>
      <c r="K407" s="1">
        <f>'[2]Electricity and CHPs_IN'!G68</f>
        <v>9.8338213412362485E-2</v>
      </c>
      <c r="L407" s="1">
        <f>'[2]Electricity and CHPs_IN'!H68</f>
        <v>0.13781948323992044</v>
      </c>
      <c r="N407" s="1"/>
    </row>
    <row r="408" spans="1:19" x14ac:dyDescent="0.3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55"/>
        <v>PJ/yr.</v>
      </c>
      <c r="F408" s="1">
        <f>'[1]Electricity and CHPs_IN'!B69</f>
        <v>2.8065798617031283E-2</v>
      </c>
      <c r="G408" s="1">
        <f>'[1]Electricity and CHPs_IN'!C69</f>
        <v>2.8114427363918042E-2</v>
      </c>
      <c r="H408" s="1">
        <f>'[1]Electricity and CHPs_IN'!D69</f>
        <v>0.20609229772441351</v>
      </c>
      <c r="I408" s="1">
        <f>'[1]Electricity and CHPs_IN'!E69</f>
        <v>0.56657435010208379</v>
      </c>
      <c r="J408" s="1">
        <f>'[2]Electricity and CHPs_IN'!F69</f>
        <v>0.46561629765371187</v>
      </c>
      <c r="K408" s="1">
        <f>'[2]Electricity and CHPs_IN'!G69</f>
        <v>0.75304897423044881</v>
      </c>
      <c r="L408" s="1">
        <f>'[2]Electricity and CHPs_IN'!H69</f>
        <v>0.93947069474747691</v>
      </c>
      <c r="N408" s="1"/>
    </row>
    <row r="409" spans="1:19" x14ac:dyDescent="0.35">
      <c r="A409" s="5"/>
      <c r="B409" s="9" t="str">
        <f t="shared" ref="B409:C409" si="399">B408</f>
        <v>SPS1</v>
      </c>
      <c r="C409" s="2" t="str">
        <f t="shared" si="399"/>
        <v>CH</v>
      </c>
      <c r="D409" s="2" t="s">
        <v>190</v>
      </c>
      <c r="E409" s="2" t="str">
        <f>E397</f>
        <v>PJ/yr.</v>
      </c>
      <c r="F409" s="3">
        <f>F410+F463</f>
        <v>57.475195483232667</v>
      </c>
      <c r="G409" s="3">
        <f t="shared" ref="G409:K409" si="400">G410+G463</f>
        <v>55.696891609503069</v>
      </c>
      <c r="H409" s="3">
        <f t="shared" si="400"/>
        <v>51.48717977046428</v>
      </c>
      <c r="I409" s="3">
        <f>IFERROR(I410+I463,0)</f>
        <v>54.282077350298124</v>
      </c>
      <c r="J409" s="3">
        <f t="shared" si="400"/>
        <v>57.93863333382307</v>
      </c>
      <c r="K409" s="3">
        <f t="shared" si="400"/>
        <v>62.311509166821153</v>
      </c>
      <c r="L409" s="3">
        <f>IFERROR(L410+L463,0)</f>
        <v>56.050769166633771</v>
      </c>
      <c r="M409" s="11"/>
      <c r="N409" s="1"/>
      <c r="O409" s="11"/>
      <c r="P409" s="11"/>
      <c r="Q409" s="11"/>
      <c r="R409" s="11"/>
      <c r="S409" s="11"/>
    </row>
    <row r="410" spans="1:19" x14ac:dyDescent="0.3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01">F411+F440</f>
        <v>48.72509165178743</v>
      </c>
      <c r="G410" s="1">
        <f t="shared" si="401"/>
        <v>47.038589919489624</v>
      </c>
      <c r="H410" s="1">
        <f t="shared" si="401"/>
        <v>43.736523460421296</v>
      </c>
      <c r="I410" s="1">
        <f t="shared" si="401"/>
        <v>46.653960257245302</v>
      </c>
      <c r="J410" s="1">
        <f t="shared" si="401"/>
        <v>48.095582793576156</v>
      </c>
      <c r="K410" s="1">
        <f t="shared" si="401"/>
        <v>51.173998191736082</v>
      </c>
      <c r="L410" s="1">
        <f t="shared" ref="L410" si="402">L411+L440</f>
        <v>39.088974206775035</v>
      </c>
      <c r="M410" s="11"/>
      <c r="N410" s="1"/>
      <c r="O410" s="11"/>
      <c r="P410" s="11"/>
      <c r="Q410" s="11"/>
      <c r="R410" s="11"/>
      <c r="S410" s="11"/>
    </row>
    <row r="411" spans="1:19" x14ac:dyDescent="0.3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39.159992071789503</v>
      </c>
      <c r="G411" s="1">
        <f t="shared" ref="G411:K411" si="403">SUM(G412,G418,G427,G436,G438)</f>
        <v>35.294048680785792</v>
      </c>
      <c r="H411" s="1">
        <f t="shared" si="403"/>
        <v>33.382339720136002</v>
      </c>
      <c r="I411" s="1">
        <f t="shared" si="403"/>
        <v>36.919727324915101</v>
      </c>
      <c r="J411" s="1">
        <f t="shared" si="403"/>
        <v>37.897446439208593</v>
      </c>
      <c r="K411" s="1">
        <f t="shared" si="403"/>
        <v>41.205775591357138</v>
      </c>
      <c r="L411" s="1">
        <f t="shared" ref="L411" si="404">SUM(L412,L418,L427,L436,L438)</f>
        <v>28.080826988246503</v>
      </c>
      <c r="N411" s="1"/>
    </row>
    <row r="412" spans="1:19" x14ac:dyDescent="0.3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0.11394369058779703</v>
      </c>
      <c r="G412" s="1">
        <f t="shared" ref="G412:L412" si="405">G413</f>
        <v>0.26267656975551534</v>
      </c>
      <c r="H412" s="1">
        <f t="shared" si="405"/>
        <v>8.1957260329040854E-2</v>
      </c>
      <c r="I412" s="1">
        <f t="shared" si="405"/>
        <v>1.6429054759685043E-2</v>
      </c>
      <c r="J412" s="1">
        <f t="shared" si="405"/>
        <v>4.9691666331354526E-3</v>
      </c>
      <c r="K412" s="1">
        <f t="shared" si="405"/>
        <v>1.9631982215832311E-3</v>
      </c>
      <c r="L412" s="1">
        <f t="shared" si="405"/>
        <v>4.6297275472145685E-5</v>
      </c>
      <c r="N412" s="1"/>
    </row>
    <row r="413" spans="1:19" x14ac:dyDescent="0.3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0.11394369058779703</v>
      </c>
      <c r="G413" s="1">
        <f>'[1]Electricity and CHPs_IN'!C$28-G300</f>
        <v>0.26267656975551534</v>
      </c>
      <c r="H413" s="1">
        <f>'[1]Electricity and CHPs_IN'!D$28-H300</f>
        <v>8.1957260329040854E-2</v>
      </c>
      <c r="I413" s="1">
        <f>'[1]Electricity and CHPs_IN'!E$28-I300</f>
        <v>1.6429054759685043E-2</v>
      </c>
      <c r="J413" s="1">
        <f>'[2]Electricity and CHPs_IN'!F$28-J300</f>
        <v>4.9691666331354526E-3</v>
      </c>
      <c r="K413" s="1">
        <f>'[2]Electricity and CHPs_IN'!G$28-K300</f>
        <v>1.9631982215832311E-3</v>
      </c>
      <c r="L413" s="1">
        <f>'[2]Electricity and CHPs_IN'!H$28-L300</f>
        <v>4.6297275472145685E-5</v>
      </c>
      <c r="N413" s="1"/>
    </row>
    <row r="414" spans="1:19" x14ac:dyDescent="0.3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0.11394369058779703</v>
      </c>
      <c r="G414" s="1">
        <f t="shared" ref="G414:L414" si="406">G415</f>
        <v>0.26267656975551534</v>
      </c>
      <c r="H414" s="1">
        <f t="shared" si="406"/>
        <v>8.1957260329040854E-2</v>
      </c>
      <c r="I414" s="1">
        <f t="shared" si="406"/>
        <v>1.6429054759685043E-2</v>
      </c>
      <c r="J414" s="1">
        <f t="shared" si="406"/>
        <v>4.9691666331354526E-3</v>
      </c>
      <c r="K414" s="1">
        <f t="shared" si="406"/>
        <v>1.9631982215832311E-3</v>
      </c>
      <c r="L414" s="1">
        <f t="shared" si="406"/>
        <v>4.6297275472145685E-5</v>
      </c>
      <c r="N414" s="1"/>
    </row>
    <row r="415" spans="1:19" x14ac:dyDescent="0.3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0.11394369058779703</v>
      </c>
      <c r="G415" s="1">
        <f t="shared" ref="G415:K415" si="407">G413-G417</f>
        <v>0.26267656975551534</v>
      </c>
      <c r="H415" s="1">
        <f t="shared" si="407"/>
        <v>8.1957260329040854E-2</v>
      </c>
      <c r="I415" s="1">
        <f t="shared" si="407"/>
        <v>1.6429054759685043E-2</v>
      </c>
      <c r="J415" s="1">
        <f t="shared" si="407"/>
        <v>4.9691666331354526E-3</v>
      </c>
      <c r="K415" s="1">
        <f t="shared" si="407"/>
        <v>1.9631982215832311E-3</v>
      </c>
      <c r="L415" s="1">
        <f t="shared" ref="L415" si="408">L413-L417</f>
        <v>4.6297275472145685E-5</v>
      </c>
      <c r="N415" s="1"/>
    </row>
    <row r="416" spans="1:19" x14ac:dyDescent="0.3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L416" si="409">G417</f>
        <v>0</v>
      </c>
      <c r="H416" s="1">
        <f t="shared" si="409"/>
        <v>0</v>
      </c>
      <c r="I416" s="1">
        <f t="shared" si="409"/>
        <v>0</v>
      </c>
      <c r="J416" s="1">
        <f t="shared" si="409"/>
        <v>0</v>
      </c>
      <c r="K416" s="1">
        <f t="shared" si="409"/>
        <v>0</v>
      </c>
      <c r="L416" s="1">
        <f t="shared" si="409"/>
        <v>0</v>
      </c>
      <c r="N416" s="1"/>
    </row>
    <row r="417" spans="1:14" x14ac:dyDescent="0.3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10">IFERROR(G308/G300,0)*G413</f>
        <v>0</v>
      </c>
      <c r="H417" s="1">
        <f t="shared" si="410"/>
        <v>0</v>
      </c>
      <c r="I417" s="1">
        <f t="shared" si="410"/>
        <v>0</v>
      </c>
      <c r="J417" s="1">
        <f t="shared" si="410"/>
        <v>0</v>
      </c>
      <c r="K417" s="1">
        <f t="shared" si="410"/>
        <v>0</v>
      </c>
      <c r="L417" s="1">
        <f t="shared" ref="L417" si="411">IFERROR(L308/L300,0)*L413</f>
        <v>0</v>
      </c>
      <c r="N417" s="1"/>
    </row>
    <row r="418" spans="1:14" x14ac:dyDescent="0.3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2.6115575313193276</v>
      </c>
      <c r="G418" s="1">
        <f t="shared" ref="G418:K418" si="412">SUM(G419:G420)</f>
        <v>5.502911676430515E-2</v>
      </c>
      <c r="H418" s="1">
        <f t="shared" si="412"/>
        <v>0.23209696323223797</v>
      </c>
      <c r="I418" s="1">
        <f t="shared" si="412"/>
        <v>0</v>
      </c>
      <c r="J418" s="1">
        <f t="shared" si="412"/>
        <v>0</v>
      </c>
      <c r="K418" s="1">
        <f t="shared" si="412"/>
        <v>0</v>
      </c>
      <c r="L418" s="1">
        <f t="shared" ref="L418" si="413">SUM(L419:L420)</f>
        <v>0</v>
      </c>
      <c r="N418" s="1"/>
    </row>
    <row r="419" spans="1:14" x14ac:dyDescent="0.3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2.6115575313193276</v>
      </c>
      <c r="G419" s="1">
        <f>'[1]Electricity and CHPs_IN'!C$24-G314</f>
        <v>5.502911676430515E-2</v>
      </c>
      <c r="H419" s="1">
        <f>'[1]Electricity and CHPs_IN'!D$24-H314</f>
        <v>0.23209696323223797</v>
      </c>
      <c r="I419" s="1">
        <f>'[1]Electricity and CHPs_IN'!E$24-I314</f>
        <v>0</v>
      </c>
      <c r="J419" s="1">
        <f>'[2]Electricity and CHPs_IN'!F$24-J314</f>
        <v>0</v>
      </c>
      <c r="K419" s="1">
        <f>'[2]Electricity and CHPs_IN'!G$24-K314</f>
        <v>0</v>
      </c>
      <c r="L419" s="1">
        <f>'[2]Electricity and CHPs_IN'!H$24-L314</f>
        <v>0</v>
      </c>
      <c r="N419" s="1"/>
    </row>
    <row r="420" spans="1:14" x14ac:dyDescent="0.3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'[2]Electricity and CHPs_IN'!F$29-J315</f>
        <v>0</v>
      </c>
      <c r="K420" s="1">
        <f>'[2]Electricity and CHPs_IN'!G$29-K315</f>
        <v>0</v>
      </c>
      <c r="L420" s="1">
        <f>'[2]Electricity and CHPs_IN'!H$29-L315</f>
        <v>0</v>
      </c>
      <c r="N420" s="1"/>
    </row>
    <row r="421" spans="1:14" x14ac:dyDescent="0.3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2.5456515650766312</v>
      </c>
      <c r="G421" s="1">
        <f t="shared" ref="G421:K421" si="414">SUM(G422:G423)</f>
        <v>5.3127849597454875E-2</v>
      </c>
      <c r="H421" s="1">
        <f t="shared" si="414"/>
        <v>0.21955957629196063</v>
      </c>
      <c r="I421" s="1">
        <f t="shared" si="414"/>
        <v>0</v>
      </c>
      <c r="J421" s="1">
        <f t="shared" si="414"/>
        <v>0</v>
      </c>
      <c r="K421" s="1">
        <f t="shared" si="414"/>
        <v>0</v>
      </c>
      <c r="L421" s="1">
        <f t="shared" ref="L421" si="415">SUM(L422:L423)</f>
        <v>0</v>
      </c>
      <c r="N421" s="1"/>
    </row>
    <row r="422" spans="1:14" x14ac:dyDescent="0.3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2.5456515650766312</v>
      </c>
      <c r="G422" s="1">
        <f t="shared" ref="G422:K422" si="416">G419-G425</f>
        <v>5.3127849597454875E-2</v>
      </c>
      <c r="H422" s="1">
        <f t="shared" si="416"/>
        <v>0.21955957629196063</v>
      </c>
      <c r="I422" s="1">
        <f t="shared" si="416"/>
        <v>0</v>
      </c>
      <c r="J422" s="1">
        <f t="shared" si="416"/>
        <v>0</v>
      </c>
      <c r="K422" s="1">
        <f t="shared" si="416"/>
        <v>0</v>
      </c>
      <c r="L422" s="1">
        <f t="shared" ref="L422" si="417">L419-L425</f>
        <v>0</v>
      </c>
      <c r="N422" s="1"/>
    </row>
    <row r="423" spans="1:14" x14ac:dyDescent="0.3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18">G420-G426</f>
        <v>0</v>
      </c>
      <c r="H423" s="1">
        <f t="shared" si="418"/>
        <v>0</v>
      </c>
      <c r="I423" s="1">
        <f t="shared" si="418"/>
        <v>0</v>
      </c>
      <c r="J423" s="1">
        <f t="shared" si="418"/>
        <v>0</v>
      </c>
      <c r="K423" s="1">
        <f t="shared" si="418"/>
        <v>0</v>
      </c>
      <c r="L423" s="1">
        <f t="shared" ref="L423" si="419">L420-L426</f>
        <v>0</v>
      </c>
      <c r="N423" s="1"/>
    </row>
    <row r="424" spans="1:14" x14ac:dyDescent="0.3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6.5905966242696429E-2</v>
      </c>
      <c r="G424" s="1">
        <f t="shared" ref="G424:K424" si="420">SUM(G425:G426)</f>
        <v>1.901267166850275E-3</v>
      </c>
      <c r="H424" s="1">
        <f t="shared" si="420"/>
        <v>1.2537386940277336E-2</v>
      </c>
      <c r="I424" s="1">
        <f t="shared" si="420"/>
        <v>0</v>
      </c>
      <c r="J424" s="1">
        <f t="shared" si="420"/>
        <v>0</v>
      </c>
      <c r="K424" s="1">
        <f t="shared" si="420"/>
        <v>0</v>
      </c>
      <c r="L424" s="1">
        <f t="shared" ref="L424" si="421">SUM(L425:L426)</f>
        <v>0</v>
      </c>
      <c r="N424" s="1"/>
    </row>
    <row r="425" spans="1:14" x14ac:dyDescent="0.3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6.5905966242696429E-2</v>
      </c>
      <c r="G425" s="1">
        <f t="shared" ref="G425:K425" si="422">IFERROR(G346/G314,0)*G419</f>
        <v>1.901267166850275E-3</v>
      </c>
      <c r="H425" s="1">
        <f t="shared" si="422"/>
        <v>1.2537386940277336E-2</v>
      </c>
      <c r="I425" s="1">
        <f t="shared" si="422"/>
        <v>0</v>
      </c>
      <c r="J425" s="1">
        <f t="shared" si="422"/>
        <v>0</v>
      </c>
      <c r="K425" s="1">
        <f t="shared" si="422"/>
        <v>0</v>
      </c>
      <c r="L425" s="1">
        <f t="shared" ref="L425" si="423">IFERROR(L346/L314,0)*L419</f>
        <v>0</v>
      </c>
      <c r="N425" s="1"/>
    </row>
    <row r="426" spans="1:14" x14ac:dyDescent="0.3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24">IFERROR(G347/G315,0)*G420</f>
        <v>0</v>
      </c>
      <c r="H426" s="1">
        <f t="shared" si="424"/>
        <v>0</v>
      </c>
      <c r="I426" s="1">
        <f t="shared" si="424"/>
        <v>0</v>
      </c>
      <c r="J426" s="1">
        <f t="shared" si="424"/>
        <v>0</v>
      </c>
      <c r="K426" s="1">
        <f t="shared" si="424"/>
        <v>0</v>
      </c>
      <c r="L426" s="1">
        <f t="shared" ref="L426" si="425">IFERROR(L347/L315,0)*L420</f>
        <v>0</v>
      </c>
      <c r="N426" s="1"/>
    </row>
    <row r="427" spans="1:14" x14ac:dyDescent="0.3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36.420746654922482</v>
      </c>
      <c r="G427" s="1">
        <f t="shared" ref="G427:K427" si="426">SUM(G428:G429)</f>
        <v>34.943729025239783</v>
      </c>
      <c r="H427" s="1">
        <f t="shared" si="426"/>
        <v>33.024879865498576</v>
      </c>
      <c r="I427" s="1">
        <f t="shared" si="426"/>
        <v>36.747664706893453</v>
      </c>
      <c r="J427" s="1">
        <f t="shared" si="426"/>
        <v>36.281882520989939</v>
      </c>
      <c r="K427" s="1">
        <f t="shared" si="426"/>
        <v>39.00847750768434</v>
      </c>
      <c r="L427" s="1">
        <f t="shared" ref="L427" si="427">SUM(L428:L429)</f>
        <v>24.98726312837319</v>
      </c>
      <c r="N427" s="1"/>
    </row>
    <row r="428" spans="1:14" x14ac:dyDescent="0.3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36.420746654922482</v>
      </c>
      <c r="G428" s="1">
        <f>'[1]Electricity and CHPs_IN'!C$26-G361</f>
        <v>34.943729025239783</v>
      </c>
      <c r="H428" s="1">
        <f>'[1]Electricity and CHPs_IN'!D$26-H361</f>
        <v>33.024879865498576</v>
      </c>
      <c r="I428" s="1">
        <f>'[1]Electricity and CHPs_IN'!E$26-I361</f>
        <v>36.747664706893453</v>
      </c>
      <c r="J428" s="1">
        <f>'[2]Electricity and CHPs_IN'!F$26-J361</f>
        <v>36.281882520989939</v>
      </c>
      <c r="K428" s="1">
        <f>'[2]Electricity and CHPs_IN'!G$26-K361</f>
        <v>30.118375050585886</v>
      </c>
      <c r="L428" s="1">
        <f>'[2]Electricity and CHPs_IN'!H$26-L361</f>
        <v>0.11602513621062727</v>
      </c>
      <c r="N428" s="1"/>
    </row>
    <row r="429" spans="1:14" x14ac:dyDescent="0.3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'[2]Electricity and CHPs_IN'!F$27-J362</f>
        <v>0</v>
      </c>
      <c r="K429" s="1">
        <f>'[2]Electricity and CHPs_IN'!G$27-K362</f>
        <v>8.8901024570984539</v>
      </c>
      <c r="L429" s="1">
        <f>'[2]Electricity and CHPs_IN'!H$27-L362</f>
        <v>24.871237992162563</v>
      </c>
      <c r="N429" s="1"/>
    </row>
    <row r="430" spans="1:14" x14ac:dyDescent="0.3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18.210373327461241</v>
      </c>
      <c r="G430" s="1">
        <f t="shared" ref="G430:K430" si="428">SUM(G431:G432)</f>
        <v>17.471864512619891</v>
      </c>
      <c r="H430" s="1">
        <f t="shared" si="428"/>
        <v>16.512439932749288</v>
      </c>
      <c r="I430" s="1">
        <f t="shared" si="428"/>
        <v>18.373832353446726</v>
      </c>
      <c r="J430" s="1">
        <f t="shared" si="428"/>
        <v>18.140941260494969</v>
      </c>
      <c r="K430" s="1">
        <f t="shared" si="428"/>
        <v>19.50423875384217</v>
      </c>
      <c r="L430" s="1">
        <f t="shared" ref="L430" si="429">SUM(L431:L432)</f>
        <v>12.493631564186595</v>
      </c>
      <c r="N430" s="1"/>
    </row>
    <row r="431" spans="1:14" x14ac:dyDescent="0.3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18.210373327461241</v>
      </c>
      <c r="G431" s="1">
        <f t="shared" ref="G431:K431" si="430">IFERROR(G368/G361,0)*G428</f>
        <v>17.471864512619891</v>
      </c>
      <c r="H431" s="1">
        <f t="shared" si="430"/>
        <v>16.512439932749288</v>
      </c>
      <c r="I431" s="1">
        <f t="shared" si="430"/>
        <v>18.373832353446726</v>
      </c>
      <c r="J431" s="1">
        <f t="shared" si="430"/>
        <v>18.140941260494969</v>
      </c>
      <c r="K431" s="1">
        <f t="shared" si="430"/>
        <v>15.059187525292943</v>
      </c>
      <c r="L431" s="1">
        <f t="shared" ref="L431" si="431">IFERROR(L368/L361,0)*L428</f>
        <v>5.8012568105313647E-2</v>
      </c>
      <c r="N431" s="1"/>
    </row>
    <row r="432" spans="1:14" x14ac:dyDescent="0.3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32">IFERROR(G369/G362,0)*G429</f>
        <v>0</v>
      </c>
      <c r="H432" s="1">
        <f t="shared" si="432"/>
        <v>0</v>
      </c>
      <c r="I432" s="1">
        <f t="shared" si="432"/>
        <v>0</v>
      </c>
      <c r="J432" s="1">
        <f t="shared" si="432"/>
        <v>0</v>
      </c>
      <c r="K432" s="1">
        <f t="shared" si="432"/>
        <v>4.4450512285492279</v>
      </c>
      <c r="L432" s="1">
        <f t="shared" ref="L432" si="433">IFERROR(L369/L362,0)*L429</f>
        <v>12.435618996081281</v>
      </c>
      <c r="N432" s="1"/>
    </row>
    <row r="433" spans="1:14" x14ac:dyDescent="0.3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18.210373327461241</v>
      </c>
      <c r="G433" s="1">
        <f t="shared" ref="G433:K433" si="434">SUM(G434:G435)</f>
        <v>17.471864512619891</v>
      </c>
      <c r="H433" s="1">
        <f t="shared" si="434"/>
        <v>16.512439932749288</v>
      </c>
      <c r="I433" s="1">
        <f t="shared" si="434"/>
        <v>18.373832353446726</v>
      </c>
      <c r="J433" s="1">
        <f t="shared" si="434"/>
        <v>18.140941260494969</v>
      </c>
      <c r="K433" s="1">
        <f t="shared" si="434"/>
        <v>19.50423875384217</v>
      </c>
      <c r="L433" s="1">
        <f t="shared" ref="L433" si="435">SUM(L434:L435)</f>
        <v>12.493631564186595</v>
      </c>
      <c r="N433" s="1"/>
    </row>
    <row r="434" spans="1:14" x14ac:dyDescent="0.3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18.210373327461241</v>
      </c>
      <c r="G434" s="1">
        <f t="shared" ref="G434:K434" si="436">G428-G431</f>
        <v>17.471864512619891</v>
      </c>
      <c r="H434" s="1">
        <f t="shared" si="436"/>
        <v>16.512439932749288</v>
      </c>
      <c r="I434" s="1">
        <f t="shared" si="436"/>
        <v>18.373832353446726</v>
      </c>
      <c r="J434" s="1">
        <f t="shared" si="436"/>
        <v>18.140941260494969</v>
      </c>
      <c r="K434" s="1">
        <f t="shared" si="436"/>
        <v>15.059187525292943</v>
      </c>
      <c r="L434" s="1">
        <f t="shared" ref="L434" si="437">L428-L431</f>
        <v>5.8012568105313619E-2</v>
      </c>
      <c r="N434" s="1"/>
    </row>
    <row r="435" spans="1:14" x14ac:dyDescent="0.3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38">G429-G432</f>
        <v>0</v>
      </c>
      <c r="H435" s="1">
        <f t="shared" si="438"/>
        <v>0</v>
      </c>
      <c r="I435" s="1">
        <f t="shared" si="438"/>
        <v>0</v>
      </c>
      <c r="J435" s="1">
        <f t="shared" si="438"/>
        <v>0</v>
      </c>
      <c r="K435" s="1">
        <f t="shared" si="438"/>
        <v>4.4450512285492261</v>
      </c>
      <c r="L435" s="1">
        <f t="shared" ref="L435" si="439">L429-L432</f>
        <v>12.435618996081281</v>
      </c>
      <c r="N435" s="1"/>
    </row>
    <row r="436" spans="1:14" x14ac:dyDescent="0.3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1.3744194959898846E-2</v>
      </c>
      <c r="G436" s="1">
        <f t="shared" ref="G436:L436" si="440">G437</f>
        <v>3.2613969026188648E-2</v>
      </c>
      <c r="H436" s="1">
        <f t="shared" si="440"/>
        <v>4.3405631076145153E-2</v>
      </c>
      <c r="I436" s="1">
        <f t="shared" si="440"/>
        <v>0.15563356326196504</v>
      </c>
      <c r="J436" s="1">
        <f t="shared" si="440"/>
        <v>1.6105947515855163</v>
      </c>
      <c r="K436" s="1">
        <f t="shared" si="440"/>
        <v>2.1916417259704541</v>
      </c>
      <c r="L436" s="1">
        <f t="shared" si="440"/>
        <v>2.2346730674544451</v>
      </c>
      <c r="N436" s="1"/>
    </row>
    <row r="437" spans="1:14" x14ac:dyDescent="0.3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1.3744194959898846E-2</v>
      </c>
      <c r="G437" s="1">
        <f>'[1]Electricity and CHPs_IN'!C$25-G380</f>
        <v>3.2613969026188648E-2</v>
      </c>
      <c r="H437" s="1">
        <f>'[1]Electricity and CHPs_IN'!D$25-H380</f>
        <v>4.3405631076145153E-2</v>
      </c>
      <c r="I437" s="1">
        <f>'[1]Electricity and CHPs_IN'!E$25-I380</f>
        <v>0.15563356326196504</v>
      </c>
      <c r="J437" s="1">
        <f>'[2]Electricity and CHPs_IN'!F$25-J380</f>
        <v>1.6105947515855163</v>
      </c>
      <c r="K437" s="1">
        <f>'[2]Electricity and CHPs_IN'!G$25-K380</f>
        <v>2.1916417259704541</v>
      </c>
      <c r="L437" s="1">
        <f>'[2]Electricity and CHPs_IN'!H$25-L380</f>
        <v>2.2346730674544451</v>
      </c>
      <c r="N437" s="1"/>
    </row>
    <row r="438" spans="1:14" x14ac:dyDescent="0.3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L438" si="441">+G439</f>
        <v>0</v>
      </c>
      <c r="H438" s="1">
        <f t="shared" si="441"/>
        <v>0</v>
      </c>
      <c r="I438" s="1">
        <f t="shared" si="441"/>
        <v>0</v>
      </c>
      <c r="J438" s="1">
        <f t="shared" si="441"/>
        <v>0</v>
      </c>
      <c r="K438" s="1">
        <f t="shared" si="441"/>
        <v>3.6931594807588898E-3</v>
      </c>
      <c r="L438" s="1">
        <f t="shared" si="441"/>
        <v>0.85884449514339789</v>
      </c>
      <c r="N438" s="1"/>
    </row>
    <row r="439" spans="1:14" x14ac:dyDescent="0.3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'[2]Electricity and CHPs_IN'!F$30-J398</f>
        <v>0</v>
      </c>
      <c r="K439" s="1">
        <f>'[2]Electricity and CHPs_IN'!G$30-K398</f>
        <v>3.6931594807588898E-3</v>
      </c>
      <c r="L439" s="1">
        <f>'[2]Electricity and CHPs_IN'!H$30-L398</f>
        <v>0.85884449514339789</v>
      </c>
      <c r="N439" s="1"/>
    </row>
    <row r="440" spans="1:14" x14ac:dyDescent="0.3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9.565099579997927</v>
      </c>
      <c r="G440" s="1">
        <f t="shared" ref="G440:K440" si="442">SUM(G441,G447,G449,G455,G457,G459,G461)</f>
        <v>11.744541238703835</v>
      </c>
      <c r="H440" s="1">
        <f t="shared" si="442"/>
        <v>10.35418374028529</v>
      </c>
      <c r="I440" s="1">
        <f t="shared" si="442"/>
        <v>9.7342329323301975</v>
      </c>
      <c r="J440" s="1">
        <f t="shared" si="442"/>
        <v>10.198136354367566</v>
      </c>
      <c r="K440" s="1">
        <f t="shared" si="442"/>
        <v>9.9682226003789456</v>
      </c>
      <c r="L440" s="1">
        <f t="shared" ref="L440" si="443">SUM(L441,L447,L449,L455,L457,L459,L461)</f>
        <v>11.008147218528528</v>
      </c>
      <c r="N440" s="1"/>
    </row>
    <row r="441" spans="1:14" x14ac:dyDescent="0.3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4.3964999953793491</v>
      </c>
      <c r="G441" s="1">
        <f t="shared" ref="G441:L441" si="444">+G442</f>
        <v>3.187974609756941</v>
      </c>
      <c r="H441" s="1">
        <f t="shared" si="444"/>
        <v>2.4528292887289025</v>
      </c>
      <c r="I441" s="1">
        <f t="shared" si="444"/>
        <v>2.3680399903741396</v>
      </c>
      <c r="J441" s="1">
        <f t="shared" si="444"/>
        <v>2.3679686952633459</v>
      </c>
      <c r="K441" s="1">
        <f t="shared" si="444"/>
        <v>2.3679648245964984</v>
      </c>
      <c r="L441" s="1">
        <f t="shared" si="444"/>
        <v>2.3726638617956817</v>
      </c>
      <c r="N441" s="1"/>
    </row>
    <row r="442" spans="1:14" x14ac:dyDescent="0.3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4.3964999953793491</v>
      </c>
      <c r="G442" s="1">
        <f t="shared" ref="G442:K442" si="445">SUM(G444:G446)</f>
        <v>3.187974609756941</v>
      </c>
      <c r="H442" s="1">
        <f t="shared" si="445"/>
        <v>2.4528292887289025</v>
      </c>
      <c r="I442" s="1">
        <f t="shared" si="445"/>
        <v>2.3680399903741396</v>
      </c>
      <c r="J442" s="1">
        <f t="shared" si="445"/>
        <v>2.3679686952633459</v>
      </c>
      <c r="K442" s="1">
        <f t="shared" si="445"/>
        <v>2.3679648245964984</v>
      </c>
      <c r="L442" s="1">
        <f t="shared" ref="L442" si="446">SUM(L444:L446)</f>
        <v>2.3726638617956817</v>
      </c>
      <c r="N442" s="1"/>
    </row>
    <row r="443" spans="1:14" x14ac:dyDescent="0.3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2.0283279054032661</v>
      </c>
      <c r="G443" s="1">
        <f t="shared" ref="G443:L443" si="447">G444</f>
        <v>0.81993622386271225</v>
      </c>
      <c r="H443" s="1">
        <f t="shared" si="447"/>
        <v>8.4770923279525318E-2</v>
      </c>
      <c r="I443" s="1">
        <f t="shared" si="447"/>
        <v>0</v>
      </c>
      <c r="J443" s="1">
        <f t="shared" si="447"/>
        <v>0</v>
      </c>
      <c r="K443" s="1">
        <f t="shared" si="447"/>
        <v>0</v>
      </c>
      <c r="L443" s="1">
        <f t="shared" si="447"/>
        <v>0</v>
      </c>
      <c r="N443" s="1"/>
    </row>
    <row r="444" spans="1:14" x14ac:dyDescent="0.3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2.0283279054032661</v>
      </c>
      <c r="G444" s="1">
        <f>'[1]Electricity and CHPs_IN'!C$90</f>
        <v>0.81993622386271225</v>
      </c>
      <c r="H444" s="1">
        <f>'[1]Electricity and CHPs_IN'!D$90</f>
        <v>8.4770923279525318E-2</v>
      </c>
      <c r="I444" s="1">
        <f>'[1]Electricity and CHPs_IN'!E$90</f>
        <v>0</v>
      </c>
      <c r="J444" s="1">
        <f>'[2]Electricity and CHPs_IN'!F$90</f>
        <v>0</v>
      </c>
      <c r="K444" s="1">
        <f>'[2]Electricity and CHPs_IN'!G$90</f>
        <v>0</v>
      </c>
      <c r="L444" s="1">
        <f>'[2]Electricity and CHPs_IN'!H$90</f>
        <v>0</v>
      </c>
      <c r="N444" s="1"/>
    </row>
    <row r="445" spans="1:14" x14ac:dyDescent="0.3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1.1840860449880417</v>
      </c>
      <c r="G445" s="1">
        <f t="shared" ref="G445:L445" si="448">G446</f>
        <v>1.1840191929471144</v>
      </c>
      <c r="H445" s="1">
        <f t="shared" si="448"/>
        <v>1.1840291827246885</v>
      </c>
      <c r="I445" s="1">
        <f t="shared" si="448"/>
        <v>1.1840199951870698</v>
      </c>
      <c r="J445" s="1">
        <f t="shared" si="448"/>
        <v>1.1839843476316729</v>
      </c>
      <c r="K445" s="1">
        <f t="shared" si="448"/>
        <v>1.1839824122982492</v>
      </c>
      <c r="L445" s="1">
        <f t="shared" si="448"/>
        <v>1.1863319308978408</v>
      </c>
      <c r="N445" s="1"/>
    </row>
    <row r="446" spans="1:14" x14ac:dyDescent="0.3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1.1840860449880417</v>
      </c>
      <c r="G446" s="1">
        <f>'[1]Electricity and CHPs_IN'!C$91</f>
        <v>1.1840191929471144</v>
      </c>
      <c r="H446" s="1">
        <f>'[1]Electricity and CHPs_IN'!D$91</f>
        <v>1.1840291827246885</v>
      </c>
      <c r="I446" s="1">
        <f>'[1]Electricity and CHPs_IN'!E$91</f>
        <v>1.1840199951870698</v>
      </c>
      <c r="J446" s="1">
        <f>'[2]Electricity and CHPs_IN'!F$91</f>
        <v>1.1839843476316729</v>
      </c>
      <c r="K446" s="1">
        <f>'[2]Electricity and CHPs_IN'!G$91</f>
        <v>1.1839824122982492</v>
      </c>
      <c r="L446" s="1">
        <f>'[2]Electricity and CHPs_IN'!H$91</f>
        <v>1.1863319308978408</v>
      </c>
      <c r="N446" s="1"/>
    </row>
    <row r="447" spans="1:14" x14ac:dyDescent="0.3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1.4503484521851611</v>
      </c>
      <c r="G447" s="1">
        <f t="shared" ref="G447:L447" si="449">G448</f>
        <v>3.8005723339729314</v>
      </c>
      <c r="H447" s="1">
        <f t="shared" si="449"/>
        <v>3.7610156438209685</v>
      </c>
      <c r="I447" s="1">
        <f t="shared" si="449"/>
        <v>1.0653320352998967</v>
      </c>
      <c r="J447" s="1">
        <f t="shared" si="449"/>
        <v>0.8561642960190613</v>
      </c>
      <c r="K447" s="1">
        <f t="shared" si="449"/>
        <v>0.84341553264536073</v>
      </c>
      <c r="L447" s="1">
        <f t="shared" si="449"/>
        <v>0.26170114769672664</v>
      </c>
      <c r="N447" s="1"/>
    </row>
    <row r="448" spans="1:14" x14ac:dyDescent="0.3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1.4503484521851611</v>
      </c>
      <c r="G448" s="1">
        <f>'[1]Electricity and CHPs_IN'!C$92</f>
        <v>3.8005723339729314</v>
      </c>
      <c r="H448" s="1">
        <f>'[1]Electricity and CHPs_IN'!D$92</f>
        <v>3.7610156438209685</v>
      </c>
      <c r="I448" s="1">
        <f>'[1]Electricity and CHPs_IN'!E$92</f>
        <v>1.0653320352998967</v>
      </c>
      <c r="J448" s="1">
        <f>'[2]Electricity and CHPs_IN'!F$92</f>
        <v>0.8561642960190613</v>
      </c>
      <c r="K448" s="1">
        <f>'[2]Electricity and CHPs_IN'!G$92</f>
        <v>0.84341553264536073</v>
      </c>
      <c r="L448" s="1">
        <f>'[2]Electricity and CHPs_IN'!H$92</f>
        <v>0.26170114769672664</v>
      </c>
      <c r="N448" s="1"/>
    </row>
    <row r="449" spans="1:14" x14ac:dyDescent="0.3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0.21574287415336313</v>
      </c>
      <c r="G449" s="1">
        <f t="shared" ref="G449:L449" si="450">G450</f>
        <v>0.2150865055357141</v>
      </c>
      <c r="H449" s="1">
        <f t="shared" si="450"/>
        <v>8.4084578973484207E-3</v>
      </c>
      <c r="I449" s="1">
        <f t="shared" si="450"/>
        <v>1.0449339496490144E-2</v>
      </c>
      <c r="J449" s="1">
        <f t="shared" si="450"/>
        <v>5.046052917784203E-5</v>
      </c>
      <c r="K449" s="1">
        <f t="shared" si="450"/>
        <v>1.353091474190398E-4</v>
      </c>
      <c r="L449" s="1">
        <f t="shared" si="450"/>
        <v>3.959224567515594E-6</v>
      </c>
      <c r="N449" s="1"/>
    </row>
    <row r="450" spans="1:14" x14ac:dyDescent="0.3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0.21574287415336313</v>
      </c>
      <c r="G450" s="1">
        <f>'[1]Electricity and CHPs_IN'!C$93</f>
        <v>0.2150865055357141</v>
      </c>
      <c r="H450" s="1">
        <f>'[1]Electricity and CHPs_IN'!D$93</f>
        <v>8.4084578973484207E-3</v>
      </c>
      <c r="I450" s="1">
        <f>'[1]Electricity and CHPs_IN'!E$93</f>
        <v>1.0449339496490144E-2</v>
      </c>
      <c r="J450" s="1">
        <f>'[2]Electricity and CHPs_IN'!F$93</f>
        <v>5.046052917784203E-5</v>
      </c>
      <c r="K450" s="1">
        <f>'[2]Electricity and CHPs_IN'!G$93</f>
        <v>1.353091474190398E-4</v>
      </c>
      <c r="L450" s="1">
        <f>'[2]Electricity and CHPs_IN'!H$93</f>
        <v>3.959224567515594E-6</v>
      </c>
      <c r="N450" s="1"/>
    </row>
    <row r="451" spans="1:14" x14ac:dyDescent="0.3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0.21574287415336313</v>
      </c>
      <c r="G451" s="1">
        <f t="shared" ref="G451:L451" si="451">G452</f>
        <v>0.2150865055357141</v>
      </c>
      <c r="H451" s="1">
        <f t="shared" si="451"/>
        <v>8.4084578973484207E-3</v>
      </c>
      <c r="I451" s="1">
        <f t="shared" si="451"/>
        <v>1.0449339496490144E-2</v>
      </c>
      <c r="J451" s="1">
        <f t="shared" si="451"/>
        <v>5.046052917784203E-5</v>
      </c>
      <c r="K451" s="1">
        <f t="shared" si="451"/>
        <v>1.353091474190398E-4</v>
      </c>
      <c r="L451" s="1">
        <f t="shared" si="451"/>
        <v>3.959224567515594E-6</v>
      </c>
      <c r="N451" s="1"/>
    </row>
    <row r="452" spans="1:14" x14ac:dyDescent="0.3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0.21574287415336313</v>
      </c>
      <c r="G452" s="1">
        <f t="shared" ref="G452:K452" si="452">G450</f>
        <v>0.2150865055357141</v>
      </c>
      <c r="H452" s="1">
        <f t="shared" si="452"/>
        <v>8.4084578973484207E-3</v>
      </c>
      <c r="I452" s="1">
        <f t="shared" si="452"/>
        <v>1.0449339496490144E-2</v>
      </c>
      <c r="J452" s="1">
        <f t="shared" si="452"/>
        <v>5.046052917784203E-5</v>
      </c>
      <c r="K452" s="1">
        <f t="shared" si="452"/>
        <v>1.353091474190398E-4</v>
      </c>
      <c r="L452" s="1">
        <f t="shared" ref="L452" si="453">L450</f>
        <v>3.959224567515594E-6</v>
      </c>
      <c r="N452" s="1"/>
    </row>
    <row r="453" spans="1:14" x14ac:dyDescent="0.3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L453" si="454">G454</f>
        <v>0</v>
      </c>
      <c r="H453" s="1">
        <f t="shared" si="454"/>
        <v>0</v>
      </c>
      <c r="I453" s="1">
        <f t="shared" si="454"/>
        <v>0</v>
      </c>
      <c r="J453" s="1">
        <f t="shared" si="454"/>
        <v>0</v>
      </c>
      <c r="K453" s="1">
        <f t="shared" si="454"/>
        <v>0</v>
      </c>
      <c r="L453" s="1">
        <f t="shared" si="454"/>
        <v>0</v>
      </c>
      <c r="N453" s="1"/>
    </row>
    <row r="454" spans="1:14" x14ac:dyDescent="0.3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N454" s="1"/>
    </row>
    <row r="455" spans="1:14" x14ac:dyDescent="0.3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3.5025082582800544</v>
      </c>
      <c r="G455" s="1">
        <f t="shared" ref="G455:L455" si="455">G456</f>
        <v>3.1609569733618343</v>
      </c>
      <c r="H455" s="1">
        <f t="shared" si="455"/>
        <v>2.7101551627400027</v>
      </c>
      <c r="I455" s="1">
        <f t="shared" si="455"/>
        <v>2.4480408027098997</v>
      </c>
      <c r="J455" s="1">
        <f t="shared" si="455"/>
        <v>3.3810954139615177</v>
      </c>
      <c r="K455" s="1">
        <f t="shared" si="455"/>
        <v>2.9709194019179899</v>
      </c>
      <c r="L455" s="1">
        <f t="shared" si="455"/>
        <v>4.1919305405688023</v>
      </c>
      <c r="N455" s="1"/>
    </row>
    <row r="456" spans="1:14" x14ac:dyDescent="0.3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3.5025082582800544</v>
      </c>
      <c r="G456" s="1">
        <f>'[1]Electricity and CHPs_IN'!C$94</f>
        <v>3.1609569733618343</v>
      </c>
      <c r="H456" s="1">
        <f>'[1]Electricity and CHPs_IN'!D$94</f>
        <v>2.7101551627400027</v>
      </c>
      <c r="I456" s="1">
        <f>'[1]Electricity and CHPs_IN'!E$94</f>
        <v>2.4480408027098997</v>
      </c>
      <c r="J456" s="1">
        <f>'[2]Electricity and CHPs_IN'!F$94</f>
        <v>3.3810954139615177</v>
      </c>
      <c r="K456" s="1">
        <f>'[2]Electricity and CHPs_IN'!G$94</f>
        <v>2.9709194019179899</v>
      </c>
      <c r="L456" s="1">
        <f>'[2]Electricity and CHPs_IN'!H$94</f>
        <v>4.1919305405688023</v>
      </c>
      <c r="N456" s="1"/>
    </row>
    <row r="457" spans="1:14" x14ac:dyDescent="0.3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L457" si="456">G458</f>
        <v>0</v>
      </c>
      <c r="H457" s="1">
        <f t="shared" si="456"/>
        <v>0</v>
      </c>
      <c r="I457" s="1">
        <f t="shared" si="456"/>
        <v>2.5596435667802012E-3</v>
      </c>
      <c r="J457" s="1">
        <f t="shared" si="456"/>
        <v>8.7535207811675442E-5</v>
      </c>
      <c r="K457" s="1">
        <f t="shared" si="456"/>
        <v>8.7185522891622375E-5</v>
      </c>
      <c r="L457" s="1">
        <f t="shared" si="456"/>
        <v>8.840705783971122E-5</v>
      </c>
      <c r="N457" s="1"/>
    </row>
    <row r="458" spans="1:14" x14ac:dyDescent="0.3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2.5596435667802012E-3</v>
      </c>
      <c r="J458" s="1">
        <f>'[2]Electricity and CHPs_IN'!F$95</f>
        <v>8.7535207811675442E-5</v>
      </c>
      <c r="K458" s="1">
        <f>'[2]Electricity and CHPs_IN'!G$95</f>
        <v>8.7185522891622375E-5</v>
      </c>
      <c r="L458" s="1">
        <f>'[2]Electricity and CHPs_IN'!H$95</f>
        <v>8.840705783971122E-5</v>
      </c>
      <c r="N458" s="1"/>
    </row>
    <row r="459" spans="1:14" x14ac:dyDescent="0.3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L459" si="457">G460</f>
        <v>0</v>
      </c>
      <c r="H459" s="1">
        <f t="shared" si="457"/>
        <v>0</v>
      </c>
      <c r="I459" s="1">
        <f t="shared" si="457"/>
        <v>0</v>
      </c>
      <c r="J459" s="1">
        <f t="shared" si="457"/>
        <v>0</v>
      </c>
      <c r="K459" s="1">
        <f t="shared" si="457"/>
        <v>1.1918996957867882E-4</v>
      </c>
      <c r="L459" s="1">
        <f t="shared" si="457"/>
        <v>1.2177742819650863E-4</v>
      </c>
      <c r="N459" s="1"/>
    </row>
    <row r="460" spans="1:14" x14ac:dyDescent="0.3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'[2]Electricity and CHPs_IN'!F$96</f>
        <v>0</v>
      </c>
      <c r="K460" s="1">
        <f>'[2]Electricity and CHPs_IN'!G$96</f>
        <v>1.1918996957867882E-4</v>
      </c>
      <c r="L460" s="1">
        <f>'[2]Electricity and CHPs_IN'!H$96</f>
        <v>1.2177742819650863E-4</v>
      </c>
      <c r="N460" s="1"/>
    </row>
    <row r="461" spans="1:14" x14ac:dyDescent="0.3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58">G462</f>
        <v>1.3799508160764142</v>
      </c>
      <c r="H461" s="1">
        <f>H462</f>
        <v>1.4217751870980675</v>
      </c>
      <c r="I461" s="1">
        <f t="shared" ref="I461" si="459">I462</f>
        <v>3.8398111208829926</v>
      </c>
      <c r="J461" s="1">
        <f t="shared" ref="J461" si="460">J462</f>
        <v>3.5927699533866511</v>
      </c>
      <c r="K461" s="1">
        <f t="shared" ref="K461:L461" si="461">K462</f>
        <v>3.7855811565792066</v>
      </c>
      <c r="L461" s="1">
        <f t="shared" si="461"/>
        <v>4.181637524756713</v>
      </c>
      <c r="N461" s="1"/>
    </row>
    <row r="462" spans="1:14" x14ac:dyDescent="0.3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1.3799508160764142</v>
      </c>
      <c r="H462" s="1">
        <f>'[1]Electricity and CHPs_IN'!D$97</f>
        <v>1.4217751870980675</v>
      </c>
      <c r="I462" s="1">
        <f>'[1]Electricity and CHPs_IN'!E$97</f>
        <v>3.8398111208829926</v>
      </c>
      <c r="J462" s="1">
        <f>'[2]Electricity and CHPs_IN'!F$97</f>
        <v>3.5927699533866511</v>
      </c>
      <c r="K462" s="1">
        <f>'[2]Electricity and CHPs_IN'!G$97</f>
        <v>3.7855811565792066</v>
      </c>
      <c r="L462" s="1">
        <f>'[2]Electricity and CHPs_IN'!H$97</f>
        <v>4.181637524756713</v>
      </c>
      <c r="N462" s="1"/>
    </row>
    <row r="463" spans="1:14" x14ac:dyDescent="0.3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8.7501038314452355</v>
      </c>
      <c r="G463" s="1">
        <f t="shared" ref="G463:K463" si="462">SUM(G464,G470,G503,G512,G518)</f>
        <v>8.6583016900134453</v>
      </c>
      <c r="H463" s="1">
        <f t="shared" si="462"/>
        <v>7.7506563100429826</v>
      </c>
      <c r="I463" s="1">
        <f>IFERROR(SUM(I464,I470,I503,I512,I518),0)</f>
        <v>7.6281170930528219</v>
      </c>
      <c r="J463" s="1">
        <f t="shared" si="462"/>
        <v>9.843050540246912</v>
      </c>
      <c r="K463" s="1">
        <f t="shared" si="462"/>
        <v>11.137510975085071</v>
      </c>
      <c r="L463" s="1">
        <f>IFERROR(SUM(L464,L470,L503,L512,L518),0)</f>
        <v>16.961794959858736</v>
      </c>
      <c r="N463" s="1"/>
    </row>
    <row r="464" spans="1:14" x14ac:dyDescent="0.3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0.37102107788033173</v>
      </c>
      <c r="G464" s="1">
        <f t="shared" ref="G464:L464" si="463">+G465</f>
        <v>0.62686581817800535</v>
      </c>
      <c r="H464" s="1">
        <f t="shared" si="463"/>
        <v>0.46937527626262127</v>
      </c>
      <c r="I464" s="1">
        <f t="shared" si="463"/>
        <v>0.54443169034770333</v>
      </c>
      <c r="J464" s="1">
        <f t="shared" si="463"/>
        <v>0.52741664593827731</v>
      </c>
      <c r="K464" s="1">
        <f t="shared" si="463"/>
        <v>0</v>
      </c>
      <c r="L464" s="1">
        <f t="shared" si="463"/>
        <v>0</v>
      </c>
      <c r="N464" s="1"/>
    </row>
    <row r="465" spans="1:14" x14ac:dyDescent="0.3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0.37102107788033173</v>
      </c>
      <c r="G465" s="1">
        <f>'[1]Electricity and CHPs_IN'!C$41-G301</f>
        <v>0.62686581817800535</v>
      </c>
      <c r="H465" s="1">
        <f>'[1]Electricity and CHPs_IN'!D$41-H301</f>
        <v>0.46937527626262127</v>
      </c>
      <c r="I465" s="1">
        <f>'[1]Electricity and CHPs_IN'!E$41-I301</f>
        <v>0.54443169034770333</v>
      </c>
      <c r="J465" s="1">
        <f>'[2]Electricity and CHPs_IN'!F$41-J301</f>
        <v>0.52741664593827731</v>
      </c>
      <c r="K465" s="1">
        <f>'[2]Electricity and CHPs_IN'!G$41-K301</f>
        <v>0</v>
      </c>
      <c r="L465" s="1">
        <f>'[2]Electricity and CHPs_IN'!H$41-L301</f>
        <v>0</v>
      </c>
      <c r="N465" s="1"/>
    </row>
    <row r="466" spans="1:14" x14ac:dyDescent="0.3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0.37102107788033173</v>
      </c>
      <c r="G466" s="1">
        <f t="shared" ref="G466:L466" si="464">G467</f>
        <v>0.62686581817800535</v>
      </c>
      <c r="H466" s="1">
        <f t="shared" si="464"/>
        <v>0.46937527626262127</v>
      </c>
      <c r="I466" s="1">
        <f t="shared" si="464"/>
        <v>0.54443169034770333</v>
      </c>
      <c r="J466" s="1">
        <f t="shared" si="464"/>
        <v>0.52741664593827731</v>
      </c>
      <c r="K466" s="1">
        <f t="shared" si="464"/>
        <v>0</v>
      </c>
      <c r="L466" s="1">
        <f t="shared" si="464"/>
        <v>0</v>
      </c>
      <c r="N466" s="1"/>
    </row>
    <row r="467" spans="1:14" x14ac:dyDescent="0.3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0.37102107788033173</v>
      </c>
      <c r="G467" s="1">
        <f t="shared" ref="G467:K467" si="465">G465-G469</f>
        <v>0.62686581817800535</v>
      </c>
      <c r="H467" s="1">
        <f t="shared" si="465"/>
        <v>0.46937527626262127</v>
      </c>
      <c r="I467" s="1">
        <f t="shared" si="465"/>
        <v>0.54443169034770333</v>
      </c>
      <c r="J467" s="1">
        <f t="shared" si="465"/>
        <v>0.52741664593827731</v>
      </c>
      <c r="K467" s="1">
        <f t="shared" si="465"/>
        <v>0</v>
      </c>
      <c r="L467" s="1">
        <f t="shared" ref="L467" si="466">L465-L469</f>
        <v>0</v>
      </c>
      <c r="N467" s="1"/>
    </row>
    <row r="468" spans="1:14" x14ac:dyDescent="0.3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L468" si="467">G469</f>
        <v>0</v>
      </c>
      <c r="H468" s="1">
        <f t="shared" si="467"/>
        <v>0</v>
      </c>
      <c r="I468" s="1">
        <f t="shared" si="467"/>
        <v>0</v>
      </c>
      <c r="J468" s="1">
        <f t="shared" si="467"/>
        <v>0</v>
      </c>
      <c r="K468" s="1">
        <f t="shared" si="467"/>
        <v>0</v>
      </c>
      <c r="L468" s="1">
        <f t="shared" si="467"/>
        <v>0</v>
      </c>
      <c r="N468" s="1"/>
    </row>
    <row r="469" spans="1:14" x14ac:dyDescent="0.3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68">IFERROR(G309/G301,0)*G465</f>
        <v>0</v>
      </c>
      <c r="H469" s="1">
        <f t="shared" si="468"/>
        <v>0</v>
      </c>
      <c r="I469" s="1">
        <f t="shared" si="468"/>
        <v>0</v>
      </c>
      <c r="J469" s="1">
        <f t="shared" si="468"/>
        <v>0</v>
      </c>
      <c r="K469" s="1">
        <f t="shared" si="468"/>
        <v>0</v>
      </c>
      <c r="L469" s="1">
        <f t="shared" ref="L469" si="469">IFERROR(L309/L301,0)*L465</f>
        <v>0</v>
      </c>
      <c r="N469" s="1"/>
    </row>
    <row r="470" spans="1:14" x14ac:dyDescent="0.3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4.3696513942219726</v>
      </c>
      <c r="G470" s="1">
        <f t="shared" ref="G470:K470" si="470">SUM(G471:G480)</f>
        <v>3.147159386518898</v>
      </c>
      <c r="H470" s="1">
        <f t="shared" si="470"/>
        <v>3.597387055767558</v>
      </c>
      <c r="I470" s="1">
        <f>IFERROR(SUM(I471:I480),0)</f>
        <v>1.7356014705980407</v>
      </c>
      <c r="J470" s="1">
        <f t="shared" si="470"/>
        <v>2.6305202630613191</v>
      </c>
      <c r="K470" s="1">
        <f t="shared" si="470"/>
        <v>1.5877709159964937</v>
      </c>
      <c r="L470" s="1">
        <f>IFERROR(SUM(L471:L480),0)</f>
        <v>3.2913535918970553</v>
      </c>
      <c r="N470" s="1"/>
    </row>
    <row r="471" spans="1:14" x14ac:dyDescent="0.3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1.2075054931053009</v>
      </c>
      <c r="G471" s="1">
        <f>'[1]Electricity and CHPs_IN'!C$39-G316</f>
        <v>0.32851490139051048</v>
      </c>
      <c r="H471" s="1">
        <f>'[1]Electricity and CHPs_IN'!D$39-H316</f>
        <v>0.71858079347318404</v>
      </c>
      <c r="I471" s="1">
        <f>'[1]Electricity and CHPs_IN'!E$39-I316</f>
        <v>7.8932966029672105E-2</v>
      </c>
      <c r="J471" s="1">
        <f>'[2]Electricity and CHPs_IN'!F$39-J316</f>
        <v>1.0470507332560572</v>
      </c>
      <c r="K471" s="1">
        <f>'[2]Electricity and CHPs_IN'!G$39-K316</f>
        <v>0.15235339718245439</v>
      </c>
      <c r="L471" s="1">
        <f>'[2]Electricity and CHPs_IN'!H$39-L316</f>
        <v>1.3588414381172995</v>
      </c>
      <c r="N471" s="1"/>
    </row>
    <row r="472" spans="1:14" x14ac:dyDescent="0.3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'[2]Electricity and CHPs_IN'!F$40-J317</f>
        <v>0</v>
      </c>
      <c r="K472" s="6">
        <f>'[2]Electricity and CHPs_IN'!G$40-K317</f>
        <v>2.2038122673818963E-2</v>
      </c>
      <c r="L472" s="6">
        <f>'[2]Electricity and CHPs_IN'!H$40-L317</f>
        <v>0.56477549904266</v>
      </c>
      <c r="N472" s="1"/>
    </row>
    <row r="473" spans="1:14" x14ac:dyDescent="0.3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'[2]Electricity and CHPs_IN'!$B$47-J318</f>
        <v>0</v>
      </c>
      <c r="K473" s="6">
        <f>'[2]Electricity and CHPs_IN'!$B$47-K318</f>
        <v>0</v>
      </c>
      <c r="L473" s="6">
        <f>'[2]Electricity and CHPs_IN'!$B$47-L318</f>
        <v>0</v>
      </c>
      <c r="N473" s="1"/>
    </row>
    <row r="474" spans="1:14" x14ac:dyDescent="0.3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0.26116125676959223</v>
      </c>
      <c r="G474" s="1">
        <f>'[1]Electricity and CHPs_IN'!C$48-G319</f>
        <v>3.3811016888200179E-2</v>
      </c>
      <c r="H474" s="1">
        <f>'[1]Electricity and CHPs_IN'!D$48-H319</f>
        <v>0.11254284026817446</v>
      </c>
      <c r="I474" s="1">
        <f>IFERROR('[1]Electricity and CHPs_IN'!E$48-I319,0)</f>
        <v>0</v>
      </c>
      <c r="J474" s="1">
        <f>'[2]Electricity and CHPs_IN'!F$48-J319</f>
        <v>1.3921297425073784E-2</v>
      </c>
      <c r="K474" s="1">
        <f>'[2]Electricity and CHPs_IN'!G$48-K319</f>
        <v>2.9345370697769725E-3</v>
      </c>
      <c r="L474" s="1">
        <f>IFERROR('[2]Electricity and CHPs_IN'!H$48-L319,0)</f>
        <v>0</v>
      </c>
      <c r="N474" s="1"/>
    </row>
    <row r="475" spans="1:14" x14ac:dyDescent="0.3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'[2]Electricity and CHPs_IN'!F$49-J320</f>
        <v>0</v>
      </c>
      <c r="K475" s="6">
        <f>'[2]Electricity and CHPs_IN'!G$49-K320</f>
        <v>0</v>
      </c>
      <c r="L475" s="6">
        <f>'[2]Electricity and CHPs_IN'!H$49-L320</f>
        <v>0</v>
      </c>
      <c r="N475" s="1"/>
    </row>
    <row r="476" spans="1:14" x14ac:dyDescent="0.3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0.28022914029434492</v>
      </c>
      <c r="G476" s="1">
        <f>'[1]Electricity and CHPs_IN'!C$51-G321</f>
        <v>4.1566082323902472E-2</v>
      </c>
      <c r="H476" s="1">
        <f>'[1]Electricity and CHPs_IN'!D$51-H321</f>
        <v>0.15549962894720526</v>
      </c>
      <c r="I476" s="1">
        <f>'[1]Electricity and CHPs_IN'!E$51-I321</f>
        <v>0</v>
      </c>
      <c r="J476" s="1">
        <f>'[2]Electricity and CHPs_IN'!F$51-J321</f>
        <v>2.3383941228434256E-2</v>
      </c>
      <c r="K476" s="1">
        <f>'[2]Electricity and CHPs_IN'!G$51-K321</f>
        <v>4.449454301116304E-3</v>
      </c>
      <c r="L476" s="1">
        <f>'[2]Electricity and CHPs_IN'!H$51-L321</f>
        <v>0</v>
      </c>
      <c r="N476" s="1"/>
    </row>
    <row r="477" spans="1:14" x14ac:dyDescent="0.3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'[2]Electricity and CHPs_IN'!F$52-J322</f>
        <v>0</v>
      </c>
      <c r="K477" s="1">
        <f>'[2]Electricity and CHPs_IN'!G$52-K322</f>
        <v>0</v>
      </c>
      <c r="L477" s="1">
        <f>'[2]Electricity and CHPs_IN'!H$52-L322</f>
        <v>0</v>
      </c>
      <c r="N477" s="1"/>
    </row>
    <row r="478" spans="1:14" x14ac:dyDescent="0.3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1.5807723999109324</v>
      </c>
      <c r="G478" s="1">
        <f>'[1]Electricity and CHPs_IN'!C$54-G323</f>
        <v>1.7934591024770443</v>
      </c>
      <c r="H478" s="1">
        <f>'[1]Electricity and CHPs_IN'!D$54-H323</f>
        <v>1.7535855378340783</v>
      </c>
      <c r="I478" s="1">
        <f>'[1]Electricity and CHPs_IN'!E$54-I323</f>
        <v>1.6566685045683687</v>
      </c>
      <c r="J478" s="1">
        <f>'[2]Electricity and CHPs_IN'!F$54-J323</f>
        <v>1.5403918446495333</v>
      </c>
      <c r="K478" s="1">
        <f>'[2]Electricity and CHPs_IN'!G$54-K323</f>
        <v>1.4049333921089437</v>
      </c>
      <c r="L478" s="1">
        <f>'[2]Electricity and CHPs_IN'!H$54-L323</f>
        <v>1.3677366547370959</v>
      </c>
      <c r="N478" s="1"/>
    </row>
    <row r="479" spans="1:14" x14ac:dyDescent="0.3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1.0399831041418022</v>
      </c>
      <c r="G479" s="1">
        <f>'[1]Electricity and CHPs_IN'!C$55-G324</f>
        <v>0.94980828343924062</v>
      </c>
      <c r="H479" s="1">
        <f>'[1]Electricity and CHPs_IN'!D$55-H324</f>
        <v>0.85717825524491587</v>
      </c>
      <c r="I479" s="1">
        <f>'[1]Electricity and CHPs_IN'!E$55-I324</f>
        <v>0</v>
      </c>
      <c r="J479" s="1">
        <f>'[2]Electricity and CHPs_IN'!F$55-J324</f>
        <v>5.772446502220586E-3</v>
      </c>
      <c r="K479" s="1">
        <f>'[2]Electricity and CHPs_IN'!G$55-K324</f>
        <v>1.0620126603832051E-3</v>
      </c>
      <c r="L479" s="1">
        <f>'[2]Electricity and CHPs_IN'!H$55-L324</f>
        <v>0</v>
      </c>
      <c r="N479" s="1"/>
    </row>
    <row r="480" spans="1:14" x14ac:dyDescent="0.3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0</v>
      </c>
      <c r="J480" s="1">
        <f>'[2]Electricity and CHPs_IN'!F$58-J325</f>
        <v>0</v>
      </c>
      <c r="K480" s="1">
        <f>'[2]Electricity and CHPs_IN'!G$58-K325</f>
        <v>0</v>
      </c>
      <c r="L480" s="1">
        <f>'[2]Electricity and CHPs_IN'!H$58-L325</f>
        <v>0</v>
      </c>
      <c r="N480" s="1"/>
    </row>
    <row r="481" spans="1:18" x14ac:dyDescent="0.3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2.7184980960732079</v>
      </c>
      <c r="G481" s="1">
        <f t="shared" ref="G481:K481" si="471">SUM(G482:G491)</f>
        <v>1.3069296641384258</v>
      </c>
      <c r="H481" s="1">
        <f t="shared" si="471"/>
        <v>1.7442032605953506</v>
      </c>
      <c r="I481" s="1">
        <f>IFERROR(SUM(I482:I491),0)</f>
        <v>7.0838228898717007E-2</v>
      </c>
      <c r="J481" s="1">
        <f t="shared" si="471"/>
        <v>0.88515142851651951</v>
      </c>
      <c r="K481" s="1">
        <f t="shared" si="471"/>
        <v>0.10934261994984444</v>
      </c>
      <c r="L481" s="1">
        <f>IFERROR(SUM(L482:L491),0)</f>
        <v>0.70378611488032194</v>
      </c>
      <c r="N481" s="1"/>
    </row>
    <row r="482" spans="1:18" x14ac:dyDescent="0.3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72">F471-F493</f>
        <v>1.1770325606456185</v>
      </c>
      <c r="G482" s="1">
        <f t="shared" ref="G482:K482" si="473">G471-G493</f>
        <v>0.31716464478890022</v>
      </c>
      <c r="H482" s="1">
        <f t="shared" si="473"/>
        <v>0.67976457920582967</v>
      </c>
      <c r="I482" s="1">
        <f t="shared" si="473"/>
        <v>7.0838228898717007E-2</v>
      </c>
      <c r="J482" s="1">
        <f t="shared" si="473"/>
        <v>0.85017364616650037</v>
      </c>
      <c r="K482" s="1">
        <f t="shared" si="473"/>
        <v>9.111214838172052E-2</v>
      </c>
      <c r="L482" s="1">
        <f t="shared" ref="L482" si="474">L471-L493</f>
        <v>0.49715393849822354</v>
      </c>
      <c r="N482" s="1"/>
    </row>
    <row r="483" spans="1:18" x14ac:dyDescent="0.3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72"/>
        <v>0</v>
      </c>
      <c r="G483" s="1">
        <f t="shared" ref="G483:K483" si="475">G472-G494</f>
        <v>0</v>
      </c>
      <c r="H483" s="1">
        <f t="shared" si="475"/>
        <v>0</v>
      </c>
      <c r="I483" s="1">
        <f t="shared" si="475"/>
        <v>0</v>
      </c>
      <c r="J483" s="1">
        <f t="shared" si="475"/>
        <v>0</v>
      </c>
      <c r="K483" s="1">
        <f t="shared" si="475"/>
        <v>1.3179494125141796E-2</v>
      </c>
      <c r="L483" s="1">
        <f t="shared" ref="L483" si="476">L472-L494</f>
        <v>0.20663217638209841</v>
      </c>
      <c r="N483" s="1"/>
    </row>
    <row r="484" spans="1:18" x14ac:dyDescent="0.3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72"/>
        <v>0</v>
      </c>
      <c r="G484" s="1">
        <f t="shared" ref="G484:K484" si="477">G473-G495</f>
        <v>0</v>
      </c>
      <c r="H484" s="1">
        <f t="shared" si="477"/>
        <v>0</v>
      </c>
      <c r="I484" s="1">
        <f t="shared" si="477"/>
        <v>0</v>
      </c>
      <c r="J484" s="1">
        <f t="shared" si="477"/>
        <v>0</v>
      </c>
      <c r="K484" s="1">
        <f t="shared" si="477"/>
        <v>0</v>
      </c>
      <c r="L484" s="1">
        <f t="shared" ref="L484" si="478">L473-L495</f>
        <v>0</v>
      </c>
      <c r="N484" s="1"/>
    </row>
    <row r="485" spans="1:18" x14ac:dyDescent="0.3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72"/>
        <v>0.25457052125404661</v>
      </c>
      <c r="G485" s="1">
        <f t="shared" ref="G485:K485" si="479">G474-G496</f>
        <v>3.2642839383867542E-2</v>
      </c>
      <c r="H485" s="1">
        <f t="shared" si="479"/>
        <v>0.10646351412728017</v>
      </c>
      <c r="I485" s="1">
        <f>IFERROR(I474-I496,0)</f>
        <v>0</v>
      </c>
      <c r="J485" s="1">
        <f t="shared" si="479"/>
        <v>1.1303674039210955E-2</v>
      </c>
      <c r="K485" s="1">
        <f t="shared" si="479"/>
        <v>1.7549459472372727E-3</v>
      </c>
      <c r="L485" s="1">
        <f>IFERROR(L474-L496,0)</f>
        <v>0</v>
      </c>
      <c r="N485" s="1"/>
    </row>
    <row r="486" spans="1:18" x14ac:dyDescent="0.3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72"/>
        <v>0</v>
      </c>
      <c r="G486" s="1">
        <f t="shared" ref="G486:K486" si="480">G475-G497</f>
        <v>0</v>
      </c>
      <c r="H486" s="1">
        <f t="shared" si="480"/>
        <v>0</v>
      </c>
      <c r="I486" s="1">
        <f t="shared" si="480"/>
        <v>0</v>
      </c>
      <c r="J486" s="1">
        <f t="shared" si="480"/>
        <v>0</v>
      </c>
      <c r="K486" s="1">
        <f t="shared" si="480"/>
        <v>0</v>
      </c>
      <c r="L486" s="1">
        <f t="shared" ref="L486" si="481">L475-L497</f>
        <v>0</v>
      </c>
      <c r="N486" s="1"/>
    </row>
    <row r="487" spans="1:18" x14ac:dyDescent="0.3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72"/>
        <v>0.27315720255643533</v>
      </c>
      <c r="G487" s="1">
        <f t="shared" ref="G487:K487" si="482">G476-G498</f>
        <v>4.012996573283456E-2</v>
      </c>
      <c r="H487" s="1">
        <f t="shared" si="482"/>
        <v>0.14709986795925165</v>
      </c>
      <c r="I487" s="1">
        <f t="shared" si="482"/>
        <v>0</v>
      </c>
      <c r="J487" s="1">
        <f t="shared" si="482"/>
        <v>1.8987055683632598E-2</v>
      </c>
      <c r="K487" s="1">
        <f t="shared" si="482"/>
        <v>2.6609143478139689E-3</v>
      </c>
      <c r="L487" s="1">
        <f t="shared" ref="L487" si="483">L476-L498</f>
        <v>0</v>
      </c>
      <c r="N487" s="1"/>
    </row>
    <row r="488" spans="1:18" x14ac:dyDescent="0.3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72"/>
        <v>0</v>
      </c>
      <c r="G488" s="1">
        <f t="shared" ref="G488:K488" si="484">G477-G499</f>
        <v>0</v>
      </c>
      <c r="H488" s="1">
        <f t="shared" si="484"/>
        <v>0</v>
      </c>
      <c r="I488" s="1">
        <f t="shared" si="484"/>
        <v>0</v>
      </c>
      <c r="J488" s="1">
        <f t="shared" si="484"/>
        <v>0</v>
      </c>
      <c r="K488" s="1">
        <f t="shared" si="484"/>
        <v>0</v>
      </c>
      <c r="L488" s="1">
        <f t="shared" ref="L488" si="485">L477-L499</f>
        <v>0</v>
      </c>
      <c r="N488" s="1"/>
    </row>
    <row r="489" spans="1:18" x14ac:dyDescent="0.3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N489" s="1"/>
    </row>
    <row r="490" spans="1:18" x14ac:dyDescent="0.3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1.0137378116171076</v>
      </c>
      <c r="G490" s="1">
        <f t="shared" ref="G490:K490" si="486">G479-G501</f>
        <v>0.91699221423282351</v>
      </c>
      <c r="H490" s="1">
        <f t="shared" si="486"/>
        <v>0.81087529930298907</v>
      </c>
      <c r="I490" s="1">
        <f t="shared" si="486"/>
        <v>0</v>
      </c>
      <c r="J490" s="1">
        <f t="shared" si="486"/>
        <v>4.687052627175595E-3</v>
      </c>
      <c r="K490" s="1">
        <f t="shared" si="486"/>
        <v>6.351171479308756E-4</v>
      </c>
      <c r="L490" s="1">
        <f t="shared" ref="L490" si="487">L479-L501</f>
        <v>0</v>
      </c>
      <c r="N490" s="1"/>
    </row>
    <row r="491" spans="1:18" x14ac:dyDescent="0.3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488">G480-G502</f>
        <v>0</v>
      </c>
      <c r="H491" s="1">
        <f t="shared" si="488"/>
        <v>0</v>
      </c>
      <c r="I491" s="1">
        <f t="shared" si="488"/>
        <v>0</v>
      </c>
      <c r="J491" s="1">
        <f t="shared" si="488"/>
        <v>0</v>
      </c>
      <c r="K491" s="1">
        <f t="shared" si="488"/>
        <v>0</v>
      </c>
      <c r="L491" s="1">
        <f t="shared" ref="L491" si="489">L480-L502</f>
        <v>0</v>
      </c>
      <c r="N491" s="1"/>
    </row>
    <row r="492" spans="1:18" x14ac:dyDescent="0.3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1.6511532981487647</v>
      </c>
      <c r="G492" s="1">
        <f t="shared" ref="G492:K492" si="490">SUM(G493:G502)</f>
        <v>1.8402297223804722</v>
      </c>
      <c r="H492" s="1">
        <f t="shared" si="490"/>
        <v>1.8531837951722074</v>
      </c>
      <c r="I492" s="1">
        <f>IFERROR(SUM(I493:I502),0)</f>
        <v>1.6647632416993237</v>
      </c>
      <c r="J492" s="1">
        <f t="shared" si="490"/>
        <v>1.7453688345447997</v>
      </c>
      <c r="K492" s="1">
        <f t="shared" si="490"/>
        <v>1.478428296046649</v>
      </c>
      <c r="L492" s="1">
        <f>IFERROR(SUM(L493:L502),0)</f>
        <v>2.5875674770167336</v>
      </c>
      <c r="M492" s="8"/>
      <c r="N492" s="1"/>
      <c r="O492" s="8"/>
      <c r="P492" s="8"/>
      <c r="Q492" s="8"/>
      <c r="R492" s="8"/>
    </row>
    <row r="493" spans="1:18" x14ac:dyDescent="0.3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491">IFERROR(F348/F316,0)*F471</f>
        <v>3.0472932459682387E-2</v>
      </c>
      <c r="G493" s="1">
        <f t="shared" ref="G493:K493" si="492">IFERROR(G348/G316,0)*G471</f>
        <v>1.1350256601610242E-2</v>
      </c>
      <c r="H493" s="1">
        <f t="shared" si="492"/>
        <v>3.8816214267354328E-2</v>
      </c>
      <c r="I493" s="1">
        <f t="shared" si="492"/>
        <v>8.0947371309550934E-3</v>
      </c>
      <c r="J493" s="1">
        <f t="shared" si="492"/>
        <v>0.1968770870895569</v>
      </c>
      <c r="K493" s="1">
        <f t="shared" si="492"/>
        <v>6.1241248800733873E-2</v>
      </c>
      <c r="L493" s="1">
        <f t="shared" ref="L493" si="493">IFERROR(L348/L316,0)*L471</f>
        <v>0.86168749961907598</v>
      </c>
      <c r="N493" s="1"/>
    </row>
    <row r="494" spans="1:18" x14ac:dyDescent="0.3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491"/>
        <v>0</v>
      </c>
      <c r="G494" s="1">
        <f t="shared" ref="G494:K494" si="494">IFERROR(G349/G317,0)*G472</f>
        <v>0</v>
      </c>
      <c r="H494" s="1">
        <f t="shared" si="494"/>
        <v>0</v>
      </c>
      <c r="I494" s="1">
        <f t="shared" si="494"/>
        <v>0</v>
      </c>
      <c r="J494" s="1">
        <f t="shared" si="494"/>
        <v>0</v>
      </c>
      <c r="K494" s="1">
        <f t="shared" si="494"/>
        <v>8.8586285486771665E-3</v>
      </c>
      <c r="L494" s="1">
        <f t="shared" ref="L494" si="495">IFERROR(L349/L317,0)*L472</f>
        <v>0.35814332266056159</v>
      </c>
      <c r="N494" s="1"/>
    </row>
    <row r="495" spans="1:18" x14ac:dyDescent="0.3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491"/>
        <v>0</v>
      </c>
      <c r="G495" s="1">
        <f t="shared" ref="G495:K495" si="496">IFERROR(G350/G318,0)*G473</f>
        <v>0</v>
      </c>
      <c r="H495" s="1">
        <f t="shared" si="496"/>
        <v>0</v>
      </c>
      <c r="I495" s="1">
        <f t="shared" si="496"/>
        <v>0</v>
      </c>
      <c r="J495" s="1">
        <f t="shared" si="496"/>
        <v>0</v>
      </c>
      <c r="K495" s="1">
        <f t="shared" si="496"/>
        <v>0</v>
      </c>
      <c r="L495" s="1">
        <f t="shared" ref="L495" si="497">IFERROR(L350/L318,0)*L473</f>
        <v>0</v>
      </c>
      <c r="N495" s="1"/>
    </row>
    <row r="496" spans="1:18" x14ac:dyDescent="0.3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491"/>
        <v>6.590735515545643E-3</v>
      </c>
      <c r="G496" s="1">
        <f t="shared" ref="G496:K496" si="498">IFERROR(G351/G319,0)*G474</f>
        <v>1.1681775043326397E-3</v>
      </c>
      <c r="H496" s="1">
        <f t="shared" si="498"/>
        <v>6.079326140894287E-3</v>
      </c>
      <c r="I496" s="1">
        <f>IFERROR(IFERROR(I351/I319,0)*I474,0)</f>
        <v>0</v>
      </c>
      <c r="J496" s="1">
        <f t="shared" si="498"/>
        <v>2.617623385862829E-3</v>
      </c>
      <c r="K496" s="1">
        <f t="shared" si="498"/>
        <v>1.1795911225396998E-3</v>
      </c>
      <c r="L496" s="1">
        <f>IFERROR(IFERROR(L351/L319,0)*L474,0)</f>
        <v>0</v>
      </c>
      <c r="N496" s="1"/>
    </row>
    <row r="497" spans="1:14" x14ac:dyDescent="0.3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491"/>
        <v>0</v>
      </c>
      <c r="G497" s="1">
        <f t="shared" ref="G497:K497" si="499">IFERROR(G352/G320,0)*G475</f>
        <v>0</v>
      </c>
      <c r="H497" s="1">
        <f t="shared" si="499"/>
        <v>0</v>
      </c>
      <c r="I497" s="1">
        <f t="shared" si="499"/>
        <v>0</v>
      </c>
      <c r="J497" s="1">
        <f t="shared" si="499"/>
        <v>0</v>
      </c>
      <c r="K497" s="1">
        <f t="shared" si="499"/>
        <v>0</v>
      </c>
      <c r="L497" s="1">
        <f t="shared" ref="L497" si="500">IFERROR(L352/L320,0)*L475</f>
        <v>0</v>
      </c>
      <c r="N497" s="1"/>
    </row>
    <row r="498" spans="1:14" x14ac:dyDescent="0.3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491"/>
        <v>7.0719377379095845E-3</v>
      </c>
      <c r="G498" s="1">
        <f t="shared" ref="G498:K498" si="501">IFERROR(G353/G321,0)*G476</f>
        <v>1.4361165910679091E-3</v>
      </c>
      <c r="H498" s="1">
        <f t="shared" si="501"/>
        <v>8.3997609879536261E-3</v>
      </c>
      <c r="I498" s="1">
        <f t="shared" si="501"/>
        <v>0</v>
      </c>
      <c r="J498" s="1">
        <f t="shared" si="501"/>
        <v>4.3968855448016566E-3</v>
      </c>
      <c r="K498" s="1">
        <f t="shared" si="501"/>
        <v>1.7885399533023351E-3</v>
      </c>
      <c r="L498" s="1">
        <f t="shared" ref="L498" si="502">IFERROR(L353/L321,0)*L476</f>
        <v>0</v>
      </c>
      <c r="N498" s="1"/>
    </row>
    <row r="499" spans="1:14" x14ac:dyDescent="0.3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491"/>
        <v>0</v>
      </c>
      <c r="G499" s="1">
        <f t="shared" ref="G499:K499" si="503">IFERROR(G354/G322,0)*G477</f>
        <v>0</v>
      </c>
      <c r="H499" s="1">
        <f t="shared" si="503"/>
        <v>0</v>
      </c>
      <c r="I499" s="1">
        <f t="shared" si="503"/>
        <v>0</v>
      </c>
      <c r="J499" s="1">
        <f t="shared" si="503"/>
        <v>0</v>
      </c>
      <c r="K499" s="1">
        <f t="shared" si="503"/>
        <v>0</v>
      </c>
      <c r="L499" s="1">
        <f t="shared" ref="L499" si="504">IFERROR(L354/L322,0)*L477</f>
        <v>0</v>
      </c>
      <c r="N499" s="1"/>
    </row>
    <row r="500" spans="1:14" x14ac:dyDescent="0.3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1.5807723999109324</v>
      </c>
      <c r="G500" s="1">
        <f t="shared" ref="G500:K500" si="505">G478</f>
        <v>1.7934591024770443</v>
      </c>
      <c r="H500" s="1">
        <f t="shared" si="505"/>
        <v>1.7535855378340783</v>
      </c>
      <c r="I500" s="1">
        <f t="shared" si="505"/>
        <v>1.6566685045683687</v>
      </c>
      <c r="J500" s="1">
        <f t="shared" si="505"/>
        <v>1.5403918446495333</v>
      </c>
      <c r="K500" s="1">
        <f t="shared" si="505"/>
        <v>1.4049333921089437</v>
      </c>
      <c r="L500" s="1">
        <f t="shared" ref="L500" si="506">L478</f>
        <v>1.3677366547370959</v>
      </c>
      <c r="N500" s="1"/>
    </row>
    <row r="501" spans="1:14" x14ac:dyDescent="0.3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2.6245292524694538E-2</v>
      </c>
      <c r="G501" s="1">
        <f t="shared" ref="G501:K501" si="507">IFERROR(G356/G324,0)*G479</f>
        <v>3.2816069206417137E-2</v>
      </c>
      <c r="H501" s="1">
        <f t="shared" si="507"/>
        <v>4.6302955941926849E-2</v>
      </c>
      <c r="I501" s="1">
        <f t="shared" si="507"/>
        <v>0</v>
      </c>
      <c r="J501" s="1">
        <f t="shared" si="507"/>
        <v>1.0853938750449909E-3</v>
      </c>
      <c r="K501" s="1">
        <f t="shared" si="507"/>
        <v>4.2689551245232954E-4</v>
      </c>
      <c r="L501" s="1">
        <f t="shared" ref="L501" si="508">IFERROR(L356/L324,0)*L479</f>
        <v>0</v>
      </c>
      <c r="N501" s="1"/>
    </row>
    <row r="502" spans="1:14" x14ac:dyDescent="0.3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09">IFERROR(G357/G325,0)*G480</f>
        <v>0</v>
      </c>
      <c r="H502" s="1">
        <f t="shared" si="509"/>
        <v>0</v>
      </c>
      <c r="I502" s="1">
        <f t="shared" si="509"/>
        <v>0</v>
      </c>
      <c r="J502" s="1">
        <f t="shared" si="509"/>
        <v>0</v>
      </c>
      <c r="K502" s="1">
        <f t="shared" si="509"/>
        <v>0</v>
      </c>
      <c r="L502" s="1">
        <f t="shared" ref="L502" si="510">IFERROR(L357/L325,0)*L480</f>
        <v>0</v>
      </c>
      <c r="N502" s="1"/>
    </row>
    <row r="503" spans="1:14" x14ac:dyDescent="0.3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3.3176092199257718</v>
      </c>
      <c r="G503" s="1">
        <f t="shared" ref="G503:K503" si="511">SUM(G504:G505)</f>
        <v>3.497006891596504</v>
      </c>
      <c r="H503" s="1">
        <f t="shared" si="511"/>
        <v>0.18138551098709124</v>
      </c>
      <c r="I503" s="1">
        <f t="shared" si="511"/>
        <v>0.20329734549495068</v>
      </c>
      <c r="J503" s="1">
        <f t="shared" si="511"/>
        <v>1.4076015576567645E-2</v>
      </c>
      <c r="K503" s="1">
        <f t="shared" si="511"/>
        <v>2.021441646140282</v>
      </c>
      <c r="L503" s="1">
        <f t="shared" ref="L503" si="512">SUM(L504:L505)</f>
        <v>5.7627158183617313</v>
      </c>
      <c r="N503" s="1"/>
    </row>
    <row r="504" spans="1:14" x14ac:dyDescent="0.3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3.3176092199257718</v>
      </c>
      <c r="G504" s="6">
        <f>'[1]Electricity and CHPs_IN'!C$44-G363</f>
        <v>3.497006891596504</v>
      </c>
      <c r="H504" s="6">
        <f>'[1]Electricity and CHPs_IN'!D$44-H363</f>
        <v>0.18138551098709124</v>
      </c>
      <c r="I504" s="6">
        <f>'[1]Electricity and CHPs_IN'!E$44-I363</f>
        <v>0.20329734549495068</v>
      </c>
      <c r="J504" s="6">
        <f>'[2]Electricity and CHPs_IN'!F$44-J363</f>
        <v>1.4076015576567645E-2</v>
      </c>
      <c r="K504" s="6">
        <f>'[2]Electricity and CHPs_IN'!G$44-K363</f>
        <v>6.5167879857364157E-3</v>
      </c>
      <c r="L504" s="6">
        <f>'[2]Electricity and CHPs_IN'!H$44-L363</f>
        <v>1.2208238968486468E-3</v>
      </c>
      <c r="N504" s="1"/>
    </row>
    <row r="505" spans="1:14" x14ac:dyDescent="0.3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'[2]Electricity and CHPs_IN'!F$45</f>
        <v>0</v>
      </c>
      <c r="K505" s="1">
        <f>'[2]Electricity and CHPs_IN'!G$45</f>
        <v>2.0149248581545454</v>
      </c>
      <c r="L505" s="1">
        <f>'[2]Electricity and CHPs_IN'!H$45</f>
        <v>5.7614949944648828</v>
      </c>
      <c r="N505" s="1"/>
    </row>
    <row r="506" spans="1:14" x14ac:dyDescent="0.3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13">SUM(G507:G508)</f>
        <v>0</v>
      </c>
      <c r="H506" s="1">
        <f t="shared" si="513"/>
        <v>0</v>
      </c>
      <c r="I506" s="1">
        <f t="shared" si="513"/>
        <v>0</v>
      </c>
      <c r="J506" s="1">
        <f t="shared" si="513"/>
        <v>0</v>
      </c>
      <c r="K506" s="1">
        <f t="shared" si="513"/>
        <v>0</v>
      </c>
      <c r="L506" s="1">
        <f t="shared" ref="L506" si="514">SUM(L507:L508)</f>
        <v>0</v>
      </c>
      <c r="N506" s="1"/>
    </row>
    <row r="507" spans="1:14" x14ac:dyDescent="0.3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N507" s="1"/>
    </row>
    <row r="508" spans="1:14" x14ac:dyDescent="0.3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N508" s="1"/>
    </row>
    <row r="509" spans="1:14" x14ac:dyDescent="0.3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3.3176092199257718</v>
      </c>
      <c r="G509" s="1">
        <f t="shared" ref="G509:K509" si="515">SUM(G510:G511)</f>
        <v>3.497006891596504</v>
      </c>
      <c r="H509" s="1">
        <f t="shared" si="515"/>
        <v>0.18138551098709124</v>
      </c>
      <c r="I509" s="1">
        <f t="shared" si="515"/>
        <v>0.20329734549495068</v>
      </c>
      <c r="J509" s="1">
        <f t="shared" si="515"/>
        <v>1.4076015576567645E-2</v>
      </c>
      <c r="K509" s="1">
        <f t="shared" si="515"/>
        <v>2.021441646140282</v>
      </c>
      <c r="L509" s="1">
        <f t="shared" ref="L509" si="516">SUM(L510:L511)</f>
        <v>5.7627158183617313</v>
      </c>
      <c r="N509" s="1"/>
    </row>
    <row r="510" spans="1:14" x14ac:dyDescent="0.3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3.3176092199257718</v>
      </c>
      <c r="G510" s="1">
        <f t="shared" ref="G510:K510" si="517">G504</f>
        <v>3.497006891596504</v>
      </c>
      <c r="H510" s="1">
        <f t="shared" si="517"/>
        <v>0.18138551098709124</v>
      </c>
      <c r="I510" s="1">
        <f t="shared" si="517"/>
        <v>0.20329734549495068</v>
      </c>
      <c r="J510" s="1">
        <f t="shared" si="517"/>
        <v>1.4076015576567645E-2</v>
      </c>
      <c r="K510" s="1">
        <f t="shared" si="517"/>
        <v>6.5167879857364157E-3</v>
      </c>
      <c r="L510" s="1">
        <f t="shared" ref="L510" si="518">L504</f>
        <v>1.2208238968486468E-3</v>
      </c>
      <c r="N510" s="1"/>
    </row>
    <row r="511" spans="1:14" x14ac:dyDescent="0.3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19">G505</f>
        <v>0</v>
      </c>
      <c r="H511" s="1">
        <f t="shared" si="519"/>
        <v>0</v>
      </c>
      <c r="I511" s="1">
        <f t="shared" si="519"/>
        <v>0</v>
      </c>
      <c r="J511" s="1">
        <f t="shared" si="519"/>
        <v>0</v>
      </c>
      <c r="K511" s="1">
        <f t="shared" si="519"/>
        <v>2.0149248581545454</v>
      </c>
      <c r="L511" s="1">
        <f t="shared" ref="L511" si="520">L505</f>
        <v>5.7614949944648828</v>
      </c>
      <c r="N511" s="1"/>
    </row>
    <row r="512" spans="1:14" x14ac:dyDescent="0.3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0.6918221394171602</v>
      </c>
      <c r="G512" s="1">
        <f t="shared" ref="G512:K512" si="521">SUM(G513:G517)</f>
        <v>1.3872695937200379</v>
      </c>
      <c r="H512" s="1">
        <f t="shared" si="521"/>
        <v>3.5025084670257121</v>
      </c>
      <c r="I512" s="1">
        <f t="shared" si="521"/>
        <v>5.1072401310706548</v>
      </c>
      <c r="J512" s="1">
        <f t="shared" si="521"/>
        <v>6.6652494840994354</v>
      </c>
      <c r="K512" s="1">
        <f t="shared" si="521"/>
        <v>7.4502333447724904</v>
      </c>
      <c r="L512" s="1">
        <f t="shared" ref="L512" si="522">SUM(L513:L517)</f>
        <v>7.7852041352661896</v>
      </c>
      <c r="N512" s="1"/>
    </row>
    <row r="513" spans="1:14" x14ac:dyDescent="0.3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0.6918221394171602</v>
      </c>
      <c r="G513" s="6">
        <f>'[1]Electricity and CHPs_IN'!C$42-G382</f>
        <v>1.3872695937200379</v>
      </c>
      <c r="H513" s="6">
        <f>'[1]Electricity and CHPs_IN'!D$42-H382</f>
        <v>3.5025084670257121</v>
      </c>
      <c r="I513" s="6">
        <f>'[1]Electricity and CHPs_IN'!E$42-I382</f>
        <v>5.1072401310706548</v>
      </c>
      <c r="J513" s="6">
        <f>'[2]Electricity and CHPs_IN'!F$42-J382</f>
        <v>5.4536822226894781</v>
      </c>
      <c r="K513" s="6">
        <f>'[2]Electricity and CHPs_IN'!G$42-K382</f>
        <v>4.784524767391078</v>
      </c>
      <c r="L513" s="6">
        <f>'[2]Electricity and CHPs_IN'!H$42-L382</f>
        <v>4.0975806827663561</v>
      </c>
      <c r="N513" s="1"/>
    </row>
    <row r="514" spans="1:14" x14ac:dyDescent="0.3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'[2]Electricity and CHPs_IN'!F$43-J383</f>
        <v>0</v>
      </c>
      <c r="K514" s="1">
        <f>'[2]Electricity and CHPs_IN'!G$43-K383</f>
        <v>1.1559106116964282</v>
      </c>
      <c r="L514" s="1">
        <f>'[2]Electricity and CHPs_IN'!H$43-L383</f>
        <v>2.9806447554449891</v>
      </c>
      <c r="N514" s="1"/>
    </row>
    <row r="515" spans="1:14" x14ac:dyDescent="0.3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0</v>
      </c>
      <c r="J515" s="1">
        <f>'[2]Electricity and CHPs_IN'!F$50-J384</f>
        <v>8.2112085257399457E-3</v>
      </c>
      <c r="K515" s="1">
        <f>'[2]Electricity and CHPs_IN'!G$50-K384</f>
        <v>7.1560795096594649E-3</v>
      </c>
      <c r="L515" s="1">
        <f>'[2]Electricity and CHPs_IN'!H$50-L384</f>
        <v>3.0628122540180252E-3</v>
      </c>
      <c r="N515" s="1"/>
    </row>
    <row r="516" spans="1:14" x14ac:dyDescent="0.3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0</v>
      </c>
      <c r="J516" s="1">
        <f>'[2]Electricity and CHPs_IN'!F$53-J385</f>
        <v>1.2002801093522686</v>
      </c>
      <c r="K516" s="1">
        <f>'[2]Electricity and CHPs_IN'!G$53-K385</f>
        <v>1.5009643558933528</v>
      </c>
      <c r="L516" s="1">
        <f>'[2]Electricity and CHPs_IN'!H$53-L385</f>
        <v>0.70329463371300416</v>
      </c>
      <c r="N516" s="1"/>
    </row>
    <row r="517" spans="1:14" x14ac:dyDescent="0.3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0</v>
      </c>
      <c r="J517" s="1">
        <f>'[2]Electricity and CHPs_IN'!F$56-J386</f>
        <v>3.0759435319487878E-3</v>
      </c>
      <c r="K517" s="1">
        <f>'[2]Electricity and CHPs_IN'!G$56-K386</f>
        <v>1.6775302819723678E-3</v>
      </c>
      <c r="L517" s="1">
        <f>'[2]Electricity and CHPs_IN'!H$56-L386</f>
        <v>6.2125108782235179E-4</v>
      </c>
      <c r="N517" s="1"/>
    </row>
    <row r="518" spans="1:14" x14ac:dyDescent="0.3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23">SUM(G519:G520)</f>
        <v>0</v>
      </c>
      <c r="H518" s="1">
        <f t="shared" si="523"/>
        <v>0</v>
      </c>
      <c r="I518" s="1">
        <f t="shared" si="523"/>
        <v>3.7546455541471714E-2</v>
      </c>
      <c r="J518" s="1">
        <f t="shared" si="523"/>
        <v>5.7881315713136693E-3</v>
      </c>
      <c r="K518" s="1">
        <f t="shared" si="523"/>
        <v>7.8065068175805705E-2</v>
      </c>
      <c r="L518" s="1">
        <f t="shared" ref="L518" si="524">SUM(L519:L520)</f>
        <v>0.12252141433375985</v>
      </c>
      <c r="N518" s="1"/>
    </row>
    <row r="519" spans="1:14" x14ac:dyDescent="0.3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0</v>
      </c>
      <c r="J519" s="1">
        <f>'[2]Electricity and CHPs_IN'!F$46-J399</f>
        <v>3.4226146939156706E-3</v>
      </c>
      <c r="K519" s="1">
        <f>'[2]Electricity and CHPs_IN'!G$46-K399</f>
        <v>7.1464788454606021E-2</v>
      </c>
      <c r="L519" s="1">
        <f>'[2]Electricity and CHPs_IN'!H$46-L399</f>
        <v>0.11884893623888343</v>
      </c>
      <c r="N519" s="1"/>
    </row>
    <row r="520" spans="1:14" x14ac:dyDescent="0.3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3.7546455541471714E-2</v>
      </c>
      <c r="J520" s="1">
        <f>'[2]Electricity and CHPs_IN'!F$57-J400</f>
        <v>2.3655168773979987E-3</v>
      </c>
      <c r="K520" s="1">
        <f>'[2]Electricity and CHPs_IN'!G$57-K400</f>
        <v>6.6002797211996804E-3</v>
      </c>
      <c r="L520" s="1">
        <f>'[2]Electricity and CHPs_IN'!H$57-L400</f>
        <v>3.6724780948764173E-3</v>
      </c>
      <c r="N520" s="1"/>
    </row>
    <row r="521" spans="1:14" x14ac:dyDescent="0.3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N521" s="1"/>
    </row>
    <row r="522" spans="1:14" x14ac:dyDescent="0.3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25">IFERROR(F65/F293,"-")</f>
        <v>0.32978875891514586</v>
      </c>
      <c r="G522" s="13">
        <f t="shared" si="525"/>
        <v>0.32672878417957257</v>
      </c>
      <c r="H522" s="13">
        <f t="shared" si="525"/>
        <v>0.32635576690273183</v>
      </c>
      <c r="I522" s="13">
        <f t="shared" si="525"/>
        <v>0.33003755662641721</v>
      </c>
      <c r="J522" s="13">
        <f t="shared" si="525"/>
        <v>0.33008909773532641</v>
      </c>
      <c r="K522" s="13">
        <f t="shared" si="525"/>
        <v>0.33011119002396039</v>
      </c>
      <c r="L522" s="13">
        <f t="shared" ref="L522" si="526">IFERROR(L65/L293,"-")</f>
        <v>0.33073113319525421</v>
      </c>
      <c r="N522" s="1"/>
    </row>
    <row r="523" spans="1:14" x14ac:dyDescent="0.3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27">IFERROR(F67/F295,"-")</f>
        <v>1</v>
      </c>
      <c r="G523" s="13">
        <f t="shared" si="527"/>
        <v>1</v>
      </c>
      <c r="H523" s="13">
        <f t="shared" si="527"/>
        <v>1</v>
      </c>
      <c r="I523" s="13">
        <f t="shared" si="527"/>
        <v>1</v>
      </c>
      <c r="J523" s="13">
        <f t="shared" si="527"/>
        <v>1</v>
      </c>
      <c r="K523" s="13">
        <f t="shared" si="527"/>
        <v>1</v>
      </c>
      <c r="L523" s="13">
        <f t="shared" ref="L523" si="528">IFERROR(L67/L295,"-")</f>
        <v>1</v>
      </c>
      <c r="N523" s="1"/>
    </row>
    <row r="524" spans="1:14" x14ac:dyDescent="0.3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27"/>
        <v>1</v>
      </c>
      <c r="G524" s="13">
        <f t="shared" si="527"/>
        <v>1</v>
      </c>
      <c r="H524" s="13">
        <f t="shared" si="527"/>
        <v>1</v>
      </c>
      <c r="I524" s="13">
        <f t="shared" si="527"/>
        <v>1</v>
      </c>
      <c r="J524" s="13">
        <f t="shared" si="527"/>
        <v>1</v>
      </c>
      <c r="K524" s="13">
        <f t="shared" si="527"/>
        <v>1</v>
      </c>
      <c r="L524" s="13">
        <f t="shared" ref="L524" si="529">IFERROR(L68/L296,"-")</f>
        <v>1</v>
      </c>
      <c r="N524" s="1"/>
    </row>
    <row r="525" spans="1:14" x14ac:dyDescent="0.3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27"/>
        <v>0.79999942001599877</v>
      </c>
      <c r="G525" s="13">
        <f t="shared" si="527"/>
        <v>0.7999974306023836</v>
      </c>
      <c r="H525" s="13">
        <f t="shared" si="527"/>
        <v>0.79999152408428575</v>
      </c>
      <c r="I525" s="13">
        <f t="shared" si="527"/>
        <v>0.8000003896719029</v>
      </c>
      <c r="J525" s="13">
        <f t="shared" si="527"/>
        <v>0.8000001094122362</v>
      </c>
      <c r="K525" s="13">
        <f t="shared" si="527"/>
        <v>0.80000008501157727</v>
      </c>
      <c r="L525" s="13">
        <f t="shared" ref="L525" si="530">IFERROR(L69/L297,"-")</f>
        <v>0.80000008356198582</v>
      </c>
      <c r="N525" s="1"/>
    </row>
    <row r="526" spans="1:14" x14ac:dyDescent="0.3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0.16705775538994125</v>
      </c>
      <c r="G526" s="13">
        <f t="shared" ref="G526:K526" si="531">IFERROR(G71/G299,"-")</f>
        <v>8.7742467967153442E-3</v>
      </c>
      <c r="H526" s="13">
        <f t="shared" si="531"/>
        <v>0.27739743823984586</v>
      </c>
      <c r="I526" s="13">
        <f t="shared" si="531"/>
        <v>0.28838557884329136</v>
      </c>
      <c r="J526" s="13">
        <f t="shared" si="531"/>
        <v>0.3115705347112433</v>
      </c>
      <c r="K526" s="13">
        <f t="shared" si="531"/>
        <v>0.31622121725591629</v>
      </c>
      <c r="L526" s="13">
        <f t="shared" ref="L526" si="532">IFERROR(L71/L299,"-")</f>
        <v>0.2998340717713836</v>
      </c>
      <c r="N526" s="1"/>
    </row>
    <row r="527" spans="1:14" x14ac:dyDescent="0.3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1.3482147704995425E-2</v>
      </c>
      <c r="G527" s="13">
        <f t="shared" ref="G527:K527" si="533">IFERROR(G72/(G300+G413),"-")</f>
        <v>7.8100868692439892E-3</v>
      </c>
      <c r="H527" s="13">
        <f t="shared" si="533"/>
        <v>8.640631745857566E-2</v>
      </c>
      <c r="I527" s="13">
        <f t="shared" si="533"/>
        <v>9.7023022812451912E-2</v>
      </c>
      <c r="J527" s="13">
        <f t="shared" si="533"/>
        <v>9.6578528818094284E-2</v>
      </c>
      <c r="K527" s="13">
        <f t="shared" si="533"/>
        <v>0.10374766113572016</v>
      </c>
      <c r="L527" s="13">
        <f t="shared" ref="L527" si="534">IFERROR(L72/(L300+L413),"-")</f>
        <v>9.3538997309148358E-2</v>
      </c>
      <c r="N527" s="1"/>
    </row>
    <row r="528" spans="1:14" x14ac:dyDescent="0.3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0.17675258022566595</v>
      </c>
      <c r="G528" s="13">
        <f t="shared" ref="G528:K528" si="535">IFERROR(G73/(G301+G465),"-")</f>
        <v>0.24540541429827398</v>
      </c>
      <c r="H528" s="13">
        <f t="shared" si="535"/>
        <v>0.24403020467547498</v>
      </c>
      <c r="I528" s="13">
        <f t="shared" si="535"/>
        <v>0.26224466066523744</v>
      </c>
      <c r="J528" s="13">
        <f t="shared" si="535"/>
        <v>0.26310751219788847</v>
      </c>
      <c r="K528" s="13" t="str">
        <f t="shared" si="535"/>
        <v>-</v>
      </c>
      <c r="L528" s="13" t="str">
        <f t="shared" ref="L528" si="536">IFERROR(L73/(L301+L465),"-")</f>
        <v>-</v>
      </c>
      <c r="N528" s="1"/>
    </row>
    <row r="529" spans="1:14" x14ac:dyDescent="0.3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37">IFERROR(G83/G311,"-")</f>
        <v>-</v>
      </c>
      <c r="H529" s="13" t="str">
        <f t="shared" si="537"/>
        <v>-</v>
      </c>
      <c r="I529" s="13" t="str">
        <f t="shared" si="537"/>
        <v>-</v>
      </c>
      <c r="J529" s="13" t="str">
        <f t="shared" si="537"/>
        <v>-</v>
      </c>
      <c r="K529" s="13">
        <f t="shared" si="537"/>
        <v>0.4775689993413661</v>
      </c>
      <c r="L529" s="13">
        <f t="shared" ref="L529" si="538">IFERROR(L83/L311,"-")</f>
        <v>0.58134800211363902</v>
      </c>
      <c r="N529" s="1"/>
    </row>
    <row r="530" spans="1:14" x14ac:dyDescent="0.3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39">IFERROR(G84/G312,"-")</f>
        <v>-</v>
      </c>
      <c r="H530" s="13" t="str">
        <f t="shared" si="539"/>
        <v>-</v>
      </c>
      <c r="I530" s="13" t="str">
        <f t="shared" si="539"/>
        <v>-</v>
      </c>
      <c r="J530" s="13" t="str">
        <f t="shared" si="539"/>
        <v>-</v>
      </c>
      <c r="K530" s="13">
        <f t="shared" si="539"/>
        <v>0.31479973826060942</v>
      </c>
      <c r="L530" s="13">
        <f t="shared" ref="L530" si="540">IFERROR(L84/L312,"-")</f>
        <v>0.41629301621510545</v>
      </c>
      <c r="N530" s="1"/>
    </row>
    <row r="531" spans="1:14" x14ac:dyDescent="0.3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41">IFERROR(G85/G313,"-")</f>
        <v>-</v>
      </c>
      <c r="H531" s="13" t="str">
        <f t="shared" si="541"/>
        <v>-</v>
      </c>
      <c r="I531" s="13" t="str">
        <f t="shared" si="541"/>
        <v>-</v>
      </c>
      <c r="J531" s="13" t="str">
        <f t="shared" si="541"/>
        <v>-</v>
      </c>
      <c r="K531" s="13" t="str">
        <f t="shared" si="541"/>
        <v>-</v>
      </c>
      <c r="L531" s="13" t="str">
        <f t="shared" ref="L531" si="542">IFERROR(L85/L313,"-")</f>
        <v>-</v>
      </c>
      <c r="N531" s="1"/>
    </row>
    <row r="532" spans="1:14" x14ac:dyDescent="0.3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0.24087110133125075</v>
      </c>
      <c r="G532" s="13">
        <f t="shared" ref="G532:K532" si="543">IFERROR(G86/SUM(G314,G419),"-")</f>
        <v>0.23085303090331533</v>
      </c>
      <c r="H532" s="13">
        <f t="shared" si="543"/>
        <v>0.22947679017977402</v>
      </c>
      <c r="I532" s="13" t="str">
        <f t="shared" si="543"/>
        <v>-</v>
      </c>
      <c r="J532" s="13" t="str">
        <f t="shared" si="543"/>
        <v>-</v>
      </c>
      <c r="K532" s="13" t="str">
        <f t="shared" si="543"/>
        <v>-</v>
      </c>
      <c r="L532" s="13" t="str">
        <f t="shared" ref="L532" si="544">IFERROR(L86/SUM(L314,L419),"-")</f>
        <v>-</v>
      </c>
      <c r="N532" s="1"/>
    </row>
    <row r="533" spans="1:14" x14ac:dyDescent="0.3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45">IFERROR(G87/SUM(G315,G420),"-")</f>
        <v>-</v>
      </c>
      <c r="H533" s="13" t="str">
        <f t="shared" si="545"/>
        <v>-</v>
      </c>
      <c r="I533" s="13" t="str">
        <f t="shared" si="545"/>
        <v>-</v>
      </c>
      <c r="J533" s="13" t="str">
        <f t="shared" si="545"/>
        <v>-</v>
      </c>
      <c r="K533" s="13" t="str">
        <f t="shared" si="545"/>
        <v>-</v>
      </c>
      <c r="L533" s="13" t="str">
        <f t="shared" ref="L533" si="546">IFERROR(L87/SUM(L315,L420),"-")</f>
        <v>-</v>
      </c>
      <c r="N533" s="1"/>
    </row>
    <row r="534" spans="1:14" x14ac:dyDescent="0.3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0.31898083084519085</v>
      </c>
      <c r="G534" s="13">
        <f t="shared" ref="G534:K534" si="547">IFERROR(G88/SUM(G316,G471),"-'")</f>
        <v>0.3508103510636385</v>
      </c>
      <c r="H534" s="13">
        <f t="shared" si="547"/>
        <v>0.35106306829244405</v>
      </c>
      <c r="I534" s="13">
        <f t="shared" si="547"/>
        <v>0.35004093672242842</v>
      </c>
      <c r="J534" s="13">
        <f t="shared" si="547"/>
        <v>0.35991630408908304</v>
      </c>
      <c r="K534" s="13">
        <f t="shared" si="547"/>
        <v>0.3038316922372441</v>
      </c>
      <c r="L534" s="13">
        <f t="shared" ref="L534" si="548">IFERROR(L88/SUM(L316,L471),"-'")</f>
        <v>0.16393609080029489</v>
      </c>
      <c r="N534" s="1"/>
    </row>
    <row r="535" spans="1:14" x14ac:dyDescent="0.3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49">IFERROR(F89/SUM(F317,F472),"-")</f>
        <v>-</v>
      </c>
      <c r="G535" s="13" t="str">
        <f t="shared" ref="G535:K535" si="550">IFERROR(G89/SUM(G317,G472),"-")</f>
        <v>-</v>
      </c>
      <c r="H535" s="13" t="str">
        <f t="shared" si="550"/>
        <v>-</v>
      </c>
      <c r="I535" s="13" t="str">
        <f t="shared" si="550"/>
        <v>-</v>
      </c>
      <c r="J535" s="13" t="str">
        <f t="shared" si="550"/>
        <v>-</v>
      </c>
      <c r="K535" s="13">
        <f t="shared" si="550"/>
        <v>0.31723968304633321</v>
      </c>
      <c r="L535" s="13">
        <f t="shared" ref="L535" si="551">IFERROR(L89/SUM(L317,L472),"-")</f>
        <v>0.22806397939325973</v>
      </c>
      <c r="N535" s="1"/>
    </row>
    <row r="536" spans="1:14" x14ac:dyDescent="0.3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49"/>
        <v>-</v>
      </c>
      <c r="G536" s="13" t="str">
        <f t="shared" ref="G536:K536" si="552">IFERROR(G90/SUM(G318,G473),"-")</f>
        <v>-</v>
      </c>
      <c r="H536" s="13" t="str">
        <f t="shared" si="552"/>
        <v>-</v>
      </c>
      <c r="I536" s="13" t="str">
        <f t="shared" si="552"/>
        <v>-</v>
      </c>
      <c r="J536" s="13" t="str">
        <f t="shared" si="552"/>
        <v>-</v>
      </c>
      <c r="K536" s="13" t="str">
        <f t="shared" si="552"/>
        <v>-</v>
      </c>
      <c r="L536" s="13" t="str">
        <f t="shared" ref="L536" si="553">IFERROR(L90/SUM(L318,L473),"-")</f>
        <v>-</v>
      </c>
      <c r="N536" s="1"/>
    </row>
    <row r="537" spans="1:14" x14ac:dyDescent="0.3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49"/>
        <v>0.10727984592427926</v>
      </c>
      <c r="G537" s="13">
        <f t="shared" ref="G537:K537" si="554">IFERROR(G91/SUM(G319,G474),"-")</f>
        <v>0.250226726611256</v>
      </c>
      <c r="H537" s="13">
        <f t="shared" si="554"/>
        <v>0.10993897311523634</v>
      </c>
      <c r="I537" s="13" t="str">
        <f t="shared" si="554"/>
        <v>-</v>
      </c>
      <c r="J537" s="13">
        <f t="shared" si="554"/>
        <v>0.24313915939855532</v>
      </c>
      <c r="K537" s="13">
        <f t="shared" si="554"/>
        <v>0.26360328014072337</v>
      </c>
      <c r="L537" s="13" t="str">
        <f t="shared" ref="L537" si="555">IFERROR(L91/SUM(L319,L474),"-")</f>
        <v>-</v>
      </c>
      <c r="N537" s="1"/>
    </row>
    <row r="538" spans="1:14" x14ac:dyDescent="0.3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49"/>
        <v>-</v>
      </c>
      <c r="G538" s="13" t="str">
        <f t="shared" ref="G538:K538" si="556">IFERROR(G92/SUM(G320,G475),"-")</f>
        <v>-</v>
      </c>
      <c r="H538" s="13" t="str">
        <f t="shared" si="556"/>
        <v>-</v>
      </c>
      <c r="I538" s="13" t="str">
        <f t="shared" si="556"/>
        <v>-</v>
      </c>
      <c r="J538" s="13" t="str">
        <f t="shared" si="556"/>
        <v>-</v>
      </c>
      <c r="K538" s="13" t="str">
        <f t="shared" si="556"/>
        <v>-</v>
      </c>
      <c r="L538" s="13" t="str">
        <f t="shared" ref="L538" si="557">IFERROR(L92/SUM(L320,L475),"-")</f>
        <v>-</v>
      </c>
      <c r="N538" s="1"/>
    </row>
    <row r="539" spans="1:14" x14ac:dyDescent="0.3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49"/>
        <v>0.12870226583328442</v>
      </c>
      <c r="G539" s="13">
        <f t="shared" ref="G539:K539" si="558">IFERROR(G93/SUM(G321,G476),"-")</f>
        <v>0.27018975993813821</v>
      </c>
      <c r="H539" s="13">
        <f t="shared" si="558"/>
        <v>0.16926797045085262</v>
      </c>
      <c r="I539" s="13" t="str">
        <f t="shared" si="558"/>
        <v>-</v>
      </c>
      <c r="J539" s="13">
        <f t="shared" si="558"/>
        <v>0.27838944847102992</v>
      </c>
      <c r="K539" s="13">
        <f t="shared" si="558"/>
        <v>0.28920435527229643</v>
      </c>
      <c r="L539" s="13" t="str">
        <f t="shared" ref="L539" si="559">IFERROR(L93/SUM(L321,L476),"-")</f>
        <v>-</v>
      </c>
      <c r="N539" s="1"/>
    </row>
    <row r="540" spans="1:14" x14ac:dyDescent="0.3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49"/>
        <v>-</v>
      </c>
      <c r="G540" s="13" t="str">
        <f t="shared" ref="G540:K540" si="560">IFERROR(G94/SUM(G322,G477),"-")</f>
        <v>-</v>
      </c>
      <c r="H540" s="13" t="str">
        <f t="shared" si="560"/>
        <v>-</v>
      </c>
      <c r="I540" s="13" t="str">
        <f t="shared" si="560"/>
        <v>-</v>
      </c>
      <c r="J540" s="13" t="str">
        <f t="shared" si="560"/>
        <v>-</v>
      </c>
      <c r="K540" s="13" t="str">
        <f t="shared" si="560"/>
        <v>-</v>
      </c>
      <c r="L540" s="13" t="str">
        <f t="shared" ref="L540" si="561">IFERROR(L94/SUM(L322,L477),"-")</f>
        <v>-</v>
      </c>
      <c r="N540" s="1"/>
    </row>
    <row r="541" spans="1:14" x14ac:dyDescent="0.3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49"/>
        <v>0.36266500490775538</v>
      </c>
      <c r="G541" s="13">
        <f t="shared" ref="G541:K541" si="562">IFERROR(G95/SUM(G323,G478),"-")</f>
        <v>0.36274801265691214</v>
      </c>
      <c r="H541" s="13">
        <f t="shared" si="562"/>
        <v>0.36140732756624894</v>
      </c>
      <c r="I541" s="13">
        <f t="shared" si="562"/>
        <v>0.36401783982671282</v>
      </c>
      <c r="J541" s="13">
        <f t="shared" si="562"/>
        <v>0.3683067966537491</v>
      </c>
      <c r="K541" s="13">
        <f t="shared" si="562"/>
        <v>0.37495239392558577</v>
      </c>
      <c r="L541" s="13">
        <f t="shared" ref="L541" si="563">IFERROR(L95/SUM(L323,L478),"-")</f>
        <v>0.3851495687594913</v>
      </c>
      <c r="N541" s="1"/>
    </row>
    <row r="542" spans="1:14" x14ac:dyDescent="0.3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49"/>
        <v>0.30769985712425119</v>
      </c>
      <c r="G542" s="13">
        <f t="shared" ref="G542:K542" si="564">IFERROR(G96/SUM(G324,G479),"-")</f>
        <v>0.35968404562991307</v>
      </c>
      <c r="H542" s="13">
        <f t="shared" si="564"/>
        <v>0.34820778304549238</v>
      </c>
      <c r="I542" s="13" t="str">
        <f t="shared" si="564"/>
        <v>-</v>
      </c>
      <c r="J542" s="13">
        <f t="shared" si="564"/>
        <v>0.31332381097270201</v>
      </c>
      <c r="K542" s="13">
        <f t="shared" si="564"/>
        <v>0.32697923515299249</v>
      </c>
      <c r="L542" s="13" t="str">
        <f t="shared" ref="L542" si="565">IFERROR(L96/SUM(L324,L479),"-")</f>
        <v>-</v>
      </c>
      <c r="N542" s="1"/>
    </row>
    <row r="543" spans="1:14" x14ac:dyDescent="0.3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49"/>
        <v>-</v>
      </c>
      <c r="G543" s="13" t="str">
        <f t="shared" ref="G543:K543" si="566">IFERROR(G97/SUM(G325,G480),"-")</f>
        <v>-</v>
      </c>
      <c r="H543" s="13" t="str">
        <f t="shared" si="566"/>
        <v>-</v>
      </c>
      <c r="I543" s="13" t="str">
        <f t="shared" si="566"/>
        <v>-</v>
      </c>
      <c r="J543" s="13" t="str">
        <f t="shared" si="566"/>
        <v>-</v>
      </c>
      <c r="K543" s="13" t="str">
        <f t="shared" si="566"/>
        <v>-</v>
      </c>
      <c r="L543" s="13" t="str">
        <f t="shared" ref="L543" si="567">IFERROR(L97/SUM(L325,L480),"-")</f>
        <v>-</v>
      </c>
      <c r="N543" s="1"/>
    </row>
    <row r="544" spans="1:14" x14ac:dyDescent="0.3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0.35745695376016556</v>
      </c>
      <c r="G544" s="13">
        <f t="shared" ref="G544:K544" si="568">IFERROR(G131/G359,"-")</f>
        <v>0.35745695376016601</v>
      </c>
      <c r="H544" s="13">
        <f t="shared" si="568"/>
        <v>0.35745695376016617</v>
      </c>
      <c r="I544" s="13">
        <f t="shared" si="568"/>
        <v>0.35745695376016579</v>
      </c>
      <c r="J544" s="13">
        <f t="shared" si="568"/>
        <v>0.35745695376016562</v>
      </c>
      <c r="K544" s="13">
        <f t="shared" si="568"/>
        <v>0.35745695376016584</v>
      </c>
      <c r="L544" s="13">
        <f t="shared" ref="L544" si="569">IFERROR(L131/L359,"-")</f>
        <v>0.35745695376016628</v>
      </c>
      <c r="N544" s="1"/>
    </row>
    <row r="545" spans="2:14" x14ac:dyDescent="0.3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570">IFERROR(G132/G360,"-")</f>
        <v>-</v>
      </c>
      <c r="H545" s="13" t="str">
        <f t="shared" si="570"/>
        <v>-</v>
      </c>
      <c r="I545" s="13" t="str">
        <f t="shared" si="570"/>
        <v>-</v>
      </c>
      <c r="J545" s="13" t="str">
        <f t="shared" si="570"/>
        <v>-</v>
      </c>
      <c r="K545" s="13">
        <f t="shared" si="570"/>
        <v>0.3347083932228691</v>
      </c>
      <c r="L545" s="13">
        <f t="shared" ref="L545" si="571">IFERROR(L132/L360,"-")</f>
        <v>0.34140256108732586</v>
      </c>
      <c r="N545" s="1"/>
    </row>
    <row r="546" spans="2:14" x14ac:dyDescent="0.3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3.8383651712306913E-2</v>
      </c>
      <c r="G546" s="13">
        <f t="shared" ref="G546:K546" si="572">IFERROR(G133/SUM(G361,G428),"-")</f>
        <v>3.6853888381483006E-2</v>
      </c>
      <c r="H546" s="13">
        <f t="shared" si="572"/>
        <v>3.7055070274969119E-2</v>
      </c>
      <c r="I546" s="13">
        <f t="shared" si="572"/>
        <v>3.65763019578609E-2</v>
      </c>
      <c r="J546" s="13">
        <f t="shared" si="572"/>
        <v>3.5388201036090534E-2</v>
      </c>
      <c r="K546" s="13">
        <f t="shared" si="572"/>
        <v>3.1831339909267911E-2</v>
      </c>
      <c r="L546" s="13">
        <f t="shared" ref="L546" si="573">IFERROR(L133/SUM(L361,L428),"-")</f>
        <v>1.1638584475235273E-2</v>
      </c>
      <c r="N546" s="1"/>
    </row>
    <row r="547" spans="2:14" x14ac:dyDescent="0.3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574">IFERROR(G134/SUM(G362,G429),"-")</f>
        <v>-</v>
      </c>
      <c r="H547" s="13" t="str">
        <f t="shared" si="574"/>
        <v>-</v>
      </c>
      <c r="I547" s="13" t="str">
        <f t="shared" si="574"/>
        <v>-</v>
      </c>
      <c r="J547" s="13" t="str">
        <f t="shared" si="574"/>
        <v>-</v>
      </c>
      <c r="K547" s="13">
        <f t="shared" si="574"/>
        <v>4.8242849883234816E-2</v>
      </c>
      <c r="L547" s="13">
        <f t="shared" ref="L547" si="575">IFERROR(L134/SUM(L362,L429),"-")</f>
        <v>5.4000000000000013E-2</v>
      </c>
      <c r="N547" s="1"/>
    </row>
    <row r="548" spans="2:14" x14ac:dyDescent="0.3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6.1999117974029301E-2</v>
      </c>
      <c r="G548" s="13">
        <f t="shared" ref="G548:K548" si="576">IFERROR(G135/SUM(G363,G504),"-")</f>
        <v>6.19800337306309E-2</v>
      </c>
      <c r="H548" s="13">
        <f t="shared" si="576"/>
        <v>6.1972650567355327E-2</v>
      </c>
      <c r="I548" s="13">
        <f t="shared" si="576"/>
        <v>6.1972650567355278E-2</v>
      </c>
      <c r="J548" s="13">
        <f t="shared" si="576"/>
        <v>6.1972650567355271E-2</v>
      </c>
      <c r="K548" s="13">
        <f t="shared" si="576"/>
        <v>6.1972650567355306E-2</v>
      </c>
      <c r="L548" s="13">
        <f t="shared" ref="L548" si="577">IFERROR(L135/SUM(L363,L504),"-")</f>
        <v>6.1972650567355195E-2</v>
      </c>
      <c r="N548" s="1"/>
    </row>
    <row r="549" spans="2:14" x14ac:dyDescent="0.3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578">IFERROR(G136/SUM(G364,G505),"-")</f>
        <v>-</v>
      </c>
      <c r="H549" s="13" t="str">
        <f t="shared" si="578"/>
        <v>-</v>
      </c>
      <c r="I549" s="13" t="str">
        <f t="shared" si="578"/>
        <v>-</v>
      </c>
      <c r="J549" s="13" t="str">
        <f t="shared" si="578"/>
        <v>-</v>
      </c>
      <c r="K549" s="13">
        <f t="shared" si="578"/>
        <v>4.788082384705044E-2</v>
      </c>
      <c r="L549" s="13">
        <f t="shared" ref="L549" si="579">IFERROR(L136/SUM(L364,L505),"-")</f>
        <v>4.5431760215214244E-2</v>
      </c>
      <c r="N549" s="1"/>
    </row>
    <row r="550" spans="2:14" x14ac:dyDescent="0.3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0.24186570210011876</v>
      </c>
      <c r="G550" s="13">
        <f t="shared" ref="G550:K550" si="580">IFERROR(G152/SUM(G380,G437),"-")</f>
        <v>0.21141804762591651</v>
      </c>
      <c r="H550" s="13">
        <f t="shared" si="580"/>
        <v>0.19825775103440851</v>
      </c>
      <c r="I550" s="13">
        <f t="shared" si="580"/>
        <v>0.26435414648723699</v>
      </c>
      <c r="J550" s="13">
        <f t="shared" si="580"/>
        <v>0.29056043775163104</v>
      </c>
      <c r="K550" s="13">
        <f t="shared" si="580"/>
        <v>0.30620240591635106</v>
      </c>
      <c r="L550" s="13">
        <f t="shared" ref="L550" si="581">IFERROR(L152/SUM(L380,L437),"-")</f>
        <v>0.30621835176432222</v>
      </c>
      <c r="N550" s="1"/>
    </row>
    <row r="551" spans="2:14" x14ac:dyDescent="0.3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582">IFERROR(G153/G381,"-")</f>
        <v>-</v>
      </c>
      <c r="H551" s="13" t="str">
        <f t="shared" si="582"/>
        <v>-</v>
      </c>
      <c r="I551" s="13" t="str">
        <f t="shared" si="582"/>
        <v>-</v>
      </c>
      <c r="J551" s="13" t="str">
        <f t="shared" si="582"/>
        <v>-</v>
      </c>
      <c r="K551" s="13">
        <f t="shared" si="582"/>
        <v>0.22009488542823613</v>
      </c>
      <c r="L551" s="13">
        <f t="shared" ref="L551" si="583">IFERROR(L153/L381,"-")</f>
        <v>0.25786212139279757</v>
      </c>
      <c r="N551" s="1"/>
    </row>
    <row r="552" spans="2:14" x14ac:dyDescent="0.3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0.19772839492937955</v>
      </c>
      <c r="G552" s="13">
        <f t="shared" ref="G552:K552" si="584">IFERROR(G154/SUM(G382,G513),"-")</f>
        <v>0.22551477972426151</v>
      </c>
      <c r="H552" s="13">
        <f t="shared" si="584"/>
        <v>0.26713763993513401</v>
      </c>
      <c r="I552" s="13">
        <f t="shared" si="584"/>
        <v>0.33820822076740026</v>
      </c>
      <c r="J552" s="13">
        <f t="shared" si="584"/>
        <v>0.34568424704347889</v>
      </c>
      <c r="K552" s="13">
        <f t="shared" si="584"/>
        <v>0.35244612062944547</v>
      </c>
      <c r="L552" s="13">
        <f t="shared" ref="L552" si="585">IFERROR(L154/SUM(L382,L513),"-")</f>
        <v>0.36757464293102665</v>
      </c>
      <c r="N552" s="1"/>
    </row>
    <row r="553" spans="2:14" x14ac:dyDescent="0.3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586">IFERROR(G155/SUM(G383,G514),"-")</f>
        <v>-</v>
      </c>
      <c r="H553" s="13" t="str">
        <f t="shared" si="586"/>
        <v>-</v>
      </c>
      <c r="I553" s="13" t="str">
        <f t="shared" si="586"/>
        <v>-</v>
      </c>
      <c r="J553" s="13" t="str">
        <f t="shared" si="586"/>
        <v>-</v>
      </c>
      <c r="K553" s="13">
        <f t="shared" si="586"/>
        <v>0.33052048375819809</v>
      </c>
      <c r="L553" s="13">
        <f t="shared" ref="L553" si="587">IFERROR(L155/SUM(L383,L514),"-")</f>
        <v>0.34901051214801249</v>
      </c>
      <c r="N553" s="1"/>
    </row>
    <row r="554" spans="2:14" x14ac:dyDescent="0.3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588">IFERROR(G156/SUM(G384,G515),"-")</f>
        <v>-</v>
      </c>
      <c r="H554" s="13" t="str">
        <f t="shared" si="588"/>
        <v>-</v>
      </c>
      <c r="I554" s="13" t="str">
        <f t="shared" si="588"/>
        <v>-</v>
      </c>
      <c r="J554" s="13">
        <f t="shared" si="588"/>
        <v>0.21699241882570361</v>
      </c>
      <c r="K554" s="13">
        <f t="shared" si="588"/>
        <v>0.23218948089478375</v>
      </c>
      <c r="L554" s="13">
        <f t="shared" ref="L554" si="589">IFERROR(L156/SUM(L384,L515),"-")</f>
        <v>0.23278120414587927</v>
      </c>
      <c r="N554" s="1"/>
    </row>
    <row r="555" spans="2:14" x14ac:dyDescent="0.3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590">IFERROR(G157/SUM(G385,G516),"-")</f>
        <v>-</v>
      </c>
      <c r="H555" s="13" t="str">
        <f t="shared" si="590"/>
        <v>-</v>
      </c>
      <c r="I555" s="13" t="str">
        <f t="shared" si="590"/>
        <v>-</v>
      </c>
      <c r="J555" s="13">
        <f t="shared" si="590"/>
        <v>0.26812075082706699</v>
      </c>
      <c r="K555" s="13">
        <f t="shared" si="590"/>
        <v>0.27359994192446263</v>
      </c>
      <c r="L555" s="13">
        <f t="shared" ref="L555" si="591">IFERROR(L157/SUM(L385,L516),"-")</f>
        <v>0.28474558185712417</v>
      </c>
      <c r="N555" s="1"/>
    </row>
    <row r="556" spans="2:14" x14ac:dyDescent="0.3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592">IFERROR(G158/SUM(G386,G517),"-")</f>
        <v>-</v>
      </c>
      <c r="H556" s="13" t="str">
        <f t="shared" si="592"/>
        <v>-</v>
      </c>
      <c r="I556" s="13" t="str">
        <f t="shared" si="592"/>
        <v>-</v>
      </c>
      <c r="J556" s="13">
        <f t="shared" si="592"/>
        <v>0.29104871908288699</v>
      </c>
      <c r="K556" s="13">
        <f t="shared" si="592"/>
        <v>0.28610688753944585</v>
      </c>
      <c r="L556" s="13">
        <f t="shared" ref="L556" si="593">IFERROR(L158/SUM(L386,L517),"-")</f>
        <v>0.27300321372483438</v>
      </c>
      <c r="N556" s="1"/>
    </row>
    <row r="557" spans="2:14" x14ac:dyDescent="0.3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N557" s="1"/>
    </row>
    <row r="558" spans="2:14" x14ac:dyDescent="0.3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N558" s="1"/>
    </row>
    <row r="559" spans="2:14" x14ac:dyDescent="0.3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N559" s="1"/>
    </row>
    <row r="560" spans="2:14" x14ac:dyDescent="0.3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N560" s="1"/>
    </row>
    <row r="561" spans="2:14" x14ac:dyDescent="0.3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N561" s="1"/>
    </row>
    <row r="562" spans="2:14" x14ac:dyDescent="0.3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N562" s="1"/>
    </row>
    <row r="563" spans="2:14" x14ac:dyDescent="0.3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594">IFERROR(G168/G396,"-")</f>
        <v>-</v>
      </c>
      <c r="H563" s="13" t="str">
        <f t="shared" si="594"/>
        <v>-</v>
      </c>
      <c r="I563" s="13" t="str">
        <f t="shared" si="594"/>
        <v>-</v>
      </c>
      <c r="J563" s="13" t="str">
        <f t="shared" si="594"/>
        <v>-</v>
      </c>
      <c r="K563" s="13">
        <f t="shared" si="594"/>
        <v>0.14999999999999994</v>
      </c>
      <c r="L563" s="13">
        <f t="shared" ref="L563" si="595">IFERROR(L168/L396,"-")</f>
        <v>0.14999999999999988</v>
      </c>
      <c r="N563" s="1"/>
    </row>
    <row r="564" spans="2:14" x14ac:dyDescent="0.3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596">IFERROR(G170/SUM(G398,G439),"-")</f>
        <v>-</v>
      </c>
      <c r="H564" s="13" t="str">
        <f t="shared" si="596"/>
        <v>-</v>
      </c>
      <c r="I564" s="13" t="str">
        <f t="shared" si="596"/>
        <v>-</v>
      </c>
      <c r="J564" s="13" t="str">
        <f t="shared" si="596"/>
        <v>-</v>
      </c>
      <c r="K564" s="13">
        <f t="shared" si="596"/>
        <v>0.42000000000000004</v>
      </c>
      <c r="L564" s="13">
        <f t="shared" ref="L564" si="597">IFERROR(L170/SUM(L398,L439),"-")</f>
        <v>0.41999999999999987</v>
      </c>
      <c r="N564" s="1"/>
    </row>
    <row r="565" spans="2:14" x14ac:dyDescent="0.3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598">IFERROR(G171/SUM(G399,G519),"-")</f>
        <v>-</v>
      </c>
      <c r="H565" s="13" t="str">
        <f t="shared" si="598"/>
        <v>-</v>
      </c>
      <c r="I565" s="13" t="str">
        <f t="shared" si="598"/>
        <v>-</v>
      </c>
      <c r="J565" s="13">
        <f t="shared" si="598"/>
        <v>0.52249999999999974</v>
      </c>
      <c r="K565" s="13">
        <f t="shared" si="598"/>
        <v>0.55000000000000016</v>
      </c>
      <c r="L565" s="13">
        <f t="shared" ref="L565" si="599">IFERROR(L171/SUM(L399,L519),"-")</f>
        <v>0.60000000000000075</v>
      </c>
      <c r="N565" s="1"/>
    </row>
    <row r="566" spans="2:14" x14ac:dyDescent="0.3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00">IFERROR(G172/SUM(G400,G520),"-")</f>
        <v>-</v>
      </c>
      <c r="H566" s="13" t="str">
        <f t="shared" si="600"/>
        <v>-</v>
      </c>
      <c r="I566" s="13">
        <f t="shared" si="600"/>
        <v>0.47499999999999981</v>
      </c>
      <c r="J566" s="13">
        <f t="shared" si="600"/>
        <v>0.50749657328882558</v>
      </c>
      <c r="K566" s="13">
        <f t="shared" si="600"/>
        <v>0.53999658372118498</v>
      </c>
      <c r="L566" s="13">
        <f t="shared" ref="L566" si="601">IFERROR(L172/SUM(L400,L520),"-")</f>
        <v>0.57499804644608166</v>
      </c>
      <c r="N566" s="1"/>
    </row>
    <row r="567" spans="2:14" x14ac:dyDescent="0.3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02">IFERROR(F174/F402,"-")</f>
        <v>0.69931443266813453</v>
      </c>
      <c r="G567" s="13">
        <f t="shared" si="602"/>
        <v>0.69878423524609468</v>
      </c>
      <c r="H567" s="13">
        <f t="shared" si="602"/>
        <v>0.69985716822681543</v>
      </c>
      <c r="I567" s="13">
        <f t="shared" si="602"/>
        <v>0.69975307245190632</v>
      </c>
      <c r="J567" s="13">
        <f t="shared" si="602"/>
        <v>0.69995843168580452</v>
      </c>
      <c r="K567" s="13">
        <f t="shared" si="602"/>
        <v>0.69992817486001091</v>
      </c>
      <c r="L567" s="13">
        <f t="shared" ref="L567" si="603">IFERROR(L174/L402,"-")</f>
        <v>0.69999020102268494</v>
      </c>
      <c r="N567" s="1"/>
    </row>
    <row r="568" spans="2:14" x14ac:dyDescent="0.3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02"/>
        <v>0.86250664248352937</v>
      </c>
      <c r="G568" s="13">
        <f t="shared" si="602"/>
        <v>0.86447084629001925</v>
      </c>
      <c r="H568" s="13">
        <f t="shared" si="602"/>
        <v>0.86689614711489738</v>
      </c>
      <c r="I568" s="13">
        <f t="shared" si="602"/>
        <v>0.86689958784674026</v>
      </c>
      <c r="J568" s="13">
        <f t="shared" si="602"/>
        <v>0.86701987923093105</v>
      </c>
      <c r="K568" s="13">
        <f t="shared" si="602"/>
        <v>0.86703742291400554</v>
      </c>
      <c r="L568" s="13">
        <f t="shared" ref="L568" si="604">IFERROR(L175/L403,"-")</f>
        <v>0.86703921719483812</v>
      </c>
      <c r="N568" s="1"/>
    </row>
    <row r="569" spans="2:14" x14ac:dyDescent="0.3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02"/>
        <v>0.89405871520733504</v>
      </c>
      <c r="G569" s="13">
        <f t="shared" si="602"/>
        <v>0.89417455130065726</v>
      </c>
      <c r="H569" s="13">
        <f t="shared" si="602"/>
        <v>0.89396974012474595</v>
      </c>
      <c r="I569" s="13">
        <f t="shared" si="602"/>
        <v>0.89400318729257278</v>
      </c>
      <c r="J569" s="13">
        <f t="shared" si="602"/>
        <v>0.89422139117671451</v>
      </c>
      <c r="K569" s="13">
        <f t="shared" si="602"/>
        <v>0.89426895658326022</v>
      </c>
      <c r="L569" s="13">
        <f t="shared" ref="L569" si="605">IFERROR(L176/L404,"-")</f>
        <v>0.89426957113760985</v>
      </c>
      <c r="N569" s="1"/>
    </row>
    <row r="570" spans="2:14" x14ac:dyDescent="0.3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02"/>
        <v>0.90037042204866857</v>
      </c>
      <c r="G570" s="13">
        <f t="shared" si="602"/>
        <v>0.90138365288986189</v>
      </c>
      <c r="H570" s="13">
        <f t="shared" si="602"/>
        <v>0.90416832891720367</v>
      </c>
      <c r="I570" s="13">
        <f t="shared" si="602"/>
        <v>0.90422838182852994</v>
      </c>
      <c r="J570" s="13">
        <f t="shared" si="602"/>
        <v>0.90426682859131069</v>
      </c>
      <c r="K570" s="13">
        <f t="shared" si="602"/>
        <v>0.90426827832424517</v>
      </c>
      <c r="L570" s="13">
        <f t="shared" ref="L570" si="606">IFERROR(L177/L405,"-")</f>
        <v>0.90426868832272822</v>
      </c>
      <c r="N570" s="1"/>
    </row>
    <row r="571" spans="2:14" x14ac:dyDescent="0.3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02"/>
        <v>0.90057239409134626</v>
      </c>
      <c r="G571" s="13">
        <f t="shared" si="602"/>
        <v>0.9009833673623141</v>
      </c>
      <c r="H571" s="13">
        <f t="shared" si="602"/>
        <v>0.90416902250605558</v>
      </c>
      <c r="I571" s="13">
        <f t="shared" si="602"/>
        <v>0.90424131357424653</v>
      </c>
      <c r="J571" s="13">
        <f t="shared" si="602"/>
        <v>0.90426756221716265</v>
      </c>
      <c r="K571" s="13">
        <f t="shared" si="602"/>
        <v>0.90426783041102965</v>
      </c>
      <c r="L571" s="13">
        <f t="shared" ref="L571" si="607">IFERROR(L178/L406,"-")</f>
        <v>0.90426837596806209</v>
      </c>
      <c r="N571" s="1"/>
    </row>
    <row r="572" spans="2:14" x14ac:dyDescent="0.3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02"/>
        <v>0.90019641064915912</v>
      </c>
      <c r="G572" s="13">
        <f t="shared" si="602"/>
        <v>0.90064933187315177</v>
      </c>
      <c r="H572" s="13">
        <f t="shared" si="602"/>
        <v>0.90394942583023508</v>
      </c>
      <c r="I572" s="13">
        <f t="shared" si="602"/>
        <v>0.90401720579650591</v>
      </c>
      <c r="J572" s="13">
        <f t="shared" si="602"/>
        <v>0.90425839287963994</v>
      </c>
      <c r="K572" s="13">
        <f t="shared" si="602"/>
        <v>0.90425962450525688</v>
      </c>
      <c r="L572" s="13">
        <f t="shared" ref="L572" si="608">IFERROR(L179/L407,"-")</f>
        <v>0.90426250367941552</v>
      </c>
      <c r="N572" s="1"/>
    </row>
    <row r="573" spans="2:14" x14ac:dyDescent="0.3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02"/>
        <v>0.90052004376005956</v>
      </c>
      <c r="G573" s="13">
        <f t="shared" si="602"/>
        <v>0.90135119115981377</v>
      </c>
      <c r="H573" s="13">
        <f t="shared" si="602"/>
        <v>0.9041954928993251</v>
      </c>
      <c r="I573" s="13">
        <f t="shared" si="602"/>
        <v>0.90424707092473544</v>
      </c>
      <c r="J573" s="13">
        <f t="shared" si="602"/>
        <v>0.9042680821660618</v>
      </c>
      <c r="K573" s="13">
        <f t="shared" si="602"/>
        <v>0.90426901876936105</v>
      </c>
      <c r="L573" s="13">
        <f t="shared" ref="L573" si="609">IFERROR(L180/L408,"-")</f>
        <v>0.90426914898691257</v>
      </c>
      <c r="N573" s="1"/>
    </row>
    <row r="574" spans="2:14" x14ac:dyDescent="0.3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N574" s="1"/>
    </row>
    <row r="575" spans="2:14" x14ac:dyDescent="0.3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0.59933876097681749</v>
      </c>
      <c r="G575" s="4">
        <f t="shared" ref="G575:K575" si="610">IFERROR(G212/G442,"-")</f>
        <v>0.50264691831800212</v>
      </c>
      <c r="H575" s="4">
        <f t="shared" si="610"/>
        <v>0.39720153030678867</v>
      </c>
      <c r="I575" s="4">
        <f t="shared" si="610"/>
        <v>0.38083293048419886</v>
      </c>
      <c r="J575" s="4">
        <f t="shared" si="610"/>
        <v>0.38083293048419881</v>
      </c>
      <c r="K575" s="4">
        <f t="shared" si="610"/>
        <v>0.38083293048419919</v>
      </c>
      <c r="L575" s="4">
        <f t="shared" ref="L575" si="611">IFERROR(L212/L442,"-")</f>
        <v>0.38083293048419875</v>
      </c>
      <c r="N575" s="1"/>
    </row>
    <row r="576" spans="2:14" x14ac:dyDescent="0.3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12">IFERROR(G218/G448,"-")</f>
        <v>2</v>
      </c>
      <c r="H576" s="4">
        <f t="shared" si="612"/>
        <v>2</v>
      </c>
      <c r="I576" s="4">
        <f t="shared" si="612"/>
        <v>2</v>
      </c>
      <c r="J576" s="4">
        <f t="shared" si="612"/>
        <v>2</v>
      </c>
      <c r="K576" s="4">
        <f t="shared" si="612"/>
        <v>2</v>
      </c>
      <c r="L576" s="4">
        <f t="shared" ref="L576" si="613">IFERROR(L218/L448,"-")</f>
        <v>2</v>
      </c>
      <c r="N576" s="1"/>
    </row>
    <row r="577" spans="2:14" x14ac:dyDescent="0.3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0.85445501111132449</v>
      </c>
      <c r="G577" s="4">
        <f t="shared" ref="G577:K577" si="614">IFERROR(G220/G450,"-")</f>
        <v>0.85445501111132449</v>
      </c>
      <c r="H577" s="4">
        <f t="shared" si="614"/>
        <v>0.85445501111132538</v>
      </c>
      <c r="I577" s="4">
        <f t="shared" si="614"/>
        <v>0.85445501111132494</v>
      </c>
      <c r="J577" s="4">
        <f t="shared" si="614"/>
        <v>0.85445501111132538</v>
      </c>
      <c r="K577" s="4">
        <f t="shared" si="614"/>
        <v>0.85445501111132494</v>
      </c>
      <c r="L577" s="4">
        <f t="shared" ref="L577" si="615">IFERROR(L220/L450,"-")</f>
        <v>0.85445501111132494</v>
      </c>
      <c r="N577" s="1"/>
    </row>
    <row r="578" spans="2:14" x14ac:dyDescent="0.3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0.6999999999999994</v>
      </c>
      <c r="G578" s="4">
        <f t="shared" ref="G578:K578" si="616">IFERROR(G226/G456,"-")</f>
        <v>0.69999999999999929</v>
      </c>
      <c r="H578" s="4">
        <f t="shared" si="616"/>
        <v>0.69999999999999962</v>
      </c>
      <c r="I578" s="4">
        <f t="shared" si="616"/>
        <v>0.70000000000000007</v>
      </c>
      <c r="J578" s="4">
        <f t="shared" si="616"/>
        <v>0.69999999999999918</v>
      </c>
      <c r="K578" s="4">
        <f t="shared" si="616"/>
        <v>0.7000000000000004</v>
      </c>
      <c r="L578" s="4">
        <f t="shared" ref="L578" si="617">IFERROR(L226/L456,"-")</f>
        <v>0.6999999999999994</v>
      </c>
      <c r="N578" s="1"/>
    </row>
    <row r="579" spans="2:14" x14ac:dyDescent="0.3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18">IFERROR(G228/G458,"-")</f>
        <v>-</v>
      </c>
      <c r="H579" t="str">
        <f t="shared" si="618"/>
        <v>-</v>
      </c>
      <c r="I579">
        <f t="shared" si="618"/>
        <v>0.50000000000000033</v>
      </c>
      <c r="J579">
        <f t="shared" si="618"/>
        <v>0.50000000000000022</v>
      </c>
      <c r="K579">
        <f t="shared" si="618"/>
        <v>0.49999999999999983</v>
      </c>
      <c r="L579">
        <f t="shared" ref="L579" si="619">IFERROR(L228/L458,"-")</f>
        <v>0.50000000000000011</v>
      </c>
      <c r="N579" s="1"/>
    </row>
    <row r="580" spans="2:14" x14ac:dyDescent="0.3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20">IFERROR(G230/G460,"-")</f>
        <v>-</v>
      </c>
      <c r="H580" t="str">
        <f t="shared" si="620"/>
        <v>-</v>
      </c>
      <c r="I580" t="str">
        <f t="shared" si="620"/>
        <v>-</v>
      </c>
      <c r="J580" t="str">
        <f t="shared" si="620"/>
        <v>-</v>
      </c>
      <c r="K580">
        <f t="shared" si="620"/>
        <v>0.85000000000000053</v>
      </c>
      <c r="L580">
        <f t="shared" ref="L580" si="621">IFERROR(L230/L460,"-")</f>
        <v>0.84999999999999953</v>
      </c>
      <c r="N580" s="1"/>
    </row>
    <row r="581" spans="2:14" x14ac:dyDescent="0.3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22">IFERROR(G232/G462,"-")</f>
        <v>2.9999999999999978</v>
      </c>
      <c r="H581" s="4">
        <f t="shared" si="622"/>
        <v>3.0000000000000018</v>
      </c>
      <c r="I581" s="4">
        <f t="shared" si="622"/>
        <v>3.0000000000000009</v>
      </c>
      <c r="J581" s="4">
        <f t="shared" si="622"/>
        <v>3.0000000000000009</v>
      </c>
      <c r="K581" s="4">
        <f t="shared" si="622"/>
        <v>2.9999999999999996</v>
      </c>
      <c r="L581" s="4">
        <f t="shared" ref="L581" si="623">IFERROR(L232/L462,"-")</f>
        <v>2.9999999999999951</v>
      </c>
      <c r="N581" s="1"/>
    </row>
    <row r="582" spans="2:14" x14ac:dyDescent="0.3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0.13920514596278311</v>
      </c>
      <c r="G582" s="3">
        <f>[1]Other_transformation!C$5</f>
        <v>1.2028627611103246</v>
      </c>
      <c r="H582" s="3">
        <f>[1]Other_transformation!D$5</f>
        <v>1.2012468494261463</v>
      </c>
      <c r="I582" s="3">
        <f>[1]Other_transformation!E$5</f>
        <v>2.0055232869130191E-2</v>
      </c>
      <c r="J582" s="3">
        <f>[2]Other_transformation!F$5</f>
        <v>2.1664806761055246E-3</v>
      </c>
      <c r="K582" s="3">
        <f>[2]Other_transformation!G$5</f>
        <v>1.5813047881184455E-2</v>
      </c>
      <c r="L582" s="3">
        <f>[2]Other_transformation!H$5</f>
        <v>1.4302264035466878E-2</v>
      </c>
      <c r="N582" s="1"/>
    </row>
    <row r="583" spans="2:14" x14ac:dyDescent="0.3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0.13920514596278311</v>
      </c>
      <c r="G583" s="1">
        <f t="shared" ref="G583:K583" si="624">G582</f>
        <v>1.2028627611103246</v>
      </c>
      <c r="H583" s="1">
        <f t="shared" si="624"/>
        <v>1.2012468494261463</v>
      </c>
      <c r="I583" s="1">
        <f t="shared" si="624"/>
        <v>2.0055232869130191E-2</v>
      </c>
      <c r="J583" s="1">
        <f t="shared" si="624"/>
        <v>2.1664806761055246E-3</v>
      </c>
      <c r="K583" s="1">
        <f t="shared" si="624"/>
        <v>1.5813047881184455E-2</v>
      </c>
      <c r="L583" s="1">
        <f t="shared" ref="L583" si="625">L582</f>
        <v>1.4302264035466878E-2</v>
      </c>
      <c r="N583" s="1"/>
    </row>
    <row r="584" spans="2:14" x14ac:dyDescent="0.3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0.13920514596278311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1.2028627611103246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1.2012468494261463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2.0055232869130191E-2</v>
      </c>
      <c r="J584" s="1" cm="1">
        <f t="array" ref="J584">SUMPRODUCT(("CT_CWODBDS"=[2]OUT_SyntheticFuels!$C$4:$C$1000)*1,("BDS"=[2]OUT_SyntheticFuels!$A$4:$A$1000)*1,("Var_Fout"=[2]OUT_SyntheticFuels!$B$4:$B$1000)*1,[2]OUT_SyntheticFuels!I$4:I$1000)</f>
        <v>2.1664806761055246E-3</v>
      </c>
      <c r="K584" s="1" cm="1">
        <f t="array" ref="K584">SUMPRODUCT(("CT_CWODBDS"=[2]OUT_SyntheticFuels!$C$4:$C$1000)*1,("BDS"=[2]OUT_SyntheticFuels!$A$4:$A$1000)*1,("Var_Fout"=[2]OUT_SyntheticFuels!$B$4:$B$1000)*1,[2]OUT_SyntheticFuels!J$4:J$1000)</f>
        <v>1.5813047881184455E-2</v>
      </c>
      <c r="L584" s="1" cm="1">
        <f t="array" ref="L584">SUMPRODUCT(("CT_CWODBDS"=[2]OUT_SyntheticFuels!$C$4:$C$1000)*1,("BDS"=[2]OUT_SyntheticFuels!$A$4:$A$1000)*1,("Var_Fout"=[2]OUT_SyntheticFuels!$B$4:$B$1000)*1,[2]OUT_SyntheticFuels!K$4:K$1000)</f>
        <v>1.4302264035466878E-2</v>
      </c>
      <c r="N584" s="1"/>
    </row>
    <row r="585" spans="2:14" x14ac:dyDescent="0.3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SUMPRODUCT(("CT_CWODBDSCCS"=[2]OUT_SyntheticFuels!$C$4:$C$1000)*1,("BDS"=[2]OUT_SyntheticFuels!$A$4:$A$1000)*1,("Var_Fout"=[2]OUT_SyntheticFuels!$B$4:$B$1000)*1,[2]OUT_SyntheticFuels!I$4:I$1000)</f>
        <v>0</v>
      </c>
      <c r="K585" s="1" cm="1">
        <f t="array" ref="K585">SUMPRODUCT(("CT_CWODBDSCCS"=[2]OUT_SyntheticFuels!$C$4:$C$1000)*1,("BDS"=[2]OUT_SyntheticFuels!$A$4:$A$1000)*1,("Var_Fout"=[2]OUT_SyntheticFuels!$B$4:$B$1000)*1,[2]OUT_SyntheticFuels!J$4:J$1000)</f>
        <v>0</v>
      </c>
      <c r="L585" s="1" cm="1">
        <f t="array" ref="L585">SUMPRODUCT(("CT_CWODBDSCCS"=[2]OUT_SyntheticFuels!$C$4:$C$1000)*1,("BDS"=[2]OUT_SyntheticFuels!$A$4:$A$1000)*1,("Var_Fout"=[2]OUT_SyntheticFuels!$B$4:$B$1000)*1,[2]OUT_SyntheticFuels!K$4:K$1000)</f>
        <v>0</v>
      </c>
      <c r="N585" s="1"/>
    </row>
    <row r="586" spans="2:14" x14ac:dyDescent="0.3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5.429000692548535E-2</v>
      </c>
      <c r="G586" s="3">
        <f t="shared" ref="G586:L586" si="626">G587</f>
        <v>0.46911647683302599</v>
      </c>
      <c r="H586" s="3">
        <f t="shared" si="626"/>
        <v>0.46848627127619663</v>
      </c>
      <c r="I586" s="3">
        <f t="shared" si="626"/>
        <v>7.8215408189607639E-3</v>
      </c>
      <c r="J586" s="3">
        <f t="shared" si="626"/>
        <v>8.4492746368115346E-4</v>
      </c>
      <c r="K586" s="3">
        <f t="shared" si="626"/>
        <v>6.1670886736619294E-3</v>
      </c>
      <c r="L586" s="3">
        <f t="shared" si="626"/>
        <v>5.5778829738320698E-3</v>
      </c>
      <c r="N586" s="1"/>
    </row>
    <row r="587" spans="2:14" x14ac:dyDescent="0.3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5.429000692548535E-2</v>
      </c>
      <c r="G587" s="1">
        <f t="shared" ref="G587:K587" si="627">SUM(G588:G589)</f>
        <v>0.46911647683302599</v>
      </c>
      <c r="H587" s="1">
        <f t="shared" si="627"/>
        <v>0.46848627127619663</v>
      </c>
      <c r="I587" s="1">
        <f t="shared" si="627"/>
        <v>7.8215408189607639E-3</v>
      </c>
      <c r="J587" s="1">
        <f t="shared" si="627"/>
        <v>8.4492746368115346E-4</v>
      </c>
      <c r="K587" s="1">
        <f t="shared" si="627"/>
        <v>6.1670886736619294E-3</v>
      </c>
      <c r="L587" s="1">
        <f t="shared" ref="L587" si="628">SUM(L588:L589)</f>
        <v>5.5778829738320698E-3</v>
      </c>
      <c r="N587" s="1"/>
    </row>
    <row r="588" spans="2:14" x14ac:dyDescent="0.3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5.429000692548535E-2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0.46911647683302599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0.46848627127619663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7.8215408189607639E-3</v>
      </c>
      <c r="J588" s="1" cm="1">
        <f t="array" ref="J588">SUMPRODUCT(("CT_CWODBDS"=[2]OUT_SyntheticFuels!$C$4:$C$1000)*1,("LTH"=[2]OUT_SyntheticFuels!$A$4:$A$1000)*1,("Var_Fout"=[2]OUT_SyntheticFuels!$B$4:$B$1000)*1,[2]OUT_SyntheticFuels!I$4:I$1000)</f>
        <v>8.4492746368115346E-4</v>
      </c>
      <c r="K588" s="1" cm="1">
        <f t="array" ref="K588">SUMPRODUCT(("CT_CWODBDS"=[2]OUT_SyntheticFuels!$C$4:$C$1000)*1,("LTH"=[2]OUT_SyntheticFuels!$A$4:$A$1000)*1,("Var_Fout"=[2]OUT_SyntheticFuels!$B$4:$B$1000)*1,[2]OUT_SyntheticFuels!J$4:J$1000)</f>
        <v>6.1670886736619294E-3</v>
      </c>
      <c r="L588" s="1" cm="1">
        <f t="array" ref="L588">SUMPRODUCT(("CT_CWODBDS"=[2]OUT_SyntheticFuels!$C$4:$C$1000)*1,("LTH"=[2]OUT_SyntheticFuels!$A$4:$A$1000)*1,("Var_Fout"=[2]OUT_SyntheticFuels!$B$4:$B$1000)*1,[2]OUT_SyntheticFuels!K$4:K$1000)</f>
        <v>5.5778829738320698E-3</v>
      </c>
      <c r="N588" s="1"/>
    </row>
    <row r="589" spans="2:14" x14ac:dyDescent="0.3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SUMPRODUCT(("CT_CWODBDSCCS"=[2]OUT_SyntheticFuels!$C$4:$C$1000)*1,("LTH"=[2]OUT_SyntheticFuels!$A$4:$A$1000)*1,("Var_Fout"=[2]OUT_SyntheticFuels!$B$4:$B$1000)*1,[2]OUT_SyntheticFuels!I$4:I$1000)</f>
        <v>0</v>
      </c>
      <c r="K589" s="1" cm="1">
        <f t="array" ref="K589">SUMPRODUCT(("CT_CWODBDSCCS"=[2]OUT_SyntheticFuels!$C$4:$C$1000)*1,("LTH"=[2]OUT_SyntheticFuels!$A$4:$A$1000)*1,("Var_Fout"=[2]OUT_SyntheticFuels!$B$4:$B$1000)*1,[2]OUT_SyntheticFuels!J$4:J$1000)</f>
        <v>0</v>
      </c>
      <c r="L589" s="1" cm="1">
        <f t="array" ref="L589">SUMPRODUCT(("CT_CWODBDSCCS"=[2]OUT_SyntheticFuels!$C$4:$C$1000)*1,("LTH"=[2]OUT_SyntheticFuels!$A$4:$A$1000)*1,("Var_Fout"=[2]OUT_SyntheticFuels!$B$4:$B$1000)*1,[2]OUT_SyntheticFuels!K$4:K$1000)</f>
        <v>0</v>
      </c>
      <c r="N589" s="1"/>
    </row>
    <row r="590" spans="2:14" x14ac:dyDescent="0.3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0.40633982106536376</v>
      </c>
      <c r="G590" s="3">
        <f t="shared" ref="G590:K590" si="629">G591+G594</f>
        <v>3.5111563996810351</v>
      </c>
      <c r="H590" s="3">
        <f t="shared" si="629"/>
        <v>3.5064395534749204</v>
      </c>
      <c r="I590" s="3">
        <f t="shared" si="629"/>
        <v>5.8541224744991009E-2</v>
      </c>
      <c r="J590" s="3">
        <f t="shared" si="629"/>
        <v>6.3239570935520253E-3</v>
      </c>
      <c r="K590" s="3">
        <f t="shared" si="629"/>
        <v>4.6158286765177421E-2</v>
      </c>
      <c r="L590" s="3">
        <f t="shared" ref="L590" si="630">L591+L594</f>
        <v>4.1748308719527776E-2</v>
      </c>
      <c r="N590" s="1"/>
    </row>
    <row r="591" spans="2:14" x14ac:dyDescent="0.3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0.39666506342095031</v>
      </c>
      <c r="G591" s="1">
        <f t="shared" ref="G591:K591" si="631">SUM(G592:G593)</f>
        <v>3.4275574377838676</v>
      </c>
      <c r="H591" s="1">
        <f t="shared" si="631"/>
        <v>3.4229528974398034</v>
      </c>
      <c r="I591" s="1">
        <f t="shared" si="631"/>
        <v>5.7147386060586461E-2</v>
      </c>
      <c r="J591" s="1">
        <f t="shared" si="631"/>
        <v>6.1733866865626916E-3</v>
      </c>
      <c r="K591" s="1">
        <f t="shared" si="631"/>
        <v>4.5059279937435102E-2</v>
      </c>
      <c r="L591" s="1">
        <f t="shared" ref="L591" si="632">SUM(L592:L593)</f>
        <v>4.0754301369062829E-2</v>
      </c>
      <c r="N591" s="1"/>
    </row>
    <row r="592" spans="2:14" x14ac:dyDescent="0.3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0.39666506342095031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3.4275574377838676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3.4229528974398034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5.7147386060586461E-2</v>
      </c>
      <c r="J592" s="1" cm="1">
        <f t="array" ref="J592">SUMPRODUCT(("CT_CWODBDS"=[2]OUT_SyntheticFuels!$C$4:$C$1000)*1,("CWOD"=[2]OUT_SyntheticFuels!$A$4:$A$1000)*1,("Var_Fin"=[2]OUT_SyntheticFuels!$B$4:$B$1000)*1,[2]OUT_SyntheticFuels!I$4:I$1000)</f>
        <v>6.1733866865626916E-3</v>
      </c>
      <c r="K592" s="1" cm="1">
        <f t="array" ref="K592">SUMPRODUCT(("CT_CWODBDS"=[2]OUT_SyntheticFuels!$C$4:$C$1000)*1,("CWOD"=[2]OUT_SyntheticFuels!$A$4:$A$1000)*1,("Var_Fin"=[2]OUT_SyntheticFuels!$B$4:$B$1000)*1,[2]OUT_SyntheticFuels!J$4:J$1000)</f>
        <v>4.5059279937435102E-2</v>
      </c>
      <c r="L592" s="1" cm="1">
        <f t="array" ref="L592">SUMPRODUCT(("CT_CWODBDS"=[2]OUT_SyntheticFuels!$C$4:$C$1000)*1,("CWOD"=[2]OUT_SyntheticFuels!$A$4:$A$1000)*1,("Var_Fin"=[2]OUT_SyntheticFuels!$B$4:$B$1000)*1,[2]OUT_SyntheticFuels!K$4:K$1000)</f>
        <v>4.0754301369062829E-2</v>
      </c>
      <c r="N592" s="1"/>
    </row>
    <row r="593" spans="2:14" x14ac:dyDescent="0.3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SUMPRODUCT(("CT_CWODBDSCCS"=[2]OUT_SyntheticFuels!$C$4:$C$1000)*1,("CWOD"=[2]OUT_SyntheticFuels!$A$4:$A$1000)*1,("Var_Fin"=[2]OUT_SyntheticFuels!$B$4:$B$1000)*1,[2]OUT_SyntheticFuels!I$4:I$1000)</f>
        <v>0</v>
      </c>
      <c r="K593" s="1" cm="1">
        <f t="array" ref="K593">SUMPRODUCT(("CT_CWODBDSCCS"=[2]OUT_SyntheticFuels!$C$4:$C$1000)*1,("CWOD"=[2]OUT_SyntheticFuels!$A$4:$A$1000)*1,("Var_Fin"=[2]OUT_SyntheticFuels!$B$4:$B$1000)*1,[2]OUT_SyntheticFuels!J$4:J$1000)</f>
        <v>0</v>
      </c>
      <c r="L593" s="1" cm="1">
        <f t="array" ref="L593">SUMPRODUCT(("CT_CWODBDSCCS"=[2]OUT_SyntheticFuels!$C$4:$C$1000)*1,("CWOD"=[2]OUT_SyntheticFuels!$A$4:$A$1000)*1,("Var_Fin"=[2]OUT_SyntheticFuels!$B$4:$B$1000)*1,[2]OUT_SyntheticFuels!K$4:K$1000)</f>
        <v>0</v>
      </c>
      <c r="N593" s="1"/>
    </row>
    <row r="594" spans="2:14" x14ac:dyDescent="0.3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9.6747576444134228E-3</v>
      </c>
      <c r="G594" s="1">
        <f t="shared" ref="G594:K594" si="633">SUM(G595:G596)</f>
        <v>8.3598961897167479E-2</v>
      </c>
      <c r="H594" s="1">
        <f t="shared" si="633"/>
        <v>8.3486656035117041E-2</v>
      </c>
      <c r="I594" s="1">
        <f t="shared" si="633"/>
        <v>1.3938386844045481E-3</v>
      </c>
      <c r="J594" s="1">
        <f t="shared" si="633"/>
        <v>1.5057040698933407E-4</v>
      </c>
      <c r="K594" s="1">
        <f t="shared" si="633"/>
        <v>1.0990068277423198E-3</v>
      </c>
      <c r="L594" s="1">
        <f t="shared" ref="L594" si="634">SUM(L595:L596)</f>
        <v>9.9400735046494709E-4</v>
      </c>
      <c r="N594" s="1"/>
    </row>
    <row r="595" spans="2:14" x14ac:dyDescent="0.3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9.6747576444134228E-3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8.3598961897167479E-2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8.3486656035117041E-2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1.3938386844045481E-3</v>
      </c>
      <c r="J595" s="1" cm="1">
        <f t="array" ref="J595">SUMPRODUCT(("CT_CWODBDS"=[2]OUT_SyntheticFuels!$C$4:$C$1000)*1,("Celc"=[2]OUT_SyntheticFuels!$A$4:$A$1000)*1,("Var_Fin"=[2]OUT_SyntheticFuels!$B$4:$B$1000)*1,[2]OUT_SyntheticFuels!I$4:I$1000)</f>
        <v>1.5057040698933407E-4</v>
      </c>
      <c r="K595" s="1" cm="1">
        <f t="array" ref="K595">SUMPRODUCT(("CT_CWODBDS"=[2]OUT_SyntheticFuels!$C$4:$C$1000)*1,("Celc"=[2]OUT_SyntheticFuels!$A$4:$A$1000)*1,("Var_Fin"=[2]OUT_SyntheticFuels!$B$4:$B$1000)*1,[2]OUT_SyntheticFuels!J$4:J$1000)</f>
        <v>1.0990068277423198E-3</v>
      </c>
      <c r="L595" s="1" cm="1">
        <f t="array" ref="L595">SUMPRODUCT(("CT_CWODBDS"=[2]OUT_SyntheticFuels!$C$4:$C$1000)*1,("Celc"=[2]OUT_SyntheticFuels!$A$4:$A$1000)*1,("Var_Fin"=[2]OUT_SyntheticFuels!$B$4:$B$1000)*1,[2]OUT_SyntheticFuels!K$4:K$1000)</f>
        <v>9.9400735046494709E-4</v>
      </c>
      <c r="N595" s="1"/>
    </row>
    <row r="596" spans="2:14" x14ac:dyDescent="0.3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SUMPRODUCT(("CT_CWODBDSCCS"=[2]OUT_SyntheticFuels!$C$4:$C$1000)*1,("Celc"=[2]OUT_SyntheticFuels!$A$4:$A$1000)*1,("Var_Fin"=[2]OUT_SyntheticFuels!$B$4:$B$1000)*1,[2]OUT_SyntheticFuels!I$4:I$1000)</f>
        <v>0</v>
      </c>
      <c r="K596" s="1" cm="1">
        <f t="array" ref="K596">SUMPRODUCT(("CT_CWODBDSCCS"=[2]OUT_SyntheticFuels!$C$4:$C$1000)*1,("Celc"=[2]OUT_SyntheticFuels!$A$4:$A$1000)*1,("Var_Fin"=[2]OUT_SyntheticFuels!$B$4:$B$1000)*1,[2]OUT_SyntheticFuels!J$4:J$1000)</f>
        <v>0</v>
      </c>
      <c r="L596" s="1" cm="1">
        <f t="array" ref="L596">SUMPRODUCT(("CT_CWODBDSCCS"=[2]OUT_SyntheticFuels!$C$4:$C$1000)*1,("Celc"=[2]OUT_SyntheticFuels!$A$4:$A$1000)*1,("Var_Fin"=[2]OUT_SyntheticFuels!$B$4:$B$1000)*1,[2]OUT_SyntheticFuels!K$4:K$1000)</f>
        <v>0</v>
      </c>
      <c r="N596" s="1"/>
    </row>
    <row r="597" spans="2:14" x14ac:dyDescent="0.3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N597" s="1"/>
    </row>
    <row r="598" spans="2:14" x14ac:dyDescent="0.3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0.47619047619047622</v>
      </c>
      <c r="G598" s="4">
        <f t="shared" ref="G598:K599" si="635">IFERROR(SUM(G584,G588)/SUM(G592,G595),"-")</f>
        <v>0.47619047619047639</v>
      </c>
      <c r="H598" s="4">
        <f t="shared" si="635"/>
        <v>0.47619047619047616</v>
      </c>
      <c r="I598" s="4">
        <f t="shared" si="635"/>
        <v>0.47619047619047611</v>
      </c>
      <c r="J598" s="4">
        <f t="shared" si="635"/>
        <v>0.47619047619047605</v>
      </c>
      <c r="K598" s="4">
        <f t="shared" si="635"/>
        <v>0.47619047619047605</v>
      </c>
      <c r="L598" s="4">
        <f t="shared" ref="L598" si="636">IFERROR(SUM(L584,L588)/SUM(L592,L595),"-")</f>
        <v>0.47619047619047639</v>
      </c>
      <c r="N598" s="1"/>
    </row>
    <row r="599" spans="2:14" x14ac:dyDescent="0.3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35"/>
        <v>-</v>
      </c>
      <c r="H599" s="4" t="str">
        <f t="shared" si="635"/>
        <v>-</v>
      </c>
      <c r="I599" s="4" t="str">
        <f t="shared" si="635"/>
        <v>-</v>
      </c>
      <c r="J599" s="4" t="str">
        <f t="shared" si="635"/>
        <v>-</v>
      </c>
      <c r="K599" s="4" t="str">
        <f t="shared" si="635"/>
        <v>-</v>
      </c>
      <c r="L599" s="4" t="str">
        <f t="shared" ref="L599" si="637">IFERROR(SUM(L585,L589)/SUM(L593,L596),"-")</f>
        <v>-</v>
      </c>
      <c r="N599" s="1"/>
    </row>
    <row r="600" spans="2:14" x14ac:dyDescent="0.3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1.4976588400328694</v>
      </c>
      <c r="G600" s="1">
        <f>[1]Other_transformation!C$12</f>
        <v>0.33732625099450675</v>
      </c>
      <c r="H600" s="1">
        <f>[1]Other_transformation!D$12</f>
        <v>1.5378252262442138</v>
      </c>
      <c r="I600" s="1">
        <f>[1]Other_transformation!E$12</f>
        <v>1.985991608904857</v>
      </c>
      <c r="J600" s="1">
        <f>[2]Other_transformation!F$12</f>
        <v>1.0520613852214823E-4</v>
      </c>
      <c r="K600" s="1">
        <f>[2]Other_transformation!G$12</f>
        <v>2.4832819934203124E-4</v>
      </c>
      <c r="L600" s="1">
        <f>[2]Other_transformation!H$12</f>
        <v>1.2548948481258884E-4</v>
      </c>
      <c r="N600" s="1"/>
    </row>
    <row r="601" spans="2:14" x14ac:dyDescent="0.3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1.4976588400328694</v>
      </c>
      <c r="G601" s="1">
        <f t="shared" ref="G601:K601" si="638">SUM(G602:G603)</f>
        <v>0.33732625099450675</v>
      </c>
      <c r="H601" s="1">
        <f t="shared" si="638"/>
        <v>1.5378252262442138</v>
      </c>
      <c r="I601" s="1">
        <f t="shared" si="638"/>
        <v>1.985991608904857</v>
      </c>
      <c r="J601" s="1">
        <f t="shared" si="638"/>
        <v>1.0520613852214823E-4</v>
      </c>
      <c r="K601" s="1">
        <f t="shared" si="638"/>
        <v>2.4832819934203124E-4</v>
      </c>
      <c r="L601" s="1">
        <f t="shared" ref="L601" si="639">SUM(L602:L603)</f>
        <v>1.2548948481258884E-4</v>
      </c>
      <c r="N601" s="1"/>
    </row>
    <row r="602" spans="2:14" x14ac:dyDescent="0.35">
      <c r="B602" s="5" t="s">
        <v>6</v>
      </c>
      <c r="C602" s="5" t="s">
        <v>7</v>
      </c>
      <c r="D602" t="s">
        <v>2165</v>
      </c>
      <c r="E602" t="str">
        <f t="shared" ref="E602:E603" si="640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1.4976588400328694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0.33732625099450675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1.5378252262442138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1.985991608904857</v>
      </c>
      <c r="J602" s="1" cm="1">
        <f t="array" ref="J602">SUMPRODUCT(("CT_CWODETH"=[2]OUT_SyntheticFuels!$C$4:$C$1000)*1,("ETH"=[2]OUT_SyntheticFuels!$A$4:$A$1000)*1,("Var_Fout"=[2]OUT_SyntheticFuels!$B$4:$B$1000)*1,[2]OUT_SyntheticFuels!I$4:I$1000)</f>
        <v>1.0520613852214823E-4</v>
      </c>
      <c r="K602" s="1" cm="1">
        <f t="array" ref="K602">SUMPRODUCT(("CT_CWODETH"=[2]OUT_SyntheticFuels!$C$4:$C$1000)*1,("ETH"=[2]OUT_SyntheticFuels!$A$4:$A$1000)*1,("Var_Fout"=[2]OUT_SyntheticFuels!$B$4:$B$1000)*1,[2]OUT_SyntheticFuels!J$4:J$1000)</f>
        <v>2.4832819934203124E-4</v>
      </c>
      <c r="L602" s="1" cm="1">
        <f t="array" ref="L602">SUMPRODUCT(("CT_CWODETH"=[2]OUT_SyntheticFuels!$C$4:$C$1000)*1,("ETH"=[2]OUT_SyntheticFuels!$A$4:$A$1000)*1,("Var_Fout"=[2]OUT_SyntheticFuels!$B$4:$B$1000)*1,[2]OUT_SyntheticFuels!K$4:K$1000)</f>
        <v>1.2548948481258884E-4</v>
      </c>
      <c r="N602" s="1"/>
    </row>
    <row r="603" spans="2:14" x14ac:dyDescent="0.35">
      <c r="B603" s="5" t="s">
        <v>6</v>
      </c>
      <c r="C603" s="5" t="s">
        <v>7</v>
      </c>
      <c r="D603" t="s">
        <v>2166</v>
      </c>
      <c r="E603" t="str">
        <f t="shared" si="640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SUMPRODUCT(("CT_CWODETHCCS"=[2]OUT_SyntheticFuels!$C$4:$C$1000)*1,("ETH"=[2]OUT_SyntheticFuels!$A$4:$A$1000)*1,("Var_Fout"=[2]OUT_SyntheticFuels!$B$4:$B$1000)*1,[2]OUT_SyntheticFuels!I$4:I$1000)</f>
        <v>0</v>
      </c>
      <c r="K603" s="1" cm="1">
        <f t="array" ref="K603">SUMPRODUCT(("CT_CWODETHCCS"=[2]OUT_SyntheticFuels!$C$4:$C$1000)*1,("ETH"=[2]OUT_SyntheticFuels!$A$4:$A$1000)*1,("Var_Fout"=[2]OUT_SyntheticFuels!$B$4:$B$1000)*1,[2]OUT_SyntheticFuels!J$4:J$1000)</f>
        <v>0</v>
      </c>
      <c r="L603" s="1" cm="1">
        <f t="array" ref="L603">SUMPRODUCT(("CT_CWODETHCCS"=[2]OUT_SyntheticFuels!$C$4:$C$1000)*1,("ETH"=[2]OUT_SyntheticFuels!$A$4:$A$1000)*1,("Var_Fout"=[2]OUT_SyntheticFuels!$B$4:$B$1000)*1,[2]OUT_SyntheticFuels!K$4:K$1000)</f>
        <v>0</v>
      </c>
      <c r="N603" s="1"/>
    </row>
    <row r="604" spans="2:14" x14ac:dyDescent="0.3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5.5862674733226019</v>
      </c>
      <c r="G604" s="3">
        <f t="shared" ref="G604:K604" si="641">G605+G608</f>
        <v>1.2582269162095112</v>
      </c>
      <c r="H604" s="3">
        <f t="shared" si="641"/>
        <v>5.7360880938909116</v>
      </c>
      <c r="I604" s="3">
        <f t="shared" si="641"/>
        <v>7.4077487012151142</v>
      </c>
      <c r="J604" s="3">
        <f t="shared" si="641"/>
        <v>3.9241889668761295E-4</v>
      </c>
      <c r="K604" s="3">
        <f t="shared" si="641"/>
        <v>9.2626418354577579E-4</v>
      </c>
      <c r="L604" s="3">
        <f t="shared" ref="L604" si="642">L605+L608</f>
        <v>4.6807577835095626E-4</v>
      </c>
      <c r="N604" s="1"/>
    </row>
    <row r="605" spans="2:14" x14ac:dyDescent="0.3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3.1301069756686961</v>
      </c>
      <c r="G605" s="1">
        <f t="shared" ref="G605:K605" si="643">SUM(G606:G607)</f>
        <v>0.70501186457851961</v>
      </c>
      <c r="H605" s="1">
        <f t="shared" si="643"/>
        <v>3.2140547228504026</v>
      </c>
      <c r="I605" s="1">
        <f t="shared" si="643"/>
        <v>4.1507224626111485</v>
      </c>
      <c r="J605" s="1">
        <f t="shared" si="643"/>
        <v>2.1988082951128972E-4</v>
      </c>
      <c r="K605" s="1">
        <f t="shared" si="643"/>
        <v>5.1900593662484486E-4</v>
      </c>
      <c r="L605" s="1">
        <f t="shared" ref="L605" si="644">SUM(L606:L607)</f>
        <v>2.6227302325831052E-4</v>
      </c>
      <c r="N605" s="1"/>
    </row>
    <row r="606" spans="2:14" x14ac:dyDescent="0.3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3.1301069756686961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0.70501186457851961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3.2140547228504026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4.1507224626111485</v>
      </c>
      <c r="J606" s="1" cm="1">
        <f t="array" ref="J606">SUMPRODUCT(("CT_CWODETH"=[2]OUT_SyntheticFuels!$C$4:$C$1000)*1,("cwod"=[2]OUT_SyntheticFuels!$A$4:$A$1000)*1,("Var_Fin"=[2]OUT_SyntheticFuels!$B$4:$B$1000)*1,[2]OUT_SyntheticFuels!I$4:I$1000)</f>
        <v>2.1988082951128972E-4</v>
      </c>
      <c r="K606" s="1" cm="1">
        <f t="array" ref="K606">SUMPRODUCT(("CT_CWODETH"=[2]OUT_SyntheticFuels!$C$4:$C$1000)*1,("cwod"=[2]OUT_SyntheticFuels!$A$4:$A$1000)*1,("Var_Fin"=[2]OUT_SyntheticFuels!$B$4:$B$1000)*1,[2]OUT_SyntheticFuels!J$4:J$1000)</f>
        <v>5.1900593662484486E-4</v>
      </c>
      <c r="L606" s="1" cm="1">
        <f t="array" ref="L606">SUMPRODUCT(("CT_CWODETH"=[2]OUT_SyntheticFuels!$C$4:$C$1000)*1,("cwod"=[2]OUT_SyntheticFuels!$A$4:$A$1000)*1,("Var_Fin"=[2]OUT_SyntheticFuels!$B$4:$B$1000)*1,[2]OUT_SyntheticFuels!K$4:K$1000)</f>
        <v>2.6227302325831052E-4</v>
      </c>
      <c r="N606" s="1"/>
    </row>
    <row r="607" spans="2:14" x14ac:dyDescent="0.3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SUMPRODUCT(("CT_CWODETHCCS"=[2]OUT_SyntheticFuels!$C$4:$C$1000)*1,("cwod"=[2]OUT_SyntheticFuels!$A$4:$A$1000)*1,("Var_Fin"=[2]OUT_SyntheticFuels!$B$4:$B$1000)*1,[2]OUT_SyntheticFuels!I$4:I$1000)</f>
        <v>0</v>
      </c>
      <c r="K607" s="1" cm="1">
        <f t="array" ref="K607">SUMPRODUCT(("CT_CWODETHCCS"=[2]OUT_SyntheticFuels!$C$4:$C$1000)*1,("cwod"=[2]OUT_SyntheticFuels!$A$4:$A$1000)*1,("Var_Fin"=[2]OUT_SyntheticFuels!$B$4:$B$1000)*1,[2]OUT_SyntheticFuels!J$4:J$1000)</f>
        <v>0</v>
      </c>
      <c r="L607" s="1" cm="1">
        <f t="array" ref="L607">SUMPRODUCT(("CT_CWODETHCCS"=[2]OUT_SyntheticFuels!$C$4:$C$1000)*1,("cwod"=[2]OUT_SyntheticFuels!$A$4:$A$1000)*1,("Var_Fin"=[2]OUT_SyntheticFuels!$B$4:$B$1000)*1,[2]OUT_SyntheticFuels!K$4:K$1000)</f>
        <v>0</v>
      </c>
      <c r="N607" s="1"/>
    </row>
    <row r="608" spans="2:14" x14ac:dyDescent="0.3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2.4561604976539053</v>
      </c>
      <c r="G608" s="1">
        <f t="shared" ref="G608:K608" si="645">SUM(G609:G610)</f>
        <v>0.55321505163099161</v>
      </c>
      <c r="H608" s="1">
        <f t="shared" si="645"/>
        <v>2.5220333710405085</v>
      </c>
      <c r="I608" s="1">
        <f t="shared" si="645"/>
        <v>3.2570262386039661</v>
      </c>
      <c r="J608" s="1">
        <f t="shared" si="645"/>
        <v>1.7253806717632323E-4</v>
      </c>
      <c r="K608" s="1">
        <f t="shared" si="645"/>
        <v>4.0725824692093088E-4</v>
      </c>
      <c r="L608" s="1">
        <f t="shared" ref="L608" si="646">SUM(L609:L610)</f>
        <v>2.0580275509264571E-4</v>
      </c>
      <c r="N608" s="1"/>
    </row>
    <row r="609" spans="2:14" x14ac:dyDescent="0.3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2.4561604976539053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0.55321505163099161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2.5220333710405085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3.2570262386039661</v>
      </c>
      <c r="J609" s="1" cm="1">
        <f t="array" ref="J609">SUMPRODUCT(("CT_CWODETH"=[2]OUT_SyntheticFuels!$C$4:$C$1000)*1,("celc"=[2]OUT_SyntheticFuels!$A$4:$A$1000)*1,("Var_Fin"=[2]OUT_SyntheticFuels!$B$4:$B$1000)*1,[2]OUT_SyntheticFuels!I$4:I$1000)</f>
        <v>1.7253806717632323E-4</v>
      </c>
      <c r="K609" s="1" cm="1">
        <f t="array" ref="K609">SUMPRODUCT(("CT_CWODETH"=[2]OUT_SyntheticFuels!$C$4:$C$1000)*1,("celc"=[2]OUT_SyntheticFuels!$A$4:$A$1000)*1,("Var_Fin"=[2]OUT_SyntheticFuels!$B$4:$B$1000)*1,[2]OUT_SyntheticFuels!J$4:J$1000)</f>
        <v>4.0725824692093088E-4</v>
      </c>
      <c r="L609" s="1" cm="1">
        <f t="array" ref="L609">SUMPRODUCT(("CT_CWODETH"=[2]OUT_SyntheticFuels!$C$4:$C$1000)*1,("celc"=[2]OUT_SyntheticFuels!$A$4:$A$1000)*1,("Var_Fin"=[2]OUT_SyntheticFuels!$B$4:$B$1000)*1,[2]OUT_SyntheticFuels!K$4:K$1000)</f>
        <v>2.0580275509264571E-4</v>
      </c>
      <c r="N609" s="1"/>
    </row>
    <row r="610" spans="2:14" x14ac:dyDescent="0.3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SUMPRODUCT(("CT_CWODETHCCS"=[2]OUT_SyntheticFuels!$C$4:$C$1000)*1,("celc"=[2]OUT_SyntheticFuels!$A$4:$A$1000)*1,("Var_Fin"=[2]OUT_SyntheticFuels!$B$4:$B$1000)*1,[2]OUT_SyntheticFuels!I$4:I$1000)</f>
        <v>0</v>
      </c>
      <c r="K610" s="1" cm="1">
        <f t="array" ref="K610">SUMPRODUCT(("CT_CWODETHCCS"=[2]OUT_SyntheticFuels!$C$4:$C$1000)*1,("celc"=[2]OUT_SyntheticFuels!$A$4:$A$1000)*1,("Var_Fin"=[2]OUT_SyntheticFuels!$B$4:$B$1000)*1,[2]OUT_SyntheticFuels!J$4:J$1000)</f>
        <v>0</v>
      </c>
      <c r="L610" s="1" cm="1">
        <f t="array" ref="L610">SUMPRODUCT(("CT_CWODETHCCS"=[2]OUT_SyntheticFuels!$C$4:$C$1000)*1,("celc"=[2]OUT_SyntheticFuels!$A$4:$A$1000)*1,("Var_Fin"=[2]OUT_SyntheticFuels!$B$4:$B$1000)*1,[2]OUT_SyntheticFuels!K$4:K$1000)</f>
        <v>0</v>
      </c>
      <c r="N610" s="1"/>
    </row>
    <row r="611" spans="2:14" x14ac:dyDescent="0.3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N611" s="1"/>
    </row>
    <row r="612" spans="2:14" x14ac:dyDescent="0.3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0.26809651474530838</v>
      </c>
      <c r="G612">
        <f t="shared" ref="G612:K613" si="647">IFERROR(G602/SUM(G606,G609),"-")</f>
        <v>0.2680965147453081</v>
      </c>
      <c r="H612">
        <f t="shared" si="647"/>
        <v>0.2680965147453086</v>
      </c>
      <c r="I612">
        <f t="shared" si="647"/>
        <v>0.26809651474530838</v>
      </c>
      <c r="J612">
        <f t="shared" si="647"/>
        <v>0.26809651474530827</v>
      </c>
      <c r="K612">
        <f t="shared" si="647"/>
        <v>0.26809651474530855</v>
      </c>
      <c r="L612">
        <f t="shared" ref="L612" si="648">IFERROR(L602/SUM(L606,L609),"-")</f>
        <v>0.26809651474530838</v>
      </c>
      <c r="N612" s="1"/>
    </row>
    <row r="613" spans="2:14" x14ac:dyDescent="0.3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47"/>
        <v>-</v>
      </c>
      <c r="H613" t="str">
        <f t="shared" si="647"/>
        <v>-</v>
      </c>
      <c r="I613" t="str">
        <f t="shared" si="647"/>
        <v>-</v>
      </c>
      <c r="J613" t="str">
        <f t="shared" si="647"/>
        <v>-</v>
      </c>
      <c r="K613" t="str">
        <f t="shared" si="647"/>
        <v>-</v>
      </c>
      <c r="L613" t="str">
        <f t="shared" ref="L613" si="649">IFERROR(L603/SUM(L607,L610),"-")</f>
        <v>-</v>
      </c>
      <c r="N613" s="1"/>
    </row>
    <row r="614" spans="2:14" x14ac:dyDescent="0.3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6.9575359167281103</v>
      </c>
      <c r="G614" s="3">
        <f t="shared" ref="G614" si="650">G615+G616+G621</f>
        <v>10.781614018943737</v>
      </c>
      <c r="H614" s="3">
        <f t="shared" ref="H614" si="651">H615+H616+H621</f>
        <v>10.307897165196621</v>
      </c>
      <c r="I614" s="3">
        <f t="shared" ref="I614" si="652">I615+I616+I621</f>
        <v>11.312682923245983</v>
      </c>
      <c r="J614" s="3">
        <f t="shared" ref="J614" si="653">J615+J616+J621</f>
        <v>12.042989906931737</v>
      </c>
      <c r="K614" s="3">
        <f t="shared" ref="K614:L614" si="654">K615+K616+K621</f>
        <v>13.626592122364551</v>
      </c>
      <c r="L614" s="3">
        <f t="shared" si="654"/>
        <v>15.080540887586858</v>
      </c>
      <c r="N614" s="1"/>
    </row>
    <row r="615" spans="2:14" x14ac:dyDescent="0.3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1.3280740866753387</v>
      </c>
      <c r="G615" s="1">
        <f>[1]Other_transformation!C$19</f>
        <v>4.3847409383883615</v>
      </c>
      <c r="H615" s="1">
        <f>[1]Other_transformation!D$19</f>
        <v>4.3847627332042052</v>
      </c>
      <c r="I615" s="1">
        <f>[1]Other_transformation!E$19</f>
        <v>4.3847661262857534</v>
      </c>
      <c r="J615" s="1">
        <f>[2]Other_transformation!F$19</f>
        <v>4.3847660007064286</v>
      </c>
      <c r="K615" s="1">
        <f>[2]Other_transformation!G$19</f>
        <v>5.1162530791975387</v>
      </c>
      <c r="L615" s="1">
        <f>[2]Other_transformation!H$19</f>
        <v>5.116255919253069</v>
      </c>
      <c r="N615" s="1"/>
    </row>
    <row r="616" spans="2:14" x14ac:dyDescent="0.3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5.6294618300527715</v>
      </c>
      <c r="G616" s="1">
        <f>[1]Other_transformation!C$20</f>
        <v>6.3922909624357347</v>
      </c>
      <c r="H616" s="1">
        <f>[1]Other_transformation!D$20</f>
        <v>5.9210631640321649</v>
      </c>
      <c r="I616" s="1">
        <f>[1]Other_transformation!E$20</f>
        <v>6.9211513247449021</v>
      </c>
      <c r="J616" s="1">
        <f>[2]Other_transformation!F$20</f>
        <v>7.6579787332932767</v>
      </c>
      <c r="K616" s="1">
        <f>[2]Other_transformation!G$20</f>
        <v>8.50926682904222</v>
      </c>
      <c r="L616" s="1">
        <f>[2]Other_transformation!H$20</f>
        <v>9.9632058264866004</v>
      </c>
      <c r="N616" s="1"/>
    </row>
    <row r="617" spans="2:14" x14ac:dyDescent="0.3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5.6294618300527715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6.3922909624357347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5.9210631640321649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6.9211513247449021</v>
      </c>
      <c r="J617" s="1" cm="1">
        <f t="array" ref="J617">SUMPRODUCT(("SUP_WSTBIO"=[2]OUT_SyntheticFuels!$C$4:$C$1000)*1,("BIO"=[2]OUT_SyntheticFuels!$A$4:$A$1000)*1,("Var_Fout"=[2]OUT_SyntheticFuels!$B$4:$B$1000)*1,[2]OUT_SyntheticFuels!I$4:I$1000)</f>
        <v>7.6579787332932767</v>
      </c>
      <c r="K617" s="1" cm="1">
        <f t="array" ref="K617">SUMPRODUCT(("SUP_WSTBIO"=[2]OUT_SyntheticFuels!$C$4:$C$1000)*1,("BIO"=[2]OUT_SyntheticFuels!$A$4:$A$1000)*1,("Var_Fout"=[2]OUT_SyntheticFuels!$B$4:$B$1000)*1,[2]OUT_SyntheticFuels!J$4:J$1000)</f>
        <v>8.4080587857794207</v>
      </c>
      <c r="L617" s="1" cm="1">
        <f t="array" ref="L617">SUMPRODUCT(("SUP_WSTBIO"=[2]OUT_SyntheticFuels!$C$4:$C$1000)*1,("BIO"=[2]OUT_SyntheticFuels!$A$4:$A$1000)*1,("Var_Fout"=[2]OUT_SyntheticFuels!$B$4:$B$1000)*1,[2]OUT_SyntheticFuels!K$4:K$1000)</f>
        <v>9.8447120167063389</v>
      </c>
      <c r="N617" s="1"/>
    </row>
    <row r="618" spans="2:14" x14ac:dyDescent="0.3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SUMPRODUCT(("SUP_WSTBIOCCS"=[2]OUT_SyntheticFuels!$C$4:$C$1000)*1,("BIO"=[2]OUT_SyntheticFuels!$A$4:$A$1000)*1,("Var_Fout"=[2]OUT_SyntheticFuels!$B$4:$B$1000)*1,[2]OUT_SyntheticFuels!I$4:I$1000)</f>
        <v>0</v>
      </c>
      <c r="K618" s="1" cm="1">
        <f t="array" ref="K618">SUMPRODUCT(("SUP_WSTBIOCCS"=[2]OUT_SyntheticFuels!$C$4:$C$1000)*1,("BIO"=[2]OUT_SyntheticFuels!$A$4:$A$1000)*1,("Var_Fout"=[2]OUT_SyntheticFuels!$B$4:$B$1000)*1,[2]OUT_SyntheticFuels!J$4:J$1000)</f>
        <v>0</v>
      </c>
      <c r="L618" s="1" cm="1">
        <f t="array" ref="L618">SUMPRODUCT(("SUP_WSTBIOCCS"=[2]OUT_SyntheticFuels!$C$4:$C$1000)*1,("BIO"=[2]OUT_SyntheticFuels!$A$4:$A$1000)*1,("Var_Fout"=[2]OUT_SyntheticFuels!$B$4:$B$1000)*1,[2]OUT_SyntheticFuels!K$4:K$1000)</f>
        <v>0</v>
      </c>
      <c r="N618" s="1"/>
    </row>
    <row r="619" spans="2:14" x14ac:dyDescent="0.3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SUMPRODUCT(("SUP_WSTHTGBIO"=[2]OUT_SyntheticFuels!$C$4:$C$1000)*1,("BIO"=[2]OUT_SyntheticFuels!$A$4:$A$1000)*1,("Var_Fout"=[2]OUT_SyntheticFuels!$B$4:$B$1000)*1,[2]OUT_SyntheticFuels!I$4:I$1000)</f>
        <v>0</v>
      </c>
      <c r="K619" s="1" cm="1">
        <f t="array" ref="K619">SUMPRODUCT(("SUP_WSTHTGBIO"=[2]OUT_SyntheticFuels!$C$4:$C$1000)*1,("BIO"=[2]OUT_SyntheticFuels!$A$4:$A$1000)*1,("Var_Fout"=[2]OUT_SyntheticFuels!$B$4:$B$1000)*1,[2]OUT_SyntheticFuels!J$4:J$1000)</f>
        <v>0.10120804326279967</v>
      </c>
      <c r="L619" s="1" cm="1">
        <f t="array" ref="L619">SUMPRODUCT(("SUP_WSTHTGBIO"=[2]OUT_SyntheticFuels!$C$4:$C$1000)*1,("BIO"=[2]OUT_SyntheticFuels!$A$4:$A$1000)*1,("Var_Fout"=[2]OUT_SyntheticFuels!$B$4:$B$1000)*1,[2]OUT_SyntheticFuels!K$4:K$1000)</f>
        <v>0.11849380978026235</v>
      </c>
      <c r="N619" s="1"/>
    </row>
    <row r="620" spans="2:14" x14ac:dyDescent="0.3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SUMPRODUCT(("SUP_WSTHTGBIOCCS"=[2]OUT_SyntheticFuels!$C$4:$C$1000)*1,("BIO"=[2]OUT_SyntheticFuels!$A$4:$A$1000)*1,("Var_Fout"=[2]OUT_SyntheticFuels!$B$4:$B$1000)*1,[2]OUT_SyntheticFuels!I$4:I$1000)</f>
        <v>0</v>
      </c>
      <c r="K620" s="1" cm="1">
        <f t="array" ref="K620">SUMPRODUCT(("SUP_WSTHTGBIOCCS"=[2]OUT_SyntheticFuels!$C$4:$C$1000)*1,("BIO"=[2]OUT_SyntheticFuels!$A$4:$A$1000)*1,("Var_Fout"=[2]OUT_SyntheticFuels!$B$4:$B$1000)*1,[2]OUT_SyntheticFuels!J$4:J$1000)</f>
        <v>0</v>
      </c>
      <c r="L620" s="1" cm="1">
        <f t="array" ref="L620">SUMPRODUCT(("SUP_WSTHTGBIOCCS"=[2]OUT_SyntheticFuels!$C$4:$C$1000)*1,("BIO"=[2]OUT_SyntheticFuels!$A$4:$A$1000)*1,("Var_Fout"=[2]OUT_SyntheticFuels!$B$4:$B$1000)*1,[2]OUT_SyntheticFuels!K$4:K$1000)</f>
        <v>0</v>
      </c>
      <c r="N620" s="1"/>
    </row>
    <row r="621" spans="2:14" x14ac:dyDescent="0.3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4.5821181196408333E-3</v>
      </c>
      <c r="H621" s="1">
        <f>[1]Other_transformation!D$21</f>
        <v>2.0712679602506927E-3</v>
      </c>
      <c r="I621" s="1">
        <f>[1]Other_transformation!E$21</f>
        <v>6.7654722153275993E-3</v>
      </c>
      <c r="J621" s="1">
        <f>[2]Other_transformation!F$21</f>
        <v>2.4517293203261216E-4</v>
      </c>
      <c r="K621" s="1">
        <f>[2]Other_transformation!G$21</f>
        <v>1.0722141247916372E-3</v>
      </c>
      <c r="L621" s="1">
        <f>[2]Other_transformation!H$21</f>
        <v>1.0791418471893977E-3</v>
      </c>
      <c r="N621" s="1"/>
    </row>
    <row r="622" spans="2:14" x14ac:dyDescent="0.3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4.5821181196408333E-3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2.0712679602506927E-3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6.7654722153275993E-3</v>
      </c>
      <c r="J622" s="1" cm="1">
        <f t="array" ref="J622">SUMPRODUCT(("SUP_WODBIO"=[2]OUT_SyntheticFuels!$C$4:$C$1000)*1,("BIO"=[2]OUT_SyntheticFuels!$A$4:$A$1000)*1,("Var_Fout"=[2]OUT_SyntheticFuels!$B$4:$B$1000)*1,[2]OUT_SyntheticFuels!I$4:I$1000)</f>
        <v>2.4517293203261216E-4</v>
      </c>
      <c r="K622" s="1" cm="1">
        <f t="array" ref="K622">SUMPRODUCT(("SUP_WODBIO"=[2]OUT_SyntheticFuels!$C$4:$C$1000)*1,("BIO"=[2]OUT_SyntheticFuels!$A$4:$A$1000)*1,("Var_Fout"=[2]OUT_SyntheticFuels!$B$4:$B$1000)*1,[2]OUT_SyntheticFuels!J$4:J$1000)</f>
        <v>1.0722141247916372E-3</v>
      </c>
      <c r="L622" s="1" cm="1">
        <f t="array" ref="L622">SUMPRODUCT(("SUP_WODBIO"=[2]OUT_SyntheticFuels!$C$4:$C$1000)*1,("BIO"=[2]OUT_SyntheticFuels!$A$4:$A$1000)*1,("Var_Fout"=[2]OUT_SyntheticFuels!$B$4:$B$1000)*1,[2]OUT_SyntheticFuels!K$4:K$1000)</f>
        <v>1.0791418471893977E-3</v>
      </c>
      <c r="N622" s="1"/>
    </row>
    <row r="623" spans="2:14" x14ac:dyDescent="0.3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SUMPRODUCT(("SUP_WODBIOCCS"=[2]OUT_SyntheticFuels!$C$4:$C$1000)*1,("BIO"=[2]OUT_SyntheticFuels!$A$4:$A$1000)*1,("Var_Fout"=[2]OUT_SyntheticFuels!$B$4:$B$1000)*1,[2]OUT_SyntheticFuels!I$4:I$1000)</f>
        <v>0</v>
      </c>
      <c r="K623" s="1" cm="1">
        <f t="array" ref="K623">SUMPRODUCT(("SUP_WODBIOCCS"=[2]OUT_SyntheticFuels!$C$4:$C$1000)*1,("BIO"=[2]OUT_SyntheticFuels!$A$4:$A$1000)*1,("Var_Fout"=[2]OUT_SyntheticFuels!$B$4:$B$1000)*1,[2]OUT_SyntheticFuels!J$4:J$1000)</f>
        <v>0</v>
      </c>
      <c r="L623" s="1" cm="1">
        <f t="array" ref="L623">SUMPRODUCT(("SUP_WODBIOCCS"=[2]OUT_SyntheticFuels!$C$4:$C$1000)*1,("BIO"=[2]OUT_SyntheticFuels!$A$4:$A$1000)*1,("Var_Fout"=[2]OUT_SyntheticFuels!$B$4:$B$1000)*1,[2]OUT_SyntheticFuels!K$4:K$1000)</f>
        <v>0</v>
      </c>
      <c r="N623" s="1"/>
    </row>
    <row r="624" spans="2:14" x14ac:dyDescent="0.3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0.11258923660105545</v>
      </c>
      <c r="G624" s="3">
        <f t="shared" ref="G624" si="655">G625+G626+G631</f>
        <v>0.1280291039735004</v>
      </c>
      <c r="H624" s="3">
        <f t="shared" ref="H624" si="656">H625+H626+H631</f>
        <v>0.11850411399905326</v>
      </c>
      <c r="I624" s="3">
        <f t="shared" ref="I624" si="657">I625+I626+I631</f>
        <v>0.13869364538351137</v>
      </c>
      <c r="J624" s="3">
        <f t="shared" ref="J624" si="658">J625+J626+J631</f>
        <v>0.15316938158314689</v>
      </c>
      <c r="K624" s="3">
        <f t="shared" ref="K624:L624" si="659">K625+K626+K631</f>
        <v>0.16820406428058002</v>
      </c>
      <c r="L624" s="3">
        <f t="shared" si="659"/>
        <v>0.1969374060080141</v>
      </c>
      <c r="N624" s="1"/>
    </row>
    <row r="625" spans="2:14" x14ac:dyDescent="0.3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SUMPRODUCT(("SUP_MNRBIO"=[2]OUT_SyntheticFuels!$C$4:$C$1000)*1,("Var_Fout"=[2]OUT_SyntheticFuels!$B$4:$B$1000)*1,("ELC35"=[2]OUT_SyntheticFuels!$A$4:$A$1000)*1,[2]OUT_SyntheticFuels!I$4:I$1000)</f>
        <v>0</v>
      </c>
      <c r="K625" s="1" cm="1">
        <f t="array" ref="K625">SUMPRODUCT(("SUP_MNRBIO"=[2]OUT_SyntheticFuels!$C$4:$C$1000)*1,("Var_Fout"=[2]OUT_SyntheticFuels!$B$4:$B$1000)*1,("ELC35"=[2]OUT_SyntheticFuels!$A$4:$A$1000)*1,[2]OUT_SyntheticFuels!J$4:J$1000)</f>
        <v>0</v>
      </c>
      <c r="L625" s="1" cm="1">
        <f t="array" ref="L625">SUMPRODUCT(("SUP_MNRBIO"=[2]OUT_SyntheticFuels!$C$4:$C$1000)*1,("Var_Fout"=[2]OUT_SyntheticFuels!$B$4:$B$1000)*1,("ELC35"=[2]OUT_SyntheticFuels!$A$4:$A$1000)*1,[2]OUT_SyntheticFuels!K$4:K$1000)</f>
        <v>0</v>
      </c>
      <c r="N625" s="1"/>
    </row>
    <row r="626" spans="2:14" x14ac:dyDescent="0.3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0.11258923660105545</v>
      </c>
      <c r="G626" s="1">
        <f t="shared" ref="G626:K626" si="660">SUM(G627:G630)</f>
        <v>0.12784581924871477</v>
      </c>
      <c r="H626" s="1">
        <f t="shared" si="660"/>
        <v>0.11842126328064324</v>
      </c>
      <c r="I626" s="1">
        <f t="shared" si="660"/>
        <v>0.13842302649489827</v>
      </c>
      <c r="J626" s="1">
        <f t="shared" si="660"/>
        <v>0.15315957466586558</v>
      </c>
      <c r="K626" s="1">
        <f t="shared" si="660"/>
        <v>0.16816117571558836</v>
      </c>
      <c r="L626" s="1">
        <f t="shared" ref="L626" si="661">SUM(L627:L630)</f>
        <v>0.19689424033412653</v>
      </c>
      <c r="N626" s="1"/>
    </row>
    <row r="627" spans="2:14" x14ac:dyDescent="0.3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0.11258923660105545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0.12784581924871477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0.11842126328064324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0.13842302649489827</v>
      </c>
      <c r="J627" s="1" cm="1">
        <f t="array" ref="J627">SUMPRODUCT(("SUP_WSTBIO"=[2]OUT_SyntheticFuels!$C$4:$C$1000)*1,("elc35"=[2]OUT_SyntheticFuels!$A$4:$A$1000)*1,("Var_Fout"=[2]OUT_SyntheticFuels!$B$4:$B$1000)*1,[2]OUT_SyntheticFuels!I$4:I$1000)</f>
        <v>0.15315957466586558</v>
      </c>
      <c r="K627" s="1" cm="1">
        <f t="array" ref="K627">SUMPRODUCT(("SUP_WSTBIO"=[2]OUT_SyntheticFuels!$C$4:$C$1000)*1,("elc35"=[2]OUT_SyntheticFuels!$A$4:$A$1000)*1,("Var_Fout"=[2]OUT_SyntheticFuels!$B$4:$B$1000)*1,[2]OUT_SyntheticFuels!J$4:J$1000)</f>
        <v>0.16816117571558836</v>
      </c>
      <c r="L627" s="1" cm="1">
        <f t="array" ref="L627">SUMPRODUCT(("SUP_WSTBIO"=[2]OUT_SyntheticFuels!$C$4:$C$1000)*1,("elc35"=[2]OUT_SyntheticFuels!$A$4:$A$1000)*1,("Var_Fout"=[2]OUT_SyntheticFuels!$B$4:$B$1000)*1,[2]OUT_SyntheticFuels!K$4:K$1000)</f>
        <v>0.19689424033412653</v>
      </c>
      <c r="N627" s="1"/>
    </row>
    <row r="628" spans="2:14" x14ac:dyDescent="0.3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SUMPRODUCT(("SUP_WSTBIOCCS"=[2]OUT_SyntheticFuels!$C$4:$C$1000)*1,("elc35"=[2]OUT_SyntheticFuels!$A$4:$A$1000)*1,("Var_Fout"=[2]OUT_SyntheticFuels!$B$4:$B$1000)*1,[2]OUT_SyntheticFuels!I$4:I$1000)</f>
        <v>0</v>
      </c>
      <c r="K628" s="1" cm="1">
        <f t="array" ref="K628">SUMPRODUCT(("SUP_WSTBIOCCS"=[2]OUT_SyntheticFuels!$C$4:$C$1000)*1,("elc35"=[2]OUT_SyntheticFuels!$A$4:$A$1000)*1,("Var_Fout"=[2]OUT_SyntheticFuels!$B$4:$B$1000)*1,[2]OUT_SyntheticFuels!J$4:J$1000)</f>
        <v>0</v>
      </c>
      <c r="L628" s="1" cm="1">
        <f t="array" ref="L628">SUMPRODUCT(("SUP_WSTBIOCCS"=[2]OUT_SyntheticFuels!$C$4:$C$1000)*1,("elc35"=[2]OUT_SyntheticFuels!$A$4:$A$1000)*1,("Var_Fout"=[2]OUT_SyntheticFuels!$B$4:$B$1000)*1,[2]OUT_SyntheticFuels!K$4:K$1000)</f>
        <v>0</v>
      </c>
      <c r="N628" s="1"/>
    </row>
    <row r="629" spans="2:14" x14ac:dyDescent="0.3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SUMPRODUCT(("SUP_WSTHTGBIO"=[2]OUT_SyntheticFuels!$C$4:$C$1000)*1,("elc35"=[2]OUT_SyntheticFuels!$A$4:$A$1000)*1,("Var_Fout"=[2]OUT_SyntheticFuels!$B$4:$B$1000)*1,[2]OUT_SyntheticFuels!I$4:I$1000)</f>
        <v>0</v>
      </c>
      <c r="K629" s="1" cm="1">
        <f t="array" ref="K629">SUMPRODUCT(("SUP_WSTHTGBIO"=[2]OUT_SyntheticFuels!$C$4:$C$1000)*1,("elc35"=[2]OUT_SyntheticFuels!$A$4:$A$1000)*1,("Var_Fout"=[2]OUT_SyntheticFuels!$B$4:$B$1000)*1,[2]OUT_SyntheticFuels!J$4:J$1000)</f>
        <v>0</v>
      </c>
      <c r="L629" s="1" cm="1">
        <f t="array" ref="L629">SUMPRODUCT(("SUP_WSTHTGBIO"=[2]OUT_SyntheticFuels!$C$4:$C$1000)*1,("elc35"=[2]OUT_SyntheticFuels!$A$4:$A$1000)*1,("Var_Fout"=[2]OUT_SyntheticFuels!$B$4:$B$1000)*1,[2]OUT_SyntheticFuels!K$4:K$1000)</f>
        <v>0</v>
      </c>
      <c r="N629" s="1"/>
    </row>
    <row r="630" spans="2:14" x14ac:dyDescent="0.3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SUMPRODUCT(("SUP_WSTHTGBIOCCS"=[2]OUT_SyntheticFuels!$C$4:$C$1000)*1,("elc35"=[2]OUT_SyntheticFuels!$A$4:$A$1000)*1,("Var_Fout"=[2]OUT_SyntheticFuels!$B$4:$B$1000)*1,[2]OUT_SyntheticFuels!I$4:I$1000)</f>
        <v>0</v>
      </c>
      <c r="K630" s="1" cm="1">
        <f t="array" ref="K630">SUMPRODUCT(("SUP_WSTHTGBIOCCS"=[2]OUT_SyntheticFuels!$C$4:$C$1000)*1,("elc35"=[2]OUT_SyntheticFuels!$A$4:$A$1000)*1,("Var_Fout"=[2]OUT_SyntheticFuels!$B$4:$B$1000)*1,[2]OUT_SyntheticFuels!J$4:J$1000)</f>
        <v>0</v>
      </c>
      <c r="L630" s="1" cm="1">
        <f t="array" ref="L630">SUMPRODUCT(("SUP_WSTHTGBIOCCS"=[2]OUT_SyntheticFuels!$C$4:$C$1000)*1,("elc35"=[2]OUT_SyntheticFuels!$A$4:$A$1000)*1,("Var_Fout"=[2]OUT_SyntheticFuels!$B$4:$B$1000)*1,[2]OUT_SyntheticFuels!K$4:K$1000)</f>
        <v>0</v>
      </c>
      <c r="N630" s="1"/>
    </row>
    <row r="631" spans="2:14" x14ac:dyDescent="0.3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662">SUM(G632:G633)</f>
        <v>1.8328472478563364E-4</v>
      </c>
      <c r="H631" s="1">
        <f t="shared" si="662"/>
        <v>8.2850718410027737E-5</v>
      </c>
      <c r="I631" s="1">
        <f t="shared" si="662"/>
        <v>2.7061888861310462E-4</v>
      </c>
      <c r="J631" s="1">
        <f t="shared" si="662"/>
        <v>9.806917281304496E-6</v>
      </c>
      <c r="K631" s="1">
        <f t="shared" si="662"/>
        <v>4.2888564991665547E-5</v>
      </c>
      <c r="L631" s="1">
        <f t="shared" ref="L631" si="663">SUM(L632:L633)</f>
        <v>4.3165673887575995E-5</v>
      </c>
      <c r="N631" s="1"/>
    </row>
    <row r="632" spans="2:14" x14ac:dyDescent="0.3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1.8328472478563364E-4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8.2850718410027737E-5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2.7061888861310462E-4</v>
      </c>
      <c r="J632" s="1" cm="1">
        <f t="array" ref="J632">SUMPRODUCT(("SUP_WODBIO"=[2]OUT_SyntheticFuels!$C$4:$C$1000)*1,("elc35"=[2]OUT_SyntheticFuels!$A$4:$A$1000)*1,("Var_Fout"=[2]OUT_SyntheticFuels!$B$4:$B$1000)*1,[2]OUT_SyntheticFuels!I$4:I$1000)</f>
        <v>9.806917281304496E-6</v>
      </c>
      <c r="K632" s="1" cm="1">
        <f t="array" ref="K632">SUMPRODUCT(("SUP_WODBIO"=[2]OUT_SyntheticFuels!$C$4:$C$1000)*1,("elc35"=[2]OUT_SyntheticFuels!$A$4:$A$1000)*1,("Var_Fout"=[2]OUT_SyntheticFuels!$B$4:$B$1000)*1,[2]OUT_SyntheticFuels!J$4:J$1000)</f>
        <v>4.2888564991665547E-5</v>
      </c>
      <c r="L632" s="1" cm="1">
        <f t="array" ref="L632">SUMPRODUCT(("SUP_WODBIO"=[2]OUT_SyntheticFuels!$C$4:$C$1000)*1,("elc35"=[2]OUT_SyntheticFuels!$A$4:$A$1000)*1,("Var_Fout"=[2]OUT_SyntheticFuels!$B$4:$B$1000)*1,[2]OUT_SyntheticFuels!K$4:K$1000)</f>
        <v>4.3165673887575995E-5</v>
      </c>
      <c r="N632" s="1"/>
    </row>
    <row r="633" spans="2:14" x14ac:dyDescent="0.3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SUMPRODUCT(("SUP_WODBIOCCS"=[2]OUT_SyntheticFuels!$C$4:$C$1000)*1,("elc35"=[2]OUT_SyntheticFuels!$A$4:$A$1000)*1,("Var_Fout"=[2]OUT_SyntheticFuels!$B$4:$B$1000)*1,[2]OUT_SyntheticFuels!I$4:I$1000)</f>
        <v>0</v>
      </c>
      <c r="K633" s="1" cm="1">
        <f t="array" ref="K633">SUMPRODUCT(("SUP_WODBIOCCS"=[2]OUT_SyntheticFuels!$C$4:$C$1000)*1,("elc35"=[2]OUT_SyntheticFuels!$A$4:$A$1000)*1,("Var_Fout"=[2]OUT_SyntheticFuels!$B$4:$B$1000)*1,[2]OUT_SyntheticFuels!J$4:J$1000)</f>
        <v>0</v>
      </c>
      <c r="L633" s="1" cm="1">
        <f t="array" ref="L633">SUMPRODUCT(("SUP_WODBIOCCS"=[2]OUT_SyntheticFuels!$C$4:$C$1000)*1,("elc35"=[2]OUT_SyntheticFuels!$A$4:$A$1000)*1,("Var_Fout"=[2]OUT_SyntheticFuels!$B$4:$B$1000)*1,[2]OUT_SyntheticFuels!K$4:K$1000)</f>
        <v>0</v>
      </c>
      <c r="N633" s="1"/>
    </row>
    <row r="634" spans="2:14" x14ac:dyDescent="0.3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664">G635+G636+G641</f>
        <v>5.4985417435690089E-4</v>
      </c>
      <c r="H634" s="3">
        <f t="shared" ref="H634" si="665">H635+H636+H641</f>
        <v>2.4855215523008283E-4</v>
      </c>
      <c r="I634" s="3">
        <f t="shared" ref="I634" si="666">I635+I636+I641</f>
        <v>8.1185666583931209E-4</v>
      </c>
      <c r="J634" s="3">
        <f t="shared" ref="J634" si="667">J635+J636+J641</f>
        <v>2.9420751843913464E-5</v>
      </c>
      <c r="K634" s="3">
        <f t="shared" ref="K634:L634" si="668">K635+K636+K641</f>
        <v>1.2866569497499647E-4</v>
      </c>
      <c r="L634" s="3">
        <f t="shared" si="668"/>
        <v>1.2949702166272783E-4</v>
      </c>
      <c r="N634" s="1"/>
    </row>
    <row r="635" spans="2:14" x14ac:dyDescent="0.3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SUMPRODUCT(("SUP_MNRBIO"=[2]OUT_SyntheticFuels!$C$4:$C$1000)*1,("Var_Fout"=[2]OUT_SyntheticFuels!$B$4:$B$1000)*1,("LTH"=[2]OUT_SyntheticFuels!$A$4:$A$1000)*1,[2]OUT_SyntheticFuels!I$4:I$1000)</f>
        <v>0</v>
      </c>
      <c r="K635" s="1" cm="1">
        <f t="array" ref="K635">SUMPRODUCT(("SUP_MNRBIO"=[2]OUT_SyntheticFuels!$C$4:$C$1000)*1,("Var_Fout"=[2]OUT_SyntheticFuels!$B$4:$B$1000)*1,("LTH"=[2]OUT_SyntheticFuels!$A$4:$A$1000)*1,[2]OUT_SyntheticFuels!J$4:J$1000)</f>
        <v>0</v>
      </c>
      <c r="L635" s="1" cm="1">
        <f t="array" ref="L635">SUMPRODUCT(("SUP_MNRBIO"=[2]OUT_SyntheticFuels!$C$4:$C$1000)*1,("Var_Fout"=[2]OUT_SyntheticFuels!$B$4:$B$1000)*1,("LTH"=[2]OUT_SyntheticFuels!$A$4:$A$1000)*1,[2]OUT_SyntheticFuels!K$4:K$1000)</f>
        <v>0</v>
      </c>
      <c r="N635" s="1"/>
    </row>
    <row r="636" spans="2:14" x14ac:dyDescent="0.3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669">SUM(G637:G640)</f>
        <v>0</v>
      </c>
      <c r="H636" s="1">
        <f t="shared" ref="H636" si="670">SUM(H637:H640)</f>
        <v>0</v>
      </c>
      <c r="I636" s="1">
        <f t="shared" ref="I636" si="671">SUM(I637:I640)</f>
        <v>0</v>
      </c>
      <c r="J636" s="1">
        <f t="shared" ref="J636" si="672">SUM(J637:J640)</f>
        <v>0</v>
      </c>
      <c r="K636" s="1">
        <f t="shared" ref="K636:L636" si="673">SUM(K637:K640)</f>
        <v>0</v>
      </c>
      <c r="L636" s="1">
        <f t="shared" si="673"/>
        <v>0</v>
      </c>
      <c r="N636" s="1"/>
    </row>
    <row r="637" spans="2:14" x14ac:dyDescent="0.3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SUMPRODUCT(("SUP_WSTBIO"=[2]OUT_SyntheticFuels!$C$4:$C$1000)*1,("LTH"=[2]OUT_SyntheticFuels!$A$4:$A$1000)*1,("Var_Fout"=[2]OUT_SyntheticFuels!$B$4:$B$1000)*1,[2]OUT_SyntheticFuels!I$4:I$1000)</f>
        <v>0</v>
      </c>
      <c r="K637" s="1" cm="1">
        <f t="array" ref="K637">SUMPRODUCT(("SUP_WSTBIO"=[2]OUT_SyntheticFuels!$C$4:$C$1000)*1,("LTH"=[2]OUT_SyntheticFuels!$A$4:$A$1000)*1,("Var_Fout"=[2]OUT_SyntheticFuels!$B$4:$B$1000)*1,[2]OUT_SyntheticFuels!J$4:J$1000)</f>
        <v>0</v>
      </c>
      <c r="L637" s="1" cm="1">
        <f t="array" ref="L637">SUMPRODUCT(("SUP_WSTBIO"=[2]OUT_SyntheticFuels!$C$4:$C$1000)*1,("LTH"=[2]OUT_SyntheticFuels!$A$4:$A$1000)*1,("Var_Fout"=[2]OUT_SyntheticFuels!$B$4:$B$1000)*1,[2]OUT_SyntheticFuels!K$4:K$1000)</f>
        <v>0</v>
      </c>
      <c r="N637" s="1"/>
    </row>
    <row r="638" spans="2:14" x14ac:dyDescent="0.3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SUMPRODUCT(("SUP_WSTBIOCCS"=[2]OUT_SyntheticFuels!$C$4:$C$1000)*1,("LTH"=[2]OUT_SyntheticFuels!$A$4:$A$1000)*1,("Var_Fout"=[2]OUT_SyntheticFuels!$B$4:$B$1000)*1,[2]OUT_SyntheticFuels!I$4:I$1000)</f>
        <v>0</v>
      </c>
      <c r="K638" s="1" cm="1">
        <f t="array" ref="K638">SUMPRODUCT(("SUP_WSTBIOCCS"=[2]OUT_SyntheticFuels!$C$4:$C$1000)*1,("LTH"=[2]OUT_SyntheticFuels!$A$4:$A$1000)*1,("Var_Fout"=[2]OUT_SyntheticFuels!$B$4:$B$1000)*1,[2]OUT_SyntheticFuels!J$4:J$1000)</f>
        <v>0</v>
      </c>
      <c r="L638" s="1" cm="1">
        <f t="array" ref="L638">SUMPRODUCT(("SUP_WSTBIOCCS"=[2]OUT_SyntheticFuels!$C$4:$C$1000)*1,("LTH"=[2]OUT_SyntheticFuels!$A$4:$A$1000)*1,("Var_Fout"=[2]OUT_SyntheticFuels!$B$4:$B$1000)*1,[2]OUT_SyntheticFuels!K$4:K$1000)</f>
        <v>0</v>
      </c>
      <c r="N638" s="1"/>
    </row>
    <row r="639" spans="2:14" x14ac:dyDescent="0.3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SUMPRODUCT(("SUP_WSTHTGBIO"=[2]OUT_SyntheticFuels!$C$4:$C$1000)*1,("LTH"=[2]OUT_SyntheticFuels!$A$4:$A$1000)*1,("Var_Fout"=[2]OUT_SyntheticFuels!$B$4:$B$1000)*1,[2]OUT_SyntheticFuels!I$4:I$1000)</f>
        <v>0</v>
      </c>
      <c r="K639" s="1" cm="1">
        <f t="array" ref="K639">SUMPRODUCT(("SUP_WSTHTGBIO"=[2]OUT_SyntheticFuels!$C$4:$C$1000)*1,("LTH"=[2]OUT_SyntheticFuels!$A$4:$A$1000)*1,("Var_Fout"=[2]OUT_SyntheticFuels!$B$4:$B$1000)*1,[2]OUT_SyntheticFuels!J$4:J$1000)</f>
        <v>0</v>
      </c>
      <c r="L639" s="1" cm="1">
        <f t="array" ref="L639">SUMPRODUCT(("SUP_WSTHTGBIO"=[2]OUT_SyntheticFuels!$C$4:$C$1000)*1,("LTH"=[2]OUT_SyntheticFuels!$A$4:$A$1000)*1,("Var_Fout"=[2]OUT_SyntheticFuels!$B$4:$B$1000)*1,[2]OUT_SyntheticFuels!K$4:K$1000)</f>
        <v>0</v>
      </c>
      <c r="N639" s="1"/>
    </row>
    <row r="640" spans="2:14" x14ac:dyDescent="0.3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SUMPRODUCT(("SUP_WSTHTGBIOCCS"=[2]OUT_SyntheticFuels!$C$4:$C$1000)*1,("LTH"=[2]OUT_SyntheticFuels!$A$4:$A$1000)*1,("Var_Fout"=[2]OUT_SyntheticFuels!$B$4:$B$1000)*1,[2]OUT_SyntheticFuels!I$4:I$1000)</f>
        <v>0</v>
      </c>
      <c r="K640" s="1" cm="1">
        <f t="array" ref="K640">SUMPRODUCT(("SUP_WSTHTGBIOCCS"=[2]OUT_SyntheticFuels!$C$4:$C$1000)*1,("LTH"=[2]OUT_SyntheticFuels!$A$4:$A$1000)*1,("Var_Fout"=[2]OUT_SyntheticFuels!$B$4:$B$1000)*1,[2]OUT_SyntheticFuels!J$4:J$1000)</f>
        <v>0</v>
      </c>
      <c r="L640" s="1" cm="1">
        <f t="array" ref="L640">SUMPRODUCT(("SUP_WSTHTGBIOCCS"=[2]OUT_SyntheticFuels!$C$4:$C$1000)*1,("LTH"=[2]OUT_SyntheticFuels!$A$4:$A$1000)*1,("Var_Fout"=[2]OUT_SyntheticFuels!$B$4:$B$1000)*1,[2]OUT_SyntheticFuels!K$4:K$1000)</f>
        <v>0</v>
      </c>
      <c r="N640" s="1"/>
    </row>
    <row r="641" spans="2:14" x14ac:dyDescent="0.3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674">SUM(G642:G643)</f>
        <v>5.4985417435690089E-4</v>
      </c>
      <c r="H641" s="1">
        <f t="shared" ref="H641" si="675">SUM(H642:H643)</f>
        <v>2.4855215523008283E-4</v>
      </c>
      <c r="I641" s="1">
        <f t="shared" ref="I641" si="676">SUM(I642:I643)</f>
        <v>8.1185666583931209E-4</v>
      </c>
      <c r="J641" s="1">
        <f t="shared" ref="J641" si="677">SUM(J642:J643)</f>
        <v>2.9420751843913464E-5</v>
      </c>
      <c r="K641" s="1">
        <f t="shared" ref="K641:L641" si="678">SUM(K642:K643)</f>
        <v>1.2866569497499647E-4</v>
      </c>
      <c r="L641" s="1">
        <f t="shared" si="678"/>
        <v>1.2949702166272783E-4</v>
      </c>
      <c r="N641" s="1"/>
    </row>
    <row r="642" spans="2:14" x14ac:dyDescent="0.3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5.4985417435690089E-4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2.4855215523008283E-4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8.1185666583931209E-4</v>
      </c>
      <c r="J642" s="1" cm="1">
        <f t="array" ref="J642">SUMPRODUCT(("SUP_WODBIO"=[2]OUT_SyntheticFuels!$C$4:$C$1000)*1,("LTH"=[2]OUT_SyntheticFuels!$A$4:$A$1000)*1,("Var_Fout"=[2]OUT_SyntheticFuels!$B$4:$B$1000)*1,[2]OUT_SyntheticFuels!I$4:I$1000)</f>
        <v>2.9420751843913464E-5</v>
      </c>
      <c r="K642" s="1" cm="1">
        <f t="array" ref="K642">SUMPRODUCT(("SUP_WODBIO"=[2]OUT_SyntheticFuels!$C$4:$C$1000)*1,("LTH"=[2]OUT_SyntheticFuels!$A$4:$A$1000)*1,("Var_Fout"=[2]OUT_SyntheticFuels!$B$4:$B$1000)*1,[2]OUT_SyntheticFuels!J$4:J$1000)</f>
        <v>1.2866569497499647E-4</v>
      </c>
      <c r="L642" s="1" cm="1">
        <f t="array" ref="L642">SUMPRODUCT(("SUP_WODBIO"=[2]OUT_SyntheticFuels!$C$4:$C$1000)*1,("LTH"=[2]OUT_SyntheticFuels!$A$4:$A$1000)*1,("Var_Fout"=[2]OUT_SyntheticFuels!$B$4:$B$1000)*1,[2]OUT_SyntheticFuels!K$4:K$1000)</f>
        <v>1.2949702166272783E-4</v>
      </c>
      <c r="N642" s="1"/>
    </row>
    <row r="643" spans="2:14" x14ac:dyDescent="0.3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SUMPRODUCT(("SUP_WODBIOCCS"=[2]OUT_SyntheticFuels!$C$4:$C$1000)*1,("LTH"=[2]OUT_SyntheticFuels!$A$4:$A$1000)*1,("Var_Fout"=[2]OUT_SyntheticFuels!$B$4:$B$1000)*1,[2]OUT_SyntheticFuels!I$4:I$1000)</f>
        <v>0</v>
      </c>
      <c r="K643" s="1" cm="1">
        <f t="array" ref="K643">SUMPRODUCT(("SUP_WODBIOCCS"=[2]OUT_SyntheticFuels!$C$4:$C$1000)*1,("LTH"=[2]OUT_SyntheticFuels!$A$4:$A$1000)*1,("Var_Fout"=[2]OUT_SyntheticFuels!$B$4:$B$1000)*1,[2]OUT_SyntheticFuels!J$4:J$1000)</f>
        <v>0</v>
      </c>
      <c r="L643" s="1" cm="1">
        <f t="array" ref="L643">SUMPRODUCT(("SUP_WODBIOCCS"=[2]OUT_SyntheticFuels!$C$4:$C$1000)*1,("LTH"=[2]OUT_SyntheticFuels!$A$4:$A$1000)*1,("Var_Fout"=[2]OUT_SyntheticFuels!$B$4:$B$1000)*1,[2]OUT_SyntheticFuels!K$4:K$1000)</f>
        <v>0</v>
      </c>
      <c r="N643" s="1"/>
    </row>
    <row r="644" spans="2:14" x14ac:dyDescent="0.3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13.477749400250779</v>
      </c>
      <c r="G644" s="3">
        <f t="shared" ref="G644" si="679">G645+G646+G651</f>
        <v>23.537632660948859</v>
      </c>
      <c r="H644" s="3">
        <f t="shared" ref="H644" si="680">H645+H646+H651</f>
        <v>22.724062806180502</v>
      </c>
      <c r="I644" s="3">
        <f t="shared" ref="I644" si="681">I645+I646+I651</f>
        <v>24.449989843615036</v>
      </c>
      <c r="J644" s="3">
        <f t="shared" ref="J644" si="682">J645+J646+J651</f>
        <v>25.708109178895445</v>
      </c>
      <c r="K644" s="3">
        <f t="shared" ref="K644:L644" si="683">K645+K646+K651</f>
        <v>29.235570721040446</v>
      </c>
      <c r="L644" s="3">
        <f t="shared" si="683"/>
        <v>31.730504760683196</v>
      </c>
      <c r="N644" s="1"/>
    </row>
    <row r="645" spans="2:14" x14ac:dyDescent="0.3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3.7982918878914633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12.540359083790694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12.540421416964007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12.540431121177249</v>
      </c>
      <c r="J645" s="1" cm="1">
        <f t="array" ref="J645">SUMPRODUCT(("SUP_MNRBIO"=[2]OUT_SyntheticFuels!$C$4:$C$1000)*1,("VAR_FIN"=[2]OUT_SyntheticFuels!$B$4:$B$1000)*1,("MNR"=[2]OUT_SyntheticFuels!$A$4:$A$1000)*1,[2]OUT_SyntheticFuels!I$4:I$1000)</f>
        <v>12.540430762020369</v>
      </c>
      <c r="K645" s="1" cm="1">
        <f t="array" ref="K645">SUMPRODUCT(("SUP_MNRBIO"=[2]OUT_SyntheticFuels!$C$4:$C$1000)*1,("VAR_FIN"=[2]OUT_SyntheticFuels!$B$4:$B$1000)*1,("MNR"=[2]OUT_SyntheticFuels!$A$4:$A$1000)*1,[2]OUT_SyntheticFuels!J$4:J$1000)</f>
        <v>14.632483806504947</v>
      </c>
      <c r="L645" s="1" cm="1">
        <f t="array" ref="L645">SUMPRODUCT(("SUP_MNRBIO"=[2]OUT_SyntheticFuels!$C$4:$C$1000)*1,("VAR_FIN"=[2]OUT_SyntheticFuels!$B$4:$B$1000)*1,("MNR"=[2]OUT_SyntheticFuels!$A$4:$A$1000)*1,[2]OUT_SyntheticFuels!K$4:K$1000)</f>
        <v>14.632491929063773</v>
      </c>
      <c r="N645" s="1"/>
    </row>
    <row r="646" spans="2:14" x14ac:dyDescent="0.3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9.6794575123593152</v>
      </c>
      <c r="G646" s="1">
        <f t="shared" ref="G646" si="684">SUM(G647:G650)</f>
        <v>10.991087717696651</v>
      </c>
      <c r="H646" s="1">
        <f t="shared" ref="H646" si="685">SUM(H647:H650)</f>
        <v>10.180845177470154</v>
      </c>
      <c r="I646" s="1">
        <f t="shared" ref="I646" si="686">SUM(I647:I650)</f>
        <v>11.900425334947096</v>
      </c>
      <c r="J646" s="1">
        <f t="shared" ref="J646" si="687">SUM(J647:J650)</f>
        <v>13.167347433416829</v>
      </c>
      <c r="K646" s="1">
        <f t="shared" ref="K646:L646" si="688">SUM(K647:K650)</f>
        <v>14.601639425467029</v>
      </c>
      <c r="L646" s="1">
        <f t="shared" si="688"/>
        <v>17.096555990125719</v>
      </c>
      <c r="N646" s="1"/>
    </row>
    <row r="647" spans="2:14" x14ac:dyDescent="0.3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9.6794575123593152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10.991087717696651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10.180845177470154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11.900425334947096</v>
      </c>
      <c r="J647" s="1" cm="1">
        <f t="array" ref="J647">SUMPRODUCT(("SUP_WSTBIO"=[2]OUT_SyntheticFuels!$C$4:$C$1000)*1,("CWST"=[2]OUT_SyntheticFuels!$A$4:$A$1000)*1,("VAR_FIN"=[2]OUT_SyntheticFuels!$B$4:$B$1000)*1,[2]OUT_SyntheticFuels!I$4:I$1000)</f>
        <v>13.167347433416829</v>
      </c>
      <c r="K647" s="1" cm="1">
        <f t="array" ref="K647">SUMPRODUCT(("SUP_WSTBIO"=[2]OUT_SyntheticFuels!$C$4:$C$1000)*1,("CWST"=[2]OUT_SyntheticFuels!$A$4:$A$1000)*1,("VAR_FIN"=[2]OUT_SyntheticFuels!$B$4:$B$1000)*1,[2]OUT_SyntheticFuels!J$4:J$1000)</f>
        <v>14.457056506520173</v>
      </c>
      <c r="L647" s="1" cm="1">
        <f t="array" ref="L647">SUMPRODUCT(("SUP_WSTBIO"=[2]OUT_SyntheticFuels!$C$4:$C$1000)*1,("CWST"=[2]OUT_SyntheticFuels!$A$4:$A$1000)*1,("VAR_FIN"=[2]OUT_SyntheticFuels!$B$4:$B$1000)*1,[2]OUT_SyntheticFuels!K$4:K$1000)</f>
        <v>16.927279119011057</v>
      </c>
      <c r="N647" s="1"/>
    </row>
    <row r="648" spans="2:14" x14ac:dyDescent="0.3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SUMPRODUCT(("SUP_WSTBIOCCS"=[2]OUT_SyntheticFuels!$C$4:$C$1000)*1,("CWST"=[2]OUT_SyntheticFuels!$A$4:$A$1000)*1,("VAR_FIN"=[2]OUT_SyntheticFuels!$B$4:$B$1000)*1,[2]OUT_SyntheticFuels!I$4:I$1000)</f>
        <v>0</v>
      </c>
      <c r="K648" s="1" cm="1">
        <f t="array" ref="K648">SUMPRODUCT(("SUP_WSTBIOCCS"=[2]OUT_SyntheticFuels!$C$4:$C$1000)*1,("CWST"=[2]OUT_SyntheticFuels!$A$4:$A$1000)*1,("VAR_FIN"=[2]OUT_SyntheticFuels!$B$4:$B$1000)*1,[2]OUT_SyntheticFuels!J$4:J$1000)</f>
        <v>0</v>
      </c>
      <c r="L648" s="1" cm="1">
        <f t="array" ref="L648">SUMPRODUCT(("SUP_WSTBIOCCS"=[2]OUT_SyntheticFuels!$C$4:$C$1000)*1,("CWST"=[2]OUT_SyntheticFuels!$A$4:$A$1000)*1,("VAR_FIN"=[2]OUT_SyntheticFuels!$B$4:$B$1000)*1,[2]OUT_SyntheticFuels!K$4:K$1000)</f>
        <v>0</v>
      </c>
      <c r="N648" s="1"/>
    </row>
    <row r="649" spans="2:14" x14ac:dyDescent="0.3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SUMPRODUCT(("SUP_WSTHTGBIO"=[2]OUT_SyntheticFuels!$C$4:$C$1000)*1,("CWST"=[2]OUT_SyntheticFuels!$A$4:$A$1000)*1,("VAR_FIN"=[2]OUT_SyntheticFuels!$B$4:$B$1000)*1,[2]OUT_SyntheticFuels!I$4:I$1000)</f>
        <v>0</v>
      </c>
      <c r="K649" s="1" cm="1">
        <f t="array" ref="K649">SUMPRODUCT(("SUP_WSTHTGBIO"=[2]OUT_SyntheticFuels!$C$4:$C$1000)*1,("CWST"=[2]OUT_SyntheticFuels!$A$4:$A$1000)*1,("VAR_FIN"=[2]OUT_SyntheticFuels!$B$4:$B$1000)*1,[2]OUT_SyntheticFuels!J$4:J$1000)</f>
        <v>0.14458291894685651</v>
      </c>
      <c r="L649" s="1" cm="1">
        <f t="array" ref="L649">SUMPRODUCT(("SUP_WSTHTGBIO"=[2]OUT_SyntheticFuels!$C$4:$C$1000)*1,("CWST"=[2]OUT_SyntheticFuels!$A$4:$A$1000)*1,("VAR_FIN"=[2]OUT_SyntheticFuels!$B$4:$B$1000)*1,[2]OUT_SyntheticFuels!K$4:K$1000)</f>
        <v>0.16927687111466047</v>
      </c>
      <c r="N649" s="1"/>
    </row>
    <row r="650" spans="2:14" x14ac:dyDescent="0.3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SUMPRODUCT(("SUP_WSTHTGBIOCCS"=[2]OUT_SyntheticFuels!$C$4:$C$1000)*1,("CWST"=[2]OUT_SyntheticFuels!$A$4:$A$1000)*1,("VAR_FIN"=[2]OUT_SyntheticFuels!$B$4:$B$1000)*1,[2]OUT_SyntheticFuels!I$4:I$1000)</f>
        <v>0</v>
      </c>
      <c r="K650" s="1" cm="1">
        <f t="array" ref="K650">SUMPRODUCT(("SUP_WSTHTGBIOCCS"=[2]OUT_SyntheticFuels!$C$4:$C$1000)*1,("CWST"=[2]OUT_SyntheticFuels!$A$4:$A$1000)*1,("VAR_FIN"=[2]OUT_SyntheticFuels!$B$4:$B$1000)*1,[2]OUT_SyntheticFuels!J$4:J$1000)</f>
        <v>0</v>
      </c>
      <c r="L650" s="1" cm="1">
        <f t="array" ref="L650">SUMPRODUCT(("SUP_WSTHTGBIOCCS"=[2]OUT_SyntheticFuels!$C$4:$C$1000)*1,("CWST"=[2]OUT_SyntheticFuels!$A$4:$A$1000)*1,("VAR_FIN"=[2]OUT_SyntheticFuels!$B$4:$B$1000)*1,[2]OUT_SyntheticFuels!K$4:K$1000)</f>
        <v>0</v>
      </c>
      <c r="N650" s="1"/>
    </row>
    <row r="651" spans="2:14" x14ac:dyDescent="0.3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689">SUM(G652:G653)</f>
        <v>6.1858594615151257E-3</v>
      </c>
      <c r="H651" s="1">
        <f t="shared" ref="H651" si="690">SUM(H652:H653)</f>
        <v>2.7962117463384306E-3</v>
      </c>
      <c r="I651" s="1">
        <f t="shared" ref="I651" si="691">SUM(I652:I653)</f>
        <v>9.1333874906922713E-3</v>
      </c>
      <c r="J651" s="1">
        <f t="shared" ref="J651" si="692">SUM(J652:J653)</f>
        <v>3.3098345824402641E-4</v>
      </c>
      <c r="K651" s="1">
        <f t="shared" ref="K651:L651" si="693">SUM(K652:K653)</f>
        <v>1.4474890684687113E-3</v>
      </c>
      <c r="L651" s="1">
        <f t="shared" si="693"/>
        <v>1.4568414937056889E-3</v>
      </c>
      <c r="N651" s="1"/>
    </row>
    <row r="652" spans="2:14" x14ac:dyDescent="0.3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6.1858594615151257E-3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2.7962117463384306E-3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9.1333874906922713E-3</v>
      </c>
      <c r="J652" s="1" cm="1">
        <f t="array" ref="J652">SUMPRODUCT(("SUP_WODBIO"=[2]OUT_SyntheticFuels!$C$4:$C$1000)*1,("CWOD"=[2]OUT_SyntheticFuels!$A$4:$A$1000)*1,("VAR_FIN"=[2]OUT_SyntheticFuels!$B$4:$B$1000)*1,[2]OUT_SyntheticFuels!I$4:I$1000)</f>
        <v>3.3098345824402641E-4</v>
      </c>
      <c r="K652" s="1" cm="1">
        <f t="array" ref="K652">SUMPRODUCT(("SUP_WODBIO"=[2]OUT_SyntheticFuels!$C$4:$C$1000)*1,("CWOD"=[2]OUT_SyntheticFuels!$A$4:$A$1000)*1,("VAR_FIN"=[2]OUT_SyntheticFuels!$B$4:$B$1000)*1,[2]OUT_SyntheticFuels!J$4:J$1000)</f>
        <v>1.4474890684687113E-3</v>
      </c>
      <c r="L652" s="1" cm="1">
        <f t="array" ref="L652">SUMPRODUCT(("SUP_WODBIO"=[2]OUT_SyntheticFuels!$C$4:$C$1000)*1,("CWOD"=[2]OUT_SyntheticFuels!$A$4:$A$1000)*1,("VAR_FIN"=[2]OUT_SyntheticFuels!$B$4:$B$1000)*1,[2]OUT_SyntheticFuels!K$4:K$1000)</f>
        <v>1.4568414937056889E-3</v>
      </c>
      <c r="N652" s="1"/>
    </row>
    <row r="653" spans="2:14" x14ac:dyDescent="0.3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SUMPRODUCT(("SUP_WODBIOCCS"=[2]OUT_SyntheticFuels!$C$4:$C$1000)*1,("CWOD"=[2]OUT_SyntheticFuels!$A$4:$A$1000)*1,("VAR_FIN"=[2]OUT_SyntheticFuels!$B$4:$B$1000)*1,[2]OUT_SyntheticFuels!I$4:I$1000)</f>
        <v>0</v>
      </c>
      <c r="K653" s="1" cm="1">
        <f t="array" ref="K653">SUMPRODUCT(("SUP_WODBIOCCS"=[2]OUT_SyntheticFuels!$C$4:$C$1000)*1,("CWOD"=[2]OUT_SyntheticFuels!$A$4:$A$1000)*1,("VAR_FIN"=[2]OUT_SyntheticFuels!$B$4:$B$1000)*1,[2]OUT_SyntheticFuels!J$4:J$1000)</f>
        <v>0</v>
      </c>
      <c r="L653" s="1" cm="1">
        <f t="array" ref="L653">SUMPRODUCT(("SUP_WODBIOCCS"=[2]OUT_SyntheticFuels!$C$4:$C$1000)*1,("CWOD"=[2]OUT_SyntheticFuels!$A$4:$A$1000)*1,("VAR_FIN"=[2]OUT_SyntheticFuels!$B$4:$B$1000)*1,[2]OUT_SyntheticFuels!K$4:K$1000)</f>
        <v>0</v>
      </c>
      <c r="N653" s="1"/>
    </row>
    <row r="654" spans="2:14" x14ac:dyDescent="0.3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N654" s="1"/>
    </row>
    <row r="655" spans="2:14" x14ac:dyDescent="0.3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694">IFERROR(SUM(F635,F625,F615)/F645,"-")</f>
        <v>0.34965034965035013</v>
      </c>
      <c r="G655" s="4">
        <f t="shared" si="694"/>
        <v>0.34965034965035019</v>
      </c>
      <c r="H655" s="4">
        <f t="shared" si="694"/>
        <v>0.34965034965035019</v>
      </c>
      <c r="I655" s="4">
        <f t="shared" si="694"/>
        <v>0.3496503496503498</v>
      </c>
      <c r="J655" s="4">
        <f t="shared" si="694"/>
        <v>0.34965034965035013</v>
      </c>
      <c r="K655" s="4">
        <f t="shared" si="694"/>
        <v>0.34965034965034997</v>
      </c>
      <c r="L655" s="4">
        <f t="shared" ref="L655" si="695">IFERROR(SUM(L635,L625,L615)/L645,"-")</f>
        <v>0.34965034965034975</v>
      </c>
      <c r="N655" s="1"/>
    </row>
    <row r="656" spans="2:14" x14ac:dyDescent="0.3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696">IFERROR(SUM(F637,F627,F617)/F647,"-")</f>
        <v>0.59322033898305038</v>
      </c>
      <c r="G656" s="4">
        <f t="shared" si="696"/>
        <v>0.59322033898305049</v>
      </c>
      <c r="H656" s="4">
        <f t="shared" si="696"/>
        <v>0.59322033898305138</v>
      </c>
      <c r="I656" s="4">
        <f t="shared" si="696"/>
        <v>0.5932203389830506</v>
      </c>
      <c r="J656" s="4">
        <f t="shared" si="696"/>
        <v>0.59322033898305138</v>
      </c>
      <c r="K656" s="4">
        <f t="shared" si="696"/>
        <v>0.59322033898305027</v>
      </c>
      <c r="L656" s="4">
        <f t="shared" ref="L656" si="697">IFERROR(SUM(L637,L627,L617)/L647,"-")</f>
        <v>0.59322033898305127</v>
      </c>
      <c r="N656" s="1"/>
    </row>
    <row r="657" spans="2:14" x14ac:dyDescent="0.3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696"/>
        <v>-</v>
      </c>
      <c r="G657" s="4" t="str">
        <f t="shared" si="696"/>
        <v>-</v>
      </c>
      <c r="H657" s="4" t="str">
        <f t="shared" si="696"/>
        <v>-</v>
      </c>
      <c r="I657" s="4" t="str">
        <f t="shared" si="696"/>
        <v>-</v>
      </c>
      <c r="J657" s="4" t="str">
        <f t="shared" si="696"/>
        <v>-</v>
      </c>
      <c r="K657" s="4" t="str">
        <f t="shared" si="696"/>
        <v>-</v>
      </c>
      <c r="L657" s="4" t="str">
        <f t="shared" ref="L657" si="698">IFERROR(SUM(L638,L628,L618)/L648,"-")</f>
        <v>-</v>
      </c>
      <c r="N657" s="1"/>
    </row>
    <row r="658" spans="2:14" x14ac:dyDescent="0.3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696"/>
        <v>-</v>
      </c>
      <c r="G658" s="4" t="str">
        <f t="shared" si="696"/>
        <v>-</v>
      </c>
      <c r="H658" s="4" t="str">
        <f t="shared" si="696"/>
        <v>-</v>
      </c>
      <c r="I658" s="4" t="str">
        <f t="shared" si="696"/>
        <v>-</v>
      </c>
      <c r="J658" s="4" t="str">
        <f t="shared" si="696"/>
        <v>-</v>
      </c>
      <c r="K658" s="4">
        <f t="shared" si="696"/>
        <v>0.70000000000000073</v>
      </c>
      <c r="L658" s="4">
        <f t="shared" ref="L658" si="699">IFERROR(SUM(L639,L629,L619)/L649,"-")</f>
        <v>0.70000000000000007</v>
      </c>
      <c r="N658" s="1"/>
    </row>
    <row r="659" spans="2:14" x14ac:dyDescent="0.3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696"/>
        <v>-</v>
      </c>
      <c r="G659" s="4" t="str">
        <f t="shared" si="696"/>
        <v>-</v>
      </c>
      <c r="H659" s="4" t="str">
        <f t="shared" si="696"/>
        <v>-</v>
      </c>
      <c r="I659" s="4" t="str">
        <f t="shared" si="696"/>
        <v>-</v>
      </c>
      <c r="J659" s="4" t="str">
        <f t="shared" si="696"/>
        <v>-</v>
      </c>
      <c r="K659" s="4" t="str">
        <f t="shared" si="696"/>
        <v>-</v>
      </c>
      <c r="L659" s="4" t="str">
        <f t="shared" ref="L659" si="700">IFERROR(SUM(L640,L630,L620)/L650,"-")</f>
        <v>-</v>
      </c>
      <c r="N659" s="1"/>
    </row>
    <row r="660" spans="2:14" x14ac:dyDescent="0.3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01">IFERROR(SUM(F642,F632,F622)/F652,"-")</f>
        <v>-</v>
      </c>
      <c r="G660" s="4">
        <f t="shared" si="701"/>
        <v>0.85925925925925928</v>
      </c>
      <c r="H660" s="4">
        <f t="shared" si="701"/>
        <v>0.8592592592592605</v>
      </c>
      <c r="I660" s="4">
        <f t="shared" si="701"/>
        <v>0.85925925925925828</v>
      </c>
      <c r="J660" s="4">
        <f t="shared" si="701"/>
        <v>0.85925925925925917</v>
      </c>
      <c r="K660" s="4">
        <f t="shared" si="701"/>
        <v>0.85925925925925872</v>
      </c>
      <c r="L660" s="4">
        <f t="shared" ref="L660" si="702">IFERROR(SUM(L642,L632,L622)/L652,"-")</f>
        <v>0.85925925925925817</v>
      </c>
      <c r="N660" s="1"/>
    </row>
    <row r="661" spans="2:14" x14ac:dyDescent="0.3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01"/>
        <v>-</v>
      </c>
      <c r="G661" s="4" t="str">
        <f t="shared" si="701"/>
        <v>-</v>
      </c>
      <c r="H661" s="4" t="str">
        <f t="shared" si="701"/>
        <v>-</v>
      </c>
      <c r="I661" s="4" t="str">
        <f t="shared" si="701"/>
        <v>-</v>
      </c>
      <c r="J661" s="4" t="str">
        <f t="shared" si="701"/>
        <v>-</v>
      </c>
      <c r="K661" s="4" t="str">
        <f t="shared" si="701"/>
        <v>-</v>
      </c>
      <c r="L661" s="4" t="str">
        <f t="shared" ref="L661" si="703">IFERROR(SUM(L643,L633,L623)/L653,"-")</f>
        <v>-</v>
      </c>
      <c r="N661" s="1"/>
    </row>
    <row r="662" spans="2:14" x14ac:dyDescent="0.3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5.0244558197298922E-3</v>
      </c>
      <c r="G662" s="3">
        <f t="shared" ref="G662:K662" si="704">SUM(G663,G667,G676)</f>
        <v>2.0506674049789439E-2</v>
      </c>
      <c r="H662" s="3">
        <f t="shared" si="704"/>
        <v>2.1291578446892351E-2</v>
      </c>
      <c r="I662" s="3">
        <f t="shared" si="704"/>
        <v>9.9308030190094682E-2</v>
      </c>
      <c r="J662" s="3">
        <f t="shared" si="704"/>
        <v>9.7905228935303672</v>
      </c>
      <c r="K662" s="3">
        <f t="shared" si="704"/>
        <v>37.357283308174715</v>
      </c>
      <c r="L662" s="3">
        <f t="shared" ref="L662" si="705">SUM(L663,L667,L676)</f>
        <v>41.270726392577608</v>
      </c>
      <c r="N662" s="1"/>
    </row>
    <row r="663" spans="2:14" x14ac:dyDescent="0.3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5.0244558197298922E-3</v>
      </c>
      <c r="G663" s="1">
        <f>[1]Other_transformation!C$28</f>
        <v>2.0506674049789439E-2</v>
      </c>
      <c r="H663" s="1">
        <f>[1]Other_transformation!D$28</f>
        <v>2.1291578446892351E-2</v>
      </c>
      <c r="I663" s="1">
        <f>[1]Other_transformation!E$28</f>
        <v>9.0407771843223725E-2</v>
      </c>
      <c r="J663" s="1">
        <f>[2]Other_transformation!F$28</f>
        <v>9.0290666329689664</v>
      </c>
      <c r="K663" s="1">
        <f>[2]Other_transformation!G$28</f>
        <v>35.912388614711325</v>
      </c>
      <c r="L663" s="1">
        <f>[2]Other_transformation!H$28</f>
        <v>40.120481976316015</v>
      </c>
      <c r="N663" s="1"/>
    </row>
    <row r="664" spans="2:14" x14ac:dyDescent="0.35">
      <c r="B664" t="str">
        <f t="shared" ref="B664:B675" si="706">B663</f>
        <v>SPS1</v>
      </c>
      <c r="C664" t="str">
        <f t="shared" ref="C664:C675" si="707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5.0244558197298922E-3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2.0506674049789439E-2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2.1291578446892351E-2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9.0276552669671578E-2</v>
      </c>
      <c r="J664" s="1" cm="1">
        <f t="array" ref="J664">SUMPRODUCT(("SUP_ELCH2"=[2]OUT_SyntheticFuels!$C$4:$C$1000)*1,ISNUMBER(SEARCH("h2",[2]OUT_SyntheticFuels!$A$4:$A$1000))*1,("Var_Fout"=[2]OUT_SyntheticFuels!$B$4:$B$1000)*1,[2]OUT_SyntheticFuels!I$4:I$1000)</f>
        <v>9.028689190662968</v>
      </c>
      <c r="K664" s="1" cm="1">
        <f t="array" ref="K664">SUMPRODUCT(("SUP_ELCH2"=[2]OUT_SyntheticFuels!$C$4:$C$1000)*1,ISNUMBER(SEARCH("h2",[2]OUT_SyntheticFuels!$A$4:$A$1000))*1,("Var_Fout"=[2]OUT_SyntheticFuels!$B$4:$B$1000)*1,[2]OUT_SyntheticFuels!J$4:J$1000)</f>
        <v>18.284362748617479</v>
      </c>
      <c r="L664" s="1" cm="1">
        <f t="array" ref="L664">SUMPRODUCT(("SUP_ELCH2"=[2]OUT_SyntheticFuels!$C$4:$C$1000)*1,ISNUMBER(SEARCH("h2",[2]OUT_SyntheticFuels!$A$4:$A$1000))*1,("Var_Fout"=[2]OUT_SyntheticFuels!$B$4:$B$1000)*1,[2]OUT_SyntheticFuels!K$4:K$1000)</f>
        <v>21.469015919384603</v>
      </c>
      <c r="N664" s="1"/>
    </row>
    <row r="665" spans="2:14" x14ac:dyDescent="0.35">
      <c r="B665" t="str">
        <f t="shared" ref="B665" si="708">B664</f>
        <v>SPS1</v>
      </c>
      <c r="C665" t="str">
        <f t="shared" ref="C665" si="709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1.3121917355214154E-4</v>
      </c>
      <c r="J665" s="1" cm="1">
        <f t="array" ref="J665">SUMPRODUCT(("SUP_ELCH2_D"=[2]OUT_SyntheticFuels!$C$4:$C$1000)*1,ISNUMBER(SEARCH("h2",[2]OUT_SyntheticFuels!$A$4:$A$1000))*1,("Var_Fout"=[2]OUT_SyntheticFuels!$B$4:$B$1000)*1,[2]OUT_SyntheticFuels!I$4:I$1000)</f>
        <v>3.7744230599796164E-4</v>
      </c>
      <c r="K665" s="1" cm="1">
        <f t="array" ref="K665">SUMPRODUCT(("SUP_ELCH2_D"=[2]OUT_SyntheticFuels!$C$4:$C$1000)*1,ISNUMBER(SEARCH("h2",[2]OUT_SyntheticFuels!$A$4:$A$1000))*1,("Var_Fout"=[2]OUT_SyntheticFuels!$B$4:$B$1000)*1,[2]OUT_SyntheticFuels!J$4:J$1000)</f>
        <v>17.613613604010762</v>
      </c>
      <c r="L665" s="1" cm="1">
        <f t="array" ref="L665">SUMPRODUCT(("SUP_ELCH2_D"=[2]OUT_SyntheticFuels!$C$4:$C$1000)*1,ISNUMBER(SEARCH("h2",[2]OUT_SyntheticFuels!$A$4:$A$1000))*1,("Var_Fout"=[2]OUT_SyntheticFuels!$B$4:$B$1000)*1,[2]OUT_SyntheticFuels!K$4:K$1000)</f>
        <v>18.636341124510341</v>
      </c>
      <c r="N665" s="1"/>
    </row>
    <row r="666" spans="2:14" x14ac:dyDescent="0.3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SUMPRODUCT(("SUP_ELCH2_SOEC"=[2]OUT_SyntheticFuels!$C$4:$C$1000)*1,ISNUMBER(SEARCH("H2",[2]OUT_SyntheticFuels!$A$4:$A$1000))*1,("Var_Fout"=[2]OUT_SyntheticFuels!$B$4:$B$1000)*1,[2]OUT_SyntheticFuels!I$4:I$1000)</f>
        <v>0</v>
      </c>
      <c r="K666" s="1" cm="1">
        <f t="array" ref="K666">SUMPRODUCT(("SUP_ELCH2_SOEC"=[2]OUT_SyntheticFuels!$C$4:$C$1000)*1,ISNUMBER(SEARCH("H2",[2]OUT_SyntheticFuels!$A$4:$A$1000))*1,("Var_Fout"=[2]OUT_SyntheticFuels!$B$4:$B$1000)*1,[2]OUT_SyntheticFuels!J$4:J$1000)</f>
        <v>1.4412262083084512E-2</v>
      </c>
      <c r="L666" s="1" cm="1">
        <f t="array" ref="L666">SUMPRODUCT(("SUP_ELCH2_SOEC"=[2]OUT_SyntheticFuels!$C$4:$C$1000)*1,ISNUMBER(SEARCH("H2",[2]OUT_SyntheticFuels!$A$4:$A$1000))*1,("Var_Fout"=[2]OUT_SyntheticFuels!$B$4:$B$1000)*1,[2]OUT_SyntheticFuels!K$4:K$1000)</f>
        <v>1.5124932421069505E-2</v>
      </c>
      <c r="N666" s="1"/>
    </row>
    <row r="667" spans="2:14" x14ac:dyDescent="0.35">
      <c r="B667" t="str">
        <f t="shared" si="706"/>
        <v>SPS1</v>
      </c>
      <c r="C667" t="str">
        <f t="shared" si="707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SUM([2]Other_transformation!F$29:F$30)</f>
        <v>0</v>
      </c>
      <c r="K667" s="1">
        <f>SUM([2]Other_transformation!G$29:G$30)</f>
        <v>0</v>
      </c>
      <c r="L667" s="1">
        <f>SUM([2]Other_transformation!H$29:H$30)</f>
        <v>6.1014261975950602E-4</v>
      </c>
      <c r="N667" s="1"/>
    </row>
    <row r="668" spans="2:14" x14ac:dyDescent="0.35">
      <c r="B668" t="str">
        <f t="shared" si="706"/>
        <v>SPS1</v>
      </c>
      <c r="C668" t="str">
        <f t="shared" si="707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[2]Other_transformation!F$29</f>
        <v>0</v>
      </c>
      <c r="K668" s="1">
        <f>[2]Other_transformation!G$29</f>
        <v>0</v>
      </c>
      <c r="L668" s="1">
        <f>[2]Other_transformation!H$29</f>
        <v>4.1480291607165216E-4</v>
      </c>
      <c r="N668" s="1"/>
    </row>
    <row r="669" spans="2:14" x14ac:dyDescent="0.35">
      <c r="B669" t="str">
        <f t="shared" si="706"/>
        <v>SPS1</v>
      </c>
      <c r="C669" t="str">
        <f t="shared" si="707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[2]Other_transformation!F$30</f>
        <v>0</v>
      </c>
      <c r="K669" s="1">
        <f>[2]Other_transformation!G$30</f>
        <v>0</v>
      </c>
      <c r="L669" s="1">
        <f>[2]Other_transformation!H$30</f>
        <v>1.9533970368785386E-4</v>
      </c>
      <c r="N669" s="1"/>
    </row>
    <row r="670" spans="2:14" x14ac:dyDescent="0.35">
      <c r="B670" t="str">
        <f t="shared" si="706"/>
        <v>SPS1</v>
      </c>
      <c r="C670" t="str">
        <f t="shared" si="707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10">G667-G673</f>
        <v>0</v>
      </c>
      <c r="H670" s="1">
        <f t="shared" si="710"/>
        <v>0</v>
      </c>
      <c r="I670" s="1">
        <f t="shared" si="710"/>
        <v>0</v>
      </c>
      <c r="J670" s="1">
        <f t="shared" si="710"/>
        <v>0</v>
      </c>
      <c r="K670" s="1">
        <f t="shared" si="710"/>
        <v>0</v>
      </c>
      <c r="L670" s="1">
        <f t="shared" ref="L670" si="711">L667-L673</f>
        <v>0</v>
      </c>
      <c r="N670" s="1"/>
    </row>
    <row r="671" spans="2:14" x14ac:dyDescent="0.35">
      <c r="B671" t="str">
        <f t="shared" si="706"/>
        <v>SPS1</v>
      </c>
      <c r="C671" t="str">
        <f t="shared" si="707"/>
        <v>CH</v>
      </c>
      <c r="D671" t="s">
        <v>607</v>
      </c>
      <c r="E671" s="5" t="s">
        <v>8</v>
      </c>
      <c r="F671" s="1">
        <f t="shared" ref="F671:K671" si="712">F668-F674</f>
        <v>0</v>
      </c>
      <c r="G671" s="1">
        <f t="shared" si="712"/>
        <v>0</v>
      </c>
      <c r="H671" s="1">
        <f t="shared" si="712"/>
        <v>0</v>
      </c>
      <c r="I671" s="1">
        <f t="shared" si="712"/>
        <v>0</v>
      </c>
      <c r="J671" s="1">
        <f t="shared" si="712"/>
        <v>0</v>
      </c>
      <c r="K671" s="1">
        <f t="shared" si="712"/>
        <v>0</v>
      </c>
      <c r="L671" s="1">
        <f t="shared" ref="L671" si="713">L668-L674</f>
        <v>0</v>
      </c>
      <c r="N671" s="1"/>
    </row>
    <row r="672" spans="2:14" x14ac:dyDescent="0.35">
      <c r="B672" t="str">
        <f t="shared" si="706"/>
        <v>SPS1</v>
      </c>
      <c r="C672" t="str">
        <f t="shared" si="707"/>
        <v>CH</v>
      </c>
      <c r="D672" t="s">
        <v>608</v>
      </c>
      <c r="E672" s="5" t="s">
        <v>8</v>
      </c>
      <c r="F672" s="1">
        <f t="shared" ref="F672:K672" si="714">F669-F675</f>
        <v>0</v>
      </c>
      <c r="G672" s="1">
        <f t="shared" si="714"/>
        <v>0</v>
      </c>
      <c r="H672" s="1">
        <f t="shared" si="714"/>
        <v>0</v>
      </c>
      <c r="I672" s="1">
        <f t="shared" si="714"/>
        <v>0</v>
      </c>
      <c r="J672" s="1">
        <f t="shared" si="714"/>
        <v>0</v>
      </c>
      <c r="K672" s="1">
        <f t="shared" si="714"/>
        <v>0</v>
      </c>
      <c r="L672" s="1">
        <f t="shared" ref="L672" si="715">L669-L675</f>
        <v>0</v>
      </c>
      <c r="N672" s="1"/>
    </row>
    <row r="673" spans="2:14" x14ac:dyDescent="0.35">
      <c r="B673" t="str">
        <f t="shared" si="706"/>
        <v>SPS1</v>
      </c>
      <c r="C673" t="str">
        <f t="shared" si="707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16">SUM(G674:G675)</f>
        <v>0</v>
      </c>
      <c r="H673" s="1">
        <f t="shared" si="716"/>
        <v>0</v>
      </c>
      <c r="I673" s="1">
        <f t="shared" si="716"/>
        <v>0</v>
      </c>
      <c r="J673" s="1">
        <f t="shared" si="716"/>
        <v>0</v>
      </c>
      <c r="K673" s="1">
        <f t="shared" si="716"/>
        <v>0</v>
      </c>
      <c r="L673" s="1">
        <f t="shared" ref="L673" si="717">SUM(L674:L675)</f>
        <v>6.1014261975950602E-4</v>
      </c>
      <c r="N673" s="1"/>
    </row>
    <row r="674" spans="2:14" x14ac:dyDescent="0.35">
      <c r="B674" t="str">
        <f t="shared" si="706"/>
        <v>SPS1</v>
      </c>
      <c r="C674" t="str">
        <f t="shared" si="707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IFERROR([2]Energy_Balances!F$157/([2]Energy_Balances!F$157+[2]Energy_Balances!F$72),0)*J668</f>
        <v>0</v>
      </c>
      <c r="K674" s="1">
        <f>IFERROR([2]Energy_Balances!G$157/([2]Energy_Balances!G$157+[2]Energy_Balances!G$72),0)*K668</f>
        <v>0</v>
      </c>
      <c r="L674" s="1">
        <f>IFERROR([2]Energy_Balances!H$157/([2]Energy_Balances!H$157+[2]Energy_Balances!H$72),0)*L668</f>
        <v>4.1480291607165216E-4</v>
      </c>
      <c r="N674" s="1"/>
    </row>
    <row r="675" spans="2:14" x14ac:dyDescent="0.35">
      <c r="B675" t="str">
        <f t="shared" si="706"/>
        <v>SPS1</v>
      </c>
      <c r="C675" t="str">
        <f t="shared" si="707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IFERROR([2]Energy_Balances!F$157/([2]Energy_Balances!F$157+[2]Energy_Balances!F$72),0)*J669</f>
        <v>0</v>
      </c>
      <c r="K675" s="1">
        <f>IFERROR([2]Energy_Balances!G$157/([2]Energy_Balances!G$157+[2]Energy_Balances!G$72),0)*K669</f>
        <v>0</v>
      </c>
      <c r="L675" s="1">
        <f>IFERROR([2]Energy_Balances!H$157/([2]Energy_Balances!H$157+[2]Energy_Balances!H$72),0)*L669</f>
        <v>1.9533970368785386E-4</v>
      </c>
      <c r="N675" s="1"/>
    </row>
    <row r="676" spans="2:14" x14ac:dyDescent="0.35">
      <c r="B676" t="str">
        <f t="shared" ref="B676:B678" si="718">B675</f>
        <v>SPS1</v>
      </c>
      <c r="C676" t="str">
        <f t="shared" ref="C676:C678" si="719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20">SUM(G677:G678)</f>
        <v>0</v>
      </c>
      <c r="H676" s="1">
        <f t="shared" si="720"/>
        <v>0</v>
      </c>
      <c r="I676" s="1">
        <f t="shared" si="720"/>
        <v>8.9002583468709602E-3</v>
      </c>
      <c r="J676" s="1">
        <f t="shared" si="720"/>
        <v>0.76145626056140103</v>
      </c>
      <c r="K676" s="1">
        <f t="shared" si="720"/>
        <v>1.4448946934633879</v>
      </c>
      <c r="L676" s="1">
        <f t="shared" ref="L676" si="721">SUM(L677:L678)</f>
        <v>1.1496342736418388</v>
      </c>
      <c r="N676" s="1"/>
    </row>
    <row r="677" spans="2:14" x14ac:dyDescent="0.35">
      <c r="B677" t="str">
        <f t="shared" si="718"/>
        <v>SPS1</v>
      </c>
      <c r="C677" t="str">
        <f t="shared" si="719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8.9002583468709602E-3</v>
      </c>
      <c r="J677" s="1">
        <f>[2]Other_transformation!F31</f>
        <v>0.76145626056140103</v>
      </c>
      <c r="K677" s="1">
        <f>[2]Other_transformation!G31</f>
        <v>1.4448946934633879</v>
      </c>
      <c r="L677" s="1">
        <f>[2]Other_transformation!H31</f>
        <v>1.1496342736418388</v>
      </c>
      <c r="N677" s="1"/>
    </row>
    <row r="678" spans="2:14" x14ac:dyDescent="0.35">
      <c r="B678" t="str">
        <f t="shared" si="718"/>
        <v>SPS1</v>
      </c>
      <c r="C678" t="str">
        <f t="shared" si="719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[2]Other_transformation!F32</f>
        <v>0</v>
      </c>
      <c r="K678" s="1">
        <f>[2]Other_transformation!G32</f>
        <v>0</v>
      </c>
      <c r="L678" s="1">
        <f>[2]Other_transformation!H32</f>
        <v>0</v>
      </c>
      <c r="N678" s="1"/>
    </row>
    <row r="679" spans="2:14" x14ac:dyDescent="0.3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7.3349719996056804E-3</v>
      </c>
      <c r="G679" s="3">
        <f t="shared" ref="G679:K679" si="722">SUM(G680,G684,G686,G695)</f>
        <v>2.9548521685575584E-2</v>
      </c>
      <c r="H679" s="3">
        <f t="shared" si="722"/>
        <v>3.0094103811861984E-2</v>
      </c>
      <c r="I679" s="3">
        <f t="shared" si="722"/>
        <v>0.13868002671038823</v>
      </c>
      <c r="J679" s="3">
        <f t="shared" si="722"/>
        <v>13.267853412743817</v>
      </c>
      <c r="K679" s="3">
        <f t="shared" si="722"/>
        <v>48.7446931281875</v>
      </c>
      <c r="L679" s="3">
        <f t="shared" ref="L679" si="723">SUM(L680,L684,L686,L695)</f>
        <v>50.842663502284637</v>
      </c>
      <c r="N679" s="1"/>
    </row>
    <row r="680" spans="2:14" x14ac:dyDescent="0.3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7.3349719996056804E-3</v>
      </c>
      <c r="G680" s="1">
        <f t="shared" ref="G680:K680" si="724">SUM(G681:G683)</f>
        <v>2.9548521685575584E-2</v>
      </c>
      <c r="H680" s="1">
        <f t="shared" si="724"/>
        <v>3.0094103811861984E-2</v>
      </c>
      <c r="I680" s="1">
        <f t="shared" si="724"/>
        <v>0.12384626279893661</v>
      </c>
      <c r="J680" s="1">
        <f t="shared" si="724"/>
        <v>11.998759645141481</v>
      </c>
      <c r="K680" s="1">
        <f t="shared" si="724"/>
        <v>46.334381749345297</v>
      </c>
      <c r="L680" s="1">
        <f t="shared" ref="L680" si="725">SUM(L681:L683)</f>
        <v>48.924096937170994</v>
      </c>
      <c r="N680" s="1"/>
    </row>
    <row r="681" spans="2:14" x14ac:dyDescent="0.35">
      <c r="B681" t="str">
        <f t="shared" ref="B681:B697" si="726">B680</f>
        <v>SPS1</v>
      </c>
      <c r="C681" t="str">
        <f t="shared" ref="C681:C697" si="727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7.3349719996056804E-3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2.9548521685575584E-2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3.0094103811861984E-2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0.12366651050639943</v>
      </c>
      <c r="J681" s="1" cm="1">
        <f t="array" ref="J681">SUMPRODUCT(("SUP_ELCH2"=[2]OUT_SyntheticFuels!$C$4:$C$1000)*1,ISNUMBER(SEARCH("ELC",[2]OUT_SyntheticFuels!$A$4:$A$1000))*1,("Var_Fin"=[2]OUT_SyntheticFuels!$B$4:$B$1000)*1,[2]OUT_SyntheticFuels!I$4:I$1000)</f>
        <v>11.998258060681684</v>
      </c>
      <c r="K681" s="1" cm="1">
        <f t="array" ref="K681">SUMPRODUCT(("SUP_ELCH2"=[2]OUT_SyntheticFuels!$C$4:$C$1000)*1,ISNUMBER(SEARCH("ELC",[2]OUT_SyntheticFuels!$A$4:$A$1000))*1,("Var_Fin"=[2]OUT_SyntheticFuels!$B$4:$B$1000)*1,[2]OUT_SyntheticFuels!J$4:J$1000)</f>
        <v>23.592726127248348</v>
      </c>
      <c r="L681" s="1" cm="1">
        <f t="array" ref="L681">SUMPRODUCT(("SUP_ELCH2"=[2]OUT_SyntheticFuels!$C$4:$C$1000)*1,ISNUMBER(SEARCH("ELC",[2]OUT_SyntheticFuels!$A$4:$A$1000))*1,("Var_Fin"=[2]OUT_SyntheticFuels!$B$4:$B$1000)*1,[2]OUT_SyntheticFuels!K$4:K$1000)</f>
        <v>26.181726730956818</v>
      </c>
      <c r="N681" s="1"/>
    </row>
    <row r="682" spans="2:14" x14ac:dyDescent="0.35">
      <c r="B682" t="str">
        <f t="shared" ref="B682" si="728">B681</f>
        <v>SPS1</v>
      </c>
      <c r="C682" t="str">
        <f t="shared" ref="C682" si="729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1.7975229253718033E-4</v>
      </c>
      <c r="J682" s="1" cm="1">
        <f t="array" ref="J682">SUMPRODUCT(("SUP_ELCH2_D"=[2]OUT_SyntheticFuels!$C$4:$C$1000)*1,ISNUMBER(SEARCH("ELC",[2]OUT_SyntheticFuels!$A$4:$A$1000))*1,("Var_Fin"=[2]OUT_SyntheticFuels!$B$4:$B$1000)*1,[2]OUT_SyntheticFuels!I$4:I$1000)</f>
        <v>5.015844597979558E-4</v>
      </c>
      <c r="K682" s="1" cm="1">
        <f t="array" ref="K682">SUMPRODUCT(("SUP_ELCH2_D"=[2]OUT_SyntheticFuels!$C$4:$C$1000)*1,ISNUMBER(SEARCH("ELC",[2]OUT_SyntheticFuels!$A$4:$A$1000))*1,("Var_Fin"=[2]OUT_SyntheticFuels!$B$4:$B$1000)*1,[2]OUT_SyntheticFuels!J$4:J$1000)</f>
        <v>22.727243360013862</v>
      </c>
      <c r="L682" s="1" cm="1">
        <f t="array" ref="L682">SUMPRODUCT(("SUP_ELCH2_D"=[2]OUT_SyntheticFuels!$C$4:$C$1000)*1,ISNUMBER(SEARCH("ELC",[2]OUT_SyntheticFuels!$A$4:$A$1000))*1,("Var_Fin"=[2]OUT_SyntheticFuels!$B$4:$B$1000)*1,[2]OUT_SyntheticFuels!K$4:K$1000)</f>
        <v>22.727245273793109</v>
      </c>
      <c r="N682" s="1"/>
    </row>
    <row r="683" spans="2:14" x14ac:dyDescent="0.3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SUMPRODUCT(("SUP_ELCH2_SOEC"=[2]OUT_SyntheticFuels!$C$4:$C$1000)*1,ISNUMBER(SEARCH("ELC",[2]OUT_SyntheticFuels!$A$4:$A$1000))*1,("Var_Fin"=[2]OUT_SyntheticFuels!$B$4:$B$1000)*1,[2]OUT_SyntheticFuels!I$4:I$1000)</f>
        <v>0</v>
      </c>
      <c r="K683" s="1" cm="1">
        <f t="array" ref="K683">SUMPRODUCT(("SUP_ELCH2_SOEC"=[2]OUT_SyntheticFuels!$C$4:$C$1000)*1,ISNUMBER(SEARCH("ELC",[2]OUT_SyntheticFuels!$A$4:$A$1000))*1,("Var_Fin"=[2]OUT_SyntheticFuels!$B$4:$B$1000)*1,[2]OUT_SyntheticFuels!J$4:J$1000)</f>
        <v>1.4412262083084512E-2</v>
      </c>
      <c r="L683" s="1" cm="1">
        <f t="array" ref="L683">SUMPRODUCT(("SUP_ELCH2_SOEC"=[2]OUT_SyntheticFuels!$C$4:$C$1000)*1,ISNUMBER(SEARCH("ELC",[2]OUT_SyntheticFuels!$A$4:$A$1000))*1,("Var_Fin"=[2]OUT_SyntheticFuels!$B$4:$B$1000)*1,[2]OUT_SyntheticFuels!K$4:K$1000)</f>
        <v>1.5124932421069505E-2</v>
      </c>
      <c r="N683" s="1"/>
    </row>
    <row r="684" spans="2:14" x14ac:dyDescent="0.35">
      <c r="B684" t="str">
        <f t="shared" ref="B684:B685" si="730">B683</f>
        <v>SPS1</v>
      </c>
      <c r="C684" t="str">
        <f t="shared" ref="C684:C685" si="731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L684" si="732">G685</f>
        <v>0</v>
      </c>
      <c r="H684" s="1">
        <f t="shared" si="732"/>
        <v>0</v>
      </c>
      <c r="I684" s="1">
        <f t="shared" si="732"/>
        <v>0</v>
      </c>
      <c r="J684" s="1">
        <f t="shared" si="732"/>
        <v>0</v>
      </c>
      <c r="K684" s="1">
        <f t="shared" si="732"/>
        <v>2.1535564032195264E-3</v>
      </c>
      <c r="L684" s="1">
        <f t="shared" si="732"/>
        <v>1.6805480467854989E-3</v>
      </c>
      <c r="N684" s="1"/>
    </row>
    <row r="685" spans="2:14" x14ac:dyDescent="0.35">
      <c r="B685" t="str">
        <f t="shared" si="730"/>
        <v>SPS1</v>
      </c>
      <c r="C685" t="str">
        <f t="shared" si="731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SUMPRODUCT(("SUP_ELCH2_SOEC"=[2]OUT_SyntheticFuels!$C$4:$C$1000)*1,ISNUMBER(SEARCH("CHEAT",[2]OUT_SyntheticFuels!$A$4:$A$1000))*1,("Var_Fin"=[2]OUT_SyntheticFuels!$B$4:$B$1000)*1,[2]OUT_SyntheticFuels!I$4:I$1000)</f>
        <v>0</v>
      </c>
      <c r="K685" s="1" cm="1">
        <f t="array" ref="K685">SUMPRODUCT(("SUP_ELCH2_SOEC"=[2]OUT_SyntheticFuels!$C$4:$C$1000)*1,ISNUMBER(SEARCH("CHEAT",[2]OUT_SyntheticFuels!$A$4:$A$1000))*1,("Var_Fin"=[2]OUT_SyntheticFuels!$B$4:$B$1000)*1,[2]OUT_SyntheticFuels!J$4:J$1000)</f>
        <v>2.1535564032195264E-3</v>
      </c>
      <c r="L685" s="1" cm="1">
        <f t="array" ref="L685">SUMPRODUCT(("SUP_ELCH2_SOEC"=[2]OUT_SyntheticFuels!$C$4:$C$1000)*1,ISNUMBER(SEARCH("CHEAT",[2]OUT_SyntheticFuels!$A$4:$A$1000))*1,("Var_Fin"=[2]OUT_SyntheticFuels!$B$4:$B$1000)*1,[2]OUT_SyntheticFuels!K$4:K$1000)</f>
        <v>1.6805480467854989E-3</v>
      </c>
      <c r="N685" s="1"/>
    </row>
    <row r="686" spans="2:14" x14ac:dyDescent="0.3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33">SUM(G687:G688)</f>
        <v>0</v>
      </c>
      <c r="H686" s="1">
        <f t="shared" si="733"/>
        <v>0</v>
      </c>
      <c r="I686" s="1">
        <f t="shared" si="733"/>
        <v>0</v>
      </c>
      <c r="J686" s="1">
        <f t="shared" si="733"/>
        <v>0</v>
      </c>
      <c r="K686" s="1">
        <f t="shared" si="733"/>
        <v>0</v>
      </c>
      <c r="L686" s="1">
        <f t="shared" ref="L686" si="734">SUM(L687:L688)</f>
        <v>8.2889433045806407E-4</v>
      </c>
      <c r="N686" s="1"/>
    </row>
    <row r="687" spans="2:14" x14ac:dyDescent="0.35">
      <c r="B687" t="str">
        <f t="shared" si="726"/>
        <v>SPS1</v>
      </c>
      <c r="C687" t="str">
        <f t="shared" si="727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SUMPRODUCT(("SUP_ngaH2"=[2]OUT_SyntheticFuels!$C$4:$C$1000)*1,ISNUMBER(SEARCH("nga",[2]OUT_SyntheticFuels!$A$4:$A$1000))*1,("Var_Fin"=[2]OUT_SyntheticFuels!$B$4:$B$1000)*1,[2]OUT_SyntheticFuels!I$4:I$1000)</f>
        <v>0</v>
      </c>
      <c r="K687" s="1" cm="1">
        <f t="array" ref="K687">SUMPRODUCT(("SUP_ngaH2"=[2]OUT_SyntheticFuels!$C$4:$C$1000)*1,ISNUMBER(SEARCH("nga",[2]OUT_SyntheticFuels!$A$4:$A$1000))*1,("Var_Fin"=[2]OUT_SyntheticFuels!$B$4:$B$1000)*1,[2]OUT_SyntheticFuels!J$4:J$1000)</f>
        <v>0</v>
      </c>
      <c r="L687" s="1" cm="1">
        <f t="array" ref="L687">SUMPRODUCT(("SUP_ngaH2"=[2]OUT_SyntheticFuels!$C$4:$C$1000)*1,ISNUMBER(SEARCH("nga",[2]OUT_SyntheticFuels!$A$4:$A$1000))*1,("Var_Fin"=[2]OUT_SyntheticFuels!$B$4:$B$1000)*1,[2]OUT_SyntheticFuels!K$4:K$1000)</f>
        <v>5.4579331062059471E-4</v>
      </c>
      <c r="N687" s="1"/>
    </row>
    <row r="688" spans="2:14" x14ac:dyDescent="0.35">
      <c r="B688" t="str">
        <f t="shared" si="726"/>
        <v>SPS1</v>
      </c>
      <c r="C688" t="str">
        <f t="shared" si="727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SUMPRODUCT(("SUP_ngaH2ccs"=[2]OUT_SyntheticFuels!$C$4:$C$1000)*1,ISNUMBER(SEARCH("nga",[2]OUT_SyntheticFuels!$A$4:$A$1000))*1,("Var_Fin"=[2]OUT_SyntheticFuels!$B$4:$B$1000)*1,[2]OUT_SyntheticFuels!I$4:I$1000)</f>
        <v>0</v>
      </c>
      <c r="K688" s="1" cm="1">
        <f t="array" ref="K688">SUMPRODUCT(("SUP_ngaH2ccs"=[2]OUT_SyntheticFuels!$C$4:$C$1000)*1,ISNUMBER(SEARCH("nga",[2]OUT_SyntheticFuels!$A$4:$A$1000))*1,("Var_Fin"=[2]OUT_SyntheticFuels!$B$4:$B$1000)*1,[2]OUT_SyntheticFuels!J$4:J$1000)</f>
        <v>0</v>
      </c>
      <c r="L688" s="1" cm="1">
        <f t="array" ref="L688">SUMPRODUCT(("SUP_ngaH2ccs"=[2]OUT_SyntheticFuels!$C$4:$C$1000)*1,ISNUMBER(SEARCH("nga",[2]OUT_SyntheticFuels!$A$4:$A$1000))*1,("Var_Fin"=[2]OUT_SyntheticFuels!$B$4:$B$1000)*1,[2]OUT_SyntheticFuels!K$4:K$1000)</f>
        <v>2.831010198374693E-4</v>
      </c>
      <c r="N688" s="1"/>
    </row>
    <row r="689" spans="2:14" x14ac:dyDescent="0.35">
      <c r="B689" t="str">
        <f t="shared" si="726"/>
        <v>SPS1</v>
      </c>
      <c r="C689" t="str">
        <f t="shared" si="727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35">G686-G692</f>
        <v>0</v>
      </c>
      <c r="H689" s="1">
        <f t="shared" si="735"/>
        <v>0</v>
      </c>
      <c r="I689" s="1">
        <f t="shared" si="735"/>
        <v>0</v>
      </c>
      <c r="J689" s="1">
        <f t="shared" si="735"/>
        <v>0</v>
      </c>
      <c r="K689" s="1">
        <f t="shared" si="735"/>
        <v>0</v>
      </c>
      <c r="L689" s="1">
        <f t="shared" ref="L689" si="736">L686-L692</f>
        <v>0</v>
      </c>
      <c r="N689" s="1"/>
    </row>
    <row r="690" spans="2:14" x14ac:dyDescent="0.35">
      <c r="B690" t="str">
        <f t="shared" si="726"/>
        <v>SPS1</v>
      </c>
      <c r="C690" t="str">
        <f t="shared" si="727"/>
        <v>CH</v>
      </c>
      <c r="D690" t="s">
        <v>609</v>
      </c>
      <c r="E690" s="5" t="s">
        <v>8</v>
      </c>
      <c r="F690" s="1">
        <f t="shared" ref="F690:K690" si="737">F687-F693</f>
        <v>0</v>
      </c>
      <c r="G690" s="1">
        <f t="shared" si="737"/>
        <v>0</v>
      </c>
      <c r="H690" s="1">
        <f t="shared" si="737"/>
        <v>0</v>
      </c>
      <c r="I690" s="1">
        <f t="shared" si="737"/>
        <v>0</v>
      </c>
      <c r="J690" s="1">
        <f t="shared" si="737"/>
        <v>0</v>
      </c>
      <c r="K690" s="1">
        <f t="shared" si="737"/>
        <v>0</v>
      </c>
      <c r="L690" s="1">
        <f t="shared" ref="L690" si="738">L687-L693</f>
        <v>0</v>
      </c>
      <c r="N690" s="1"/>
    </row>
    <row r="691" spans="2:14" x14ac:dyDescent="0.35">
      <c r="B691" t="str">
        <f t="shared" si="726"/>
        <v>SPS1</v>
      </c>
      <c r="C691" t="str">
        <f t="shared" si="727"/>
        <v>CH</v>
      </c>
      <c r="D691" t="s">
        <v>610</v>
      </c>
      <c r="E691" s="5" t="s">
        <v>8</v>
      </c>
      <c r="F691" s="1">
        <f t="shared" ref="F691:K691" si="739">F688-F694</f>
        <v>0</v>
      </c>
      <c r="G691" s="1">
        <f t="shared" si="739"/>
        <v>0</v>
      </c>
      <c r="H691" s="1">
        <f t="shared" si="739"/>
        <v>0</v>
      </c>
      <c r="I691" s="1">
        <f t="shared" si="739"/>
        <v>0</v>
      </c>
      <c r="J691" s="1">
        <f t="shared" si="739"/>
        <v>0</v>
      </c>
      <c r="K691" s="1">
        <f t="shared" si="739"/>
        <v>0</v>
      </c>
      <c r="L691" s="1">
        <f t="shared" ref="L691" si="740">L688-L694</f>
        <v>0</v>
      </c>
      <c r="N691" s="1"/>
    </row>
    <row r="692" spans="2:14" x14ac:dyDescent="0.35">
      <c r="B692" t="str">
        <f t="shared" si="726"/>
        <v>SPS1</v>
      </c>
      <c r="C692" t="str">
        <f t="shared" si="727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41">SUM(G693:G694)</f>
        <v>0</v>
      </c>
      <c r="H692" s="1">
        <f t="shared" si="741"/>
        <v>0</v>
      </c>
      <c r="I692" s="1">
        <f t="shared" si="741"/>
        <v>0</v>
      </c>
      <c r="J692" s="1">
        <f t="shared" si="741"/>
        <v>0</v>
      </c>
      <c r="K692" s="1">
        <f t="shared" si="741"/>
        <v>0</v>
      </c>
      <c r="L692" s="1">
        <f t="shared" ref="L692" si="742">SUM(L693:L694)</f>
        <v>8.2889433045806407E-4</v>
      </c>
      <c r="N692" s="1"/>
    </row>
    <row r="693" spans="2:14" x14ac:dyDescent="0.35">
      <c r="B693" t="str">
        <f t="shared" si="726"/>
        <v>SPS1</v>
      </c>
      <c r="C693" t="str">
        <f t="shared" si="727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43">IFERROR(G674/G668,0)*G687</f>
        <v>0</v>
      </c>
      <c r="H693" s="1">
        <f t="shared" si="743"/>
        <v>0</v>
      </c>
      <c r="I693" s="1">
        <f t="shared" si="743"/>
        <v>0</v>
      </c>
      <c r="J693" s="1">
        <f t="shared" si="743"/>
        <v>0</v>
      </c>
      <c r="K693" s="1">
        <f t="shared" si="743"/>
        <v>0</v>
      </c>
      <c r="L693" s="1">
        <f t="shared" ref="L693" si="744">IFERROR(L674/L668,0)*L687</f>
        <v>5.4579331062059471E-4</v>
      </c>
      <c r="N693" s="1"/>
    </row>
    <row r="694" spans="2:14" x14ac:dyDescent="0.35">
      <c r="B694" t="str">
        <f t="shared" si="726"/>
        <v>SPS1</v>
      </c>
      <c r="C694" t="str">
        <f t="shared" si="727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43"/>
        <v>0</v>
      </c>
      <c r="H694" s="1">
        <f t="shared" si="743"/>
        <v>0</v>
      </c>
      <c r="I694" s="1">
        <f t="shared" si="743"/>
        <v>0</v>
      </c>
      <c r="J694" s="1">
        <f t="shared" si="743"/>
        <v>0</v>
      </c>
      <c r="K694" s="1">
        <f t="shared" si="743"/>
        <v>0</v>
      </c>
      <c r="L694" s="1">
        <f t="shared" ref="L694" si="745">IFERROR(L675/L669,0)*L688</f>
        <v>2.831010198374693E-4</v>
      </c>
      <c r="N694" s="1"/>
    </row>
    <row r="695" spans="2:14" x14ac:dyDescent="0.35">
      <c r="B695" t="str">
        <f t="shared" si="726"/>
        <v>SPS1</v>
      </c>
      <c r="C695" t="str">
        <f t="shared" si="727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46">SUM(G696:G697)</f>
        <v>0</v>
      </c>
      <c r="H695" s="1">
        <f t="shared" si="746"/>
        <v>0</v>
      </c>
      <c r="I695" s="1">
        <f t="shared" si="746"/>
        <v>1.483376391145161E-2</v>
      </c>
      <c r="J695" s="1">
        <f t="shared" si="746"/>
        <v>1.2690937676023359</v>
      </c>
      <c r="K695" s="1">
        <f t="shared" si="746"/>
        <v>2.4081578224389784</v>
      </c>
      <c r="L695" s="1">
        <f t="shared" ref="L695" si="747">SUM(L696:L697)</f>
        <v>1.9160571227363981</v>
      </c>
      <c r="N695" s="1"/>
    </row>
    <row r="696" spans="2:14" x14ac:dyDescent="0.35">
      <c r="B696" t="str">
        <f t="shared" si="726"/>
        <v>SPS1</v>
      </c>
      <c r="C696" t="str">
        <f t="shared" si="727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1.483376391145161E-2</v>
      </c>
      <c r="J696" s="1" cm="1">
        <f t="array" ref="J696">SUMPRODUCT(("SUP_wodH2"=[2]OUT_SyntheticFuels!$C$4:$C$1000)*1,ISNUMBER(SEARCH("wod",[2]OUT_SyntheticFuels!$A$4:$A$1000))*1,("Var_Fin"=[2]OUT_SyntheticFuels!$B$4:$B$1000)*1,[2]OUT_SyntheticFuels!I$4:I$1000)</f>
        <v>1.2690937676023359</v>
      </c>
      <c r="K696" s="1" cm="1">
        <f t="array" ref="K696">SUMPRODUCT(("SUP_wodH2"=[2]OUT_SyntheticFuels!$C$4:$C$1000)*1,ISNUMBER(SEARCH("wod",[2]OUT_SyntheticFuels!$A$4:$A$1000))*1,("Var_Fin"=[2]OUT_SyntheticFuels!$B$4:$B$1000)*1,[2]OUT_SyntheticFuels!J$4:J$1000)</f>
        <v>2.4081578224389784</v>
      </c>
      <c r="L696" s="1" cm="1">
        <f t="array" ref="L696">SUMPRODUCT(("SUP_wodH2"=[2]OUT_SyntheticFuels!$C$4:$C$1000)*1,ISNUMBER(SEARCH("wod",[2]OUT_SyntheticFuels!$A$4:$A$1000))*1,("Var_Fin"=[2]OUT_SyntheticFuels!$B$4:$B$1000)*1,[2]OUT_SyntheticFuels!K$4:K$1000)</f>
        <v>1.9160571227363981</v>
      </c>
      <c r="N696" s="1"/>
    </row>
    <row r="697" spans="2:14" x14ac:dyDescent="0.35">
      <c r="B697" t="str">
        <f t="shared" si="726"/>
        <v>SPS1</v>
      </c>
      <c r="C697" t="str">
        <f t="shared" si="727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SUMPRODUCT(("SUP_wodH2ccs"=[2]OUT_SyntheticFuels!$C$4:$C$1000)*1,ISNUMBER(SEARCH("wod",[2]OUT_SyntheticFuels!$A$4:$A$1000))*1,("Var_Fin"=[2]OUT_SyntheticFuels!$B$4:$B$1000)*1,[2]OUT_SyntheticFuels!I$4:I$1000)</f>
        <v>0</v>
      </c>
      <c r="K697" s="1" cm="1">
        <f t="array" ref="K697">SUMPRODUCT(("SUP_wodH2ccs"=[2]OUT_SyntheticFuels!$C$4:$C$1000)*1,ISNUMBER(SEARCH("wod",[2]OUT_SyntheticFuels!$A$4:$A$1000))*1,("Var_Fin"=[2]OUT_SyntheticFuels!$B$4:$B$1000)*1,[2]OUT_SyntheticFuels!J$4:J$1000)</f>
        <v>0</v>
      </c>
      <c r="L697" s="1" cm="1">
        <f t="array" ref="L697">SUMPRODUCT(("SUP_wodH2ccs"=[2]OUT_SyntheticFuels!$C$4:$C$1000)*1,ISNUMBER(SEARCH("wod",[2]OUT_SyntheticFuels!$A$4:$A$1000))*1,("Var_Fin"=[2]OUT_SyntheticFuels!$B$4:$B$1000)*1,[2]OUT_SyntheticFuels!K$4:K$1000)</f>
        <v>0</v>
      </c>
      <c r="N697" s="1"/>
    </row>
    <row r="698" spans="2:14" x14ac:dyDescent="0.3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N698" s="1"/>
    </row>
    <row r="699" spans="2:14" x14ac:dyDescent="0.35">
      <c r="B699" t="str">
        <f>B698</f>
        <v>SPS1</v>
      </c>
      <c r="C699" t="str">
        <f t="shared" ref="C699:C705" si="748">C698</f>
        <v>CH</v>
      </c>
      <c r="D699" t="s">
        <v>409</v>
      </c>
      <c r="E699" s="5" t="s">
        <v>240</v>
      </c>
      <c r="F699" s="4">
        <f>IFERROR(F664/F681,"-")</f>
        <v>0.68500000000000016</v>
      </c>
      <c r="G699" s="4">
        <f t="shared" ref="G699:K699" si="749">IFERROR(G664/G681,"-")</f>
        <v>0.69399999999999951</v>
      </c>
      <c r="H699" s="4">
        <f t="shared" si="749"/>
        <v>0.70749999999999991</v>
      </c>
      <c r="I699" s="4">
        <f t="shared" si="749"/>
        <v>0.73</v>
      </c>
      <c r="J699" s="4">
        <f t="shared" si="749"/>
        <v>0.75250000000000006</v>
      </c>
      <c r="K699" s="4">
        <f t="shared" si="749"/>
        <v>0.77500000000000036</v>
      </c>
      <c r="L699" s="4">
        <f t="shared" ref="L699" si="750">IFERROR(L664/L681,"-")</f>
        <v>0.82000000000000051</v>
      </c>
      <c r="N699" s="1"/>
    </row>
    <row r="700" spans="2:14" x14ac:dyDescent="0.35">
      <c r="B700" t="str">
        <f t="shared" ref="B700:B705" si="751">B699</f>
        <v>SPS1</v>
      </c>
      <c r="C700" t="str">
        <f t="shared" si="748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752">IFERROR(G665/G682,"-")</f>
        <v>-</v>
      </c>
      <c r="H700" s="4" t="str">
        <f t="shared" si="752"/>
        <v>-</v>
      </c>
      <c r="I700" s="4">
        <f t="shared" si="752"/>
        <v>0.72999999999999943</v>
      </c>
      <c r="J700" s="4">
        <f t="shared" si="752"/>
        <v>0.75249999999999984</v>
      </c>
      <c r="K700" s="4">
        <f t="shared" si="752"/>
        <v>0.7750000000000008</v>
      </c>
      <c r="L700" s="4">
        <f t="shared" ref="L700" si="753">IFERROR(L665/L682,"-")</f>
        <v>0.81999999999999962</v>
      </c>
      <c r="N700" s="1"/>
    </row>
    <row r="701" spans="2:14" x14ac:dyDescent="0.35">
      <c r="B701" t="str">
        <f t="shared" si="751"/>
        <v>SPS1</v>
      </c>
      <c r="C701" t="str">
        <f t="shared" si="748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754">IFERROR(G666/SUM(G683,G685),"-")</f>
        <v>-</v>
      </c>
      <c r="H701" s="4" t="str">
        <f t="shared" si="754"/>
        <v>-</v>
      </c>
      <c r="I701" s="4" t="str">
        <f t="shared" si="754"/>
        <v>-</v>
      </c>
      <c r="J701" s="4" t="str">
        <f t="shared" si="754"/>
        <v>-</v>
      </c>
      <c r="K701" s="4">
        <f t="shared" si="754"/>
        <v>0.86999999999999988</v>
      </c>
      <c r="L701" s="4">
        <f t="shared" ref="L701" si="755">IFERROR(L666/SUM(L683,L685),"-")</f>
        <v>0.90000000000000013</v>
      </c>
      <c r="N701" s="1"/>
    </row>
    <row r="702" spans="2:14" x14ac:dyDescent="0.35">
      <c r="B702" t="str">
        <f t="shared" si="751"/>
        <v>SPS1</v>
      </c>
      <c r="C702" t="str">
        <f t="shared" si="748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756">IFERROR(G668/G687,"-")</f>
        <v>-</v>
      </c>
      <c r="H702" s="4" t="str">
        <f t="shared" si="756"/>
        <v>-</v>
      </c>
      <c r="I702" s="4" t="str">
        <f t="shared" si="756"/>
        <v>-</v>
      </c>
      <c r="J702" s="4" t="str">
        <f t="shared" si="756"/>
        <v>-</v>
      </c>
      <c r="K702" s="4" t="str">
        <f t="shared" si="756"/>
        <v>-</v>
      </c>
      <c r="L702" s="4">
        <f t="shared" ref="L702" si="757">IFERROR(L668/L687,"-")</f>
        <v>0.76000000000000034</v>
      </c>
      <c r="N702" s="1"/>
    </row>
    <row r="703" spans="2:14" x14ac:dyDescent="0.35">
      <c r="B703" t="str">
        <f t="shared" si="751"/>
        <v>SPS1</v>
      </c>
      <c r="C703" t="str">
        <f t="shared" si="748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756"/>
        <v>-</v>
      </c>
      <c r="H703" s="4" t="str">
        <f t="shared" si="756"/>
        <v>-</v>
      </c>
      <c r="I703" s="4" t="str">
        <f t="shared" si="756"/>
        <v>-</v>
      </c>
      <c r="J703" s="4" t="str">
        <f t="shared" si="756"/>
        <v>-</v>
      </c>
      <c r="K703" s="4" t="str">
        <f t="shared" si="756"/>
        <v>-</v>
      </c>
      <c r="L703" s="4">
        <f t="shared" ref="L703" si="758">IFERROR(L669/L688,"-")</f>
        <v>0.69000000000000017</v>
      </c>
      <c r="N703" s="1"/>
    </row>
    <row r="704" spans="2:14" x14ac:dyDescent="0.3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759">IFERROR(G677/G696,"-")</f>
        <v>-</v>
      </c>
      <c r="H704" s="4" t="str">
        <f t="shared" si="759"/>
        <v>-</v>
      </c>
      <c r="I704" s="4">
        <f t="shared" si="759"/>
        <v>0.59999999999999964</v>
      </c>
      <c r="J704" s="4">
        <f t="shared" si="759"/>
        <v>0.59999999999999953</v>
      </c>
      <c r="K704" s="4">
        <f t="shared" si="759"/>
        <v>0.60000000000000042</v>
      </c>
      <c r="L704" s="4">
        <f t="shared" ref="L704" si="760">IFERROR(L677/L696,"-")</f>
        <v>0.6</v>
      </c>
      <c r="N704" s="1"/>
    </row>
    <row r="705" spans="2:14" x14ac:dyDescent="0.35">
      <c r="B705" t="str">
        <f t="shared" si="751"/>
        <v>SPS1</v>
      </c>
      <c r="C705" t="str">
        <f t="shared" si="748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759"/>
        <v>-</v>
      </c>
      <c r="H705" s="4" t="str">
        <f t="shared" si="759"/>
        <v>-</v>
      </c>
      <c r="I705" s="4" t="str">
        <f t="shared" si="759"/>
        <v>-</v>
      </c>
      <c r="J705" s="4" t="str">
        <f t="shared" si="759"/>
        <v>-</v>
      </c>
      <c r="K705" s="4" t="str">
        <f t="shared" si="759"/>
        <v>-</v>
      </c>
      <c r="L705" s="4" t="str">
        <f t="shared" ref="L705" si="761">IFERROR(L678/L697,"-")</f>
        <v>-</v>
      </c>
      <c r="N705" s="1"/>
    </row>
    <row r="706" spans="2:14" x14ac:dyDescent="0.3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1.176538351110521</v>
      </c>
      <c r="G706" s="1">
        <f>[1]Other_transformation!C$39</f>
        <v>4.0703958725878522</v>
      </c>
      <c r="H706" s="1">
        <f>[1]Other_transformation!D$39</f>
        <v>4.0703871199199924</v>
      </c>
      <c r="I706" s="1">
        <f>[1]Other_transformation!E$39</f>
        <v>4.0711611860050017</v>
      </c>
      <c r="J706" s="1">
        <f>[2]Other_transformation!F$39</f>
        <v>5.3810923887519708</v>
      </c>
      <c r="K706" s="1">
        <f>[2]Other_transformation!G$39</f>
        <v>6.9717811879156084</v>
      </c>
      <c r="L706" s="1">
        <f>[2]Other_transformation!H$39</f>
        <v>7.401543771666935</v>
      </c>
      <c r="N706" s="1"/>
    </row>
    <row r="707" spans="2:14" x14ac:dyDescent="0.3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1.2891444077490366</v>
      </c>
      <c r="G707" s="1">
        <f>[1]Other_transformation!C$38</f>
        <v>4.4599719775547415</v>
      </c>
      <c r="H707" s="1">
        <f>[1]Other_transformation!D$38</f>
        <v>4.4599623871722374</v>
      </c>
      <c r="I707" s="1">
        <f>[1]Other_transformation!E$38</f>
        <v>4.4608105388400263</v>
      </c>
      <c r="J707" s="1">
        <f>[2]Other_transformation!F$38</f>
        <v>5.8961147794228221</v>
      </c>
      <c r="K707" s="1">
        <f>[2]Other_transformation!G$38</f>
        <v>7.6390478236157895</v>
      </c>
      <c r="L707" s="1">
        <f>[2]Other_transformation!H$38</f>
        <v>8.1099428275736809</v>
      </c>
      <c r="N707" s="1"/>
    </row>
    <row r="708" spans="2:14" x14ac:dyDescent="0.3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762">F706/F707</f>
        <v>0.91265054871925788</v>
      </c>
      <c r="G708" s="14">
        <f t="shared" si="762"/>
        <v>0.91265054871925866</v>
      </c>
      <c r="H708" s="14">
        <f t="shared" si="762"/>
        <v>0.91265054871925755</v>
      </c>
      <c r="I708" s="14">
        <f t="shared" si="762"/>
        <v>0.91265054871925855</v>
      </c>
      <c r="J708" s="14">
        <f t="shared" si="762"/>
        <v>0.91265054871925888</v>
      </c>
      <c r="K708" s="14">
        <f t="shared" si="762"/>
        <v>0.91265054871925855</v>
      </c>
      <c r="L708" s="14">
        <f t="shared" ref="L708" si="763">L706/L707</f>
        <v>0.91265054871925855</v>
      </c>
      <c r="N708" s="1"/>
    </row>
    <row r="709" spans="2:14" x14ac:dyDescent="0.3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5.9801770754977683</v>
      </c>
      <c r="G709" s="17" cm="1">
        <f t="array" ref="G709">SUMPRODUCT(("CT_CWODPLT"=[1]OUT_SyntheticFuels!$C$4:$C$1000)*1,("Var_Fout"=[1]OUT_SyntheticFuels!$B$4:$B$1000)*1,[1]OUT_SyntheticFuels!F$4:F$1000)</f>
        <v>6.9699292907550641</v>
      </c>
      <c r="H709" s="17" cm="1">
        <f t="array" ref="H709">SUMPRODUCT(("CT_CWODPLT"=[1]OUT_SyntheticFuels!$C$4:$C$1000)*1,("Var_Fout"=[1]OUT_SyntheticFuels!$B$4:$B$1000)*1,[1]OUT_SyntheticFuels!G$4:G$1000)</f>
        <v>1.9397783386415819</v>
      </c>
      <c r="I709" s="17" cm="1">
        <f t="array" ref="I709">SUMPRODUCT(("CT_CWODPLT"=[1]OUT_SyntheticFuels!$C$4:$C$1000)*1,("Var_Fout"=[1]OUT_SyntheticFuels!$B$4:$B$1000)*1,[1]OUT_SyntheticFuels!H$4:H$1000)</f>
        <v>2.276388359084228</v>
      </c>
      <c r="J709" s="17" cm="1">
        <f t="array" ref="J709">SUMPRODUCT(("CT_CWODPLT"=[2]OUT_SyntheticFuels!$C$4:$C$1000)*1,("Var_Fout"=[2]OUT_SyntheticFuels!$B$4:$B$1000)*1,[2]OUT_SyntheticFuels!I$4:I$1000)</f>
        <v>2.3612046655000709</v>
      </c>
      <c r="K709" s="17" cm="1">
        <f t="array" ref="K709">SUMPRODUCT(("CT_CWODPLT"=[2]OUT_SyntheticFuels!$C$4:$C$1000)*1,("Var_Fout"=[2]OUT_SyntheticFuels!$B$4:$B$1000)*1,[2]OUT_SyntheticFuels!J$4:J$1000)</f>
        <v>2.6519891630862831</v>
      </c>
      <c r="L709" s="17" cm="1">
        <f t="array" ref="L709">SUMPRODUCT(("CT_CWODPLT"=[2]OUT_SyntheticFuels!$C$4:$C$1000)*1,("Var_Fout"=[2]OUT_SyntheticFuels!$B$4:$B$1000)*1,[2]OUT_SyntheticFuels!K$4:K$1000)</f>
        <v>2.5576022405918613</v>
      </c>
      <c r="N709" s="1"/>
    </row>
    <row r="710" spans="2:14" x14ac:dyDescent="0.3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5.9801770754977683</v>
      </c>
      <c r="G710" s="18">
        <f t="shared" ref="G710:K710" si="764">G709</f>
        <v>6.9699292907550641</v>
      </c>
      <c r="H710" s="18">
        <f t="shared" si="764"/>
        <v>1.9397783386415819</v>
      </c>
      <c r="I710" s="18">
        <f t="shared" si="764"/>
        <v>2.276388359084228</v>
      </c>
      <c r="J710" s="18">
        <f t="shared" si="764"/>
        <v>2.3612046655000709</v>
      </c>
      <c r="K710" s="18">
        <f t="shared" si="764"/>
        <v>2.6519891630862831</v>
      </c>
      <c r="L710" s="18">
        <f t="shared" ref="L710" si="765">L709</f>
        <v>2.5576022405918613</v>
      </c>
      <c r="N710" s="1"/>
    </row>
    <row r="711" spans="2:14" x14ac:dyDescent="0.3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7.1192584232116349</v>
      </c>
      <c r="G711" s="17" cm="1">
        <f t="array" ref="G711">SUMPRODUCT(("CT_CWODPLT"=[1]OUT_SyntheticFuels!$C$4:$C$1000)*1,("Var_Fin"=[1]OUT_SyntheticFuels!$B$4:$B$1000)*1,[1]OUT_SyntheticFuels!F$4:F$1000)</f>
        <v>8.2975348699465012</v>
      </c>
      <c r="H711" s="17" cm="1">
        <f t="array" ref="H711">SUMPRODUCT(("CT_CWODPLT"=[1]OUT_SyntheticFuels!$C$4:$C$1000)*1,("Var_Fin"=[1]OUT_SyntheticFuels!$B$4:$B$1000)*1,[1]OUT_SyntheticFuels!G$4:G$1000)</f>
        <v>2.3092599269542635</v>
      </c>
      <c r="I711" s="17" cm="1">
        <f t="array" ref="I711">SUMPRODUCT(("CT_CWODPLT"=[1]OUT_SyntheticFuels!$C$4:$C$1000)*1,("Var_Fin"=[1]OUT_SyntheticFuels!$B$4:$B$1000)*1,[1]OUT_SyntheticFuels!H$4:H$1000)</f>
        <v>2.7099861417669389</v>
      </c>
      <c r="J711" s="17" cm="1">
        <f t="array" ref="J711">SUMPRODUCT(("CT_CWODPLT"=[2]OUT_SyntheticFuels!$C$4:$C$1000)*1,("Var_Fin"=[2]OUT_SyntheticFuels!$B$4:$B$1000)*1,[2]OUT_SyntheticFuels!I$4:I$1000)</f>
        <v>2.8109579351191285</v>
      </c>
      <c r="K711" s="17" cm="1">
        <f t="array" ref="K711">SUMPRODUCT(("CT_CWODPLT"=[2]OUT_SyntheticFuels!$C$4:$C$1000)*1,("Var_Fin"=[2]OUT_SyntheticFuels!$B$4:$B$1000)*1,[2]OUT_SyntheticFuels!J$4:J$1000)</f>
        <v>3.1571299560551003</v>
      </c>
      <c r="L711" s="17" cm="1">
        <f t="array" ref="L711">SUMPRODUCT(("CT_CWODPLT"=[2]OUT_SyntheticFuels!$C$4:$C$1000)*1,("Var_Fin"=[2]OUT_SyntheticFuels!$B$4:$B$1000)*1,[2]OUT_SyntheticFuels!K$4:K$1000)</f>
        <v>3.0447645721331691</v>
      </c>
      <c r="N711" s="1"/>
    </row>
    <row r="712" spans="2:14" x14ac:dyDescent="0.3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766">F711</f>
        <v>7.1192584232116349</v>
      </c>
      <c r="G712" s="18">
        <f t="shared" si="766"/>
        <v>8.2975348699465012</v>
      </c>
      <c r="H712" s="18">
        <f t="shared" si="766"/>
        <v>2.3092599269542635</v>
      </c>
      <c r="I712" s="18">
        <f t="shared" si="766"/>
        <v>2.7099861417669389</v>
      </c>
      <c r="J712" s="18">
        <f t="shared" si="766"/>
        <v>2.8109579351191285</v>
      </c>
      <c r="K712" s="18">
        <f t="shared" si="766"/>
        <v>3.1571299560551003</v>
      </c>
      <c r="L712" s="18">
        <f t="shared" ref="L712" si="767">L711</f>
        <v>3.0447645721331691</v>
      </c>
      <c r="N712" s="1"/>
    </row>
    <row r="713" spans="2:14" x14ac:dyDescent="0.3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768">IFERROR(F709/F711,"-")</f>
        <v>0.8399999999999993</v>
      </c>
      <c r="G713" s="14">
        <f t="shared" si="768"/>
        <v>0.84000000000000041</v>
      </c>
      <c r="H713" s="14">
        <f t="shared" si="768"/>
        <v>0.84000000000000019</v>
      </c>
      <c r="I713" s="14">
        <f t="shared" si="768"/>
        <v>0.83999999999999975</v>
      </c>
      <c r="J713" s="14">
        <f t="shared" si="768"/>
        <v>0.84000000000000108</v>
      </c>
      <c r="K713" s="14">
        <f t="shared" si="768"/>
        <v>0.83999999999999964</v>
      </c>
      <c r="L713" s="14">
        <f t="shared" ref="L713" si="769">IFERROR(L709/L711,"-")</f>
        <v>0.83999999999999975</v>
      </c>
      <c r="N713" s="1"/>
    </row>
    <row r="714" spans="2:14" x14ac:dyDescent="0.3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770">G715+G717</f>
        <v>0</v>
      </c>
      <c r="H714" s="17">
        <f t="shared" si="770"/>
        <v>0</v>
      </c>
      <c r="I714" s="17">
        <f t="shared" si="770"/>
        <v>0</v>
      </c>
      <c r="J714" s="17">
        <f t="shared" si="770"/>
        <v>0</v>
      </c>
      <c r="K714" s="17">
        <f t="shared" si="770"/>
        <v>19.357102796072219</v>
      </c>
      <c r="L714" s="17">
        <f t="shared" ref="L714" si="771">L715+L717</f>
        <v>20.872443074890686</v>
      </c>
      <c r="N714" s="1"/>
    </row>
    <row r="715" spans="2:14" x14ac:dyDescent="0.3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L715" si="772">G716</f>
        <v>0</v>
      </c>
      <c r="H715" s="18">
        <f t="shared" si="772"/>
        <v>0</v>
      </c>
      <c r="I715" s="18">
        <f t="shared" si="772"/>
        <v>0</v>
      </c>
      <c r="J715" s="18">
        <f t="shared" si="772"/>
        <v>0</v>
      </c>
      <c r="K715" s="18">
        <f t="shared" si="772"/>
        <v>17.464722086975456</v>
      </c>
      <c r="L715" s="18">
        <f t="shared" si="772"/>
        <v>18.710704218129802</v>
      </c>
      <c r="N715" s="1"/>
    </row>
    <row r="716" spans="2:14" x14ac:dyDescent="0.35">
      <c r="B716" s="5" t="str">
        <f t="shared" ref="B716:C718" si="773">B714</f>
        <v>SPS1</v>
      </c>
      <c r="C716" s="5" t="str">
        <f t="shared" si="773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SUMPRODUCT(("SUP_H2NGA"=[2]OUT_SyntheticFuels!$C$4:$C$1000)*1,("NGA"=[2]OUT_SyntheticFuels!$A$4:$A$1000)*1,("Var_Fout"=[2]OUT_SyntheticFuels!$B$4:$B$1000)*1,[2]OUT_SyntheticFuels!I$4:I$1000)</f>
        <v>0</v>
      </c>
      <c r="K716" s="18" cm="1">
        <f t="array" ref="K716">SUMPRODUCT(("SUP_H2NGA"=[2]OUT_SyntheticFuels!$C$4:$C$1000)*1,("NGA"=[2]OUT_SyntheticFuels!$A$4:$A$1000)*1,("Var_Fout"=[2]OUT_SyntheticFuels!$B$4:$B$1000)*1,[2]OUT_SyntheticFuels!J$4:J$1000)</f>
        <v>17.464722086975456</v>
      </c>
      <c r="L716" s="18" cm="1">
        <f t="array" ref="L716">SUMPRODUCT(("SUP_H2NGA"=[2]OUT_SyntheticFuels!$C$4:$C$1000)*1,("NGA"=[2]OUT_SyntheticFuels!$A$4:$A$1000)*1,("Var_Fout"=[2]OUT_SyntheticFuels!$B$4:$B$1000)*1,[2]OUT_SyntheticFuels!K$4:K$1000)</f>
        <v>18.710704218129802</v>
      </c>
      <c r="N716" s="1"/>
    </row>
    <row r="717" spans="2:14" x14ac:dyDescent="0.35">
      <c r="B717" s="5" t="str">
        <f t="shared" si="773"/>
        <v>SPS1</v>
      </c>
      <c r="C717" s="5" t="str">
        <f t="shared" si="773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774">SUM(G718:G720)</f>
        <v>0</v>
      </c>
      <c r="H717" s="18">
        <f t="shared" si="774"/>
        <v>0</v>
      </c>
      <c r="I717" s="18">
        <f t="shared" si="774"/>
        <v>0</v>
      </c>
      <c r="J717" s="18">
        <f t="shared" si="774"/>
        <v>0</v>
      </c>
      <c r="K717" s="18">
        <f t="shared" si="774"/>
        <v>1.8923807090967637</v>
      </c>
      <c r="L717" s="18">
        <f t="shared" ref="L717" si="775">SUM(L718:L720)</f>
        <v>2.1617388567608855</v>
      </c>
      <c r="N717" s="1"/>
    </row>
    <row r="718" spans="2:14" x14ac:dyDescent="0.35">
      <c r="B718" s="5" t="str">
        <f t="shared" si="773"/>
        <v>SPS1</v>
      </c>
      <c r="C718" s="5" t="str">
        <f t="shared" si="773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SUMPRODUCT(("SUP_H2DSL"=[2]OUT_SyntheticFuels!$C$4:$C$1000)*1,("DSL"=[2]OUT_SyntheticFuels!$A$4:$A$1000)*1,("Var_Fout"=[2]OUT_SyntheticFuels!$B$4:$B$1000)*1,[2]OUT_SyntheticFuels!I$4:I$1000)</f>
        <v>0</v>
      </c>
      <c r="K718" s="18" cm="1">
        <f t="array" ref="K718">SUMPRODUCT(("SUP_H2DSL"=[2]OUT_SyntheticFuels!$C$4:$C$1000)*1,("DSL"=[2]OUT_SyntheticFuels!$A$4:$A$1000)*1,("Var_Fout"=[2]OUT_SyntheticFuels!$B$4:$B$1000)*1,[2]OUT_SyntheticFuels!J$4:J$1000)</f>
        <v>0.20258031911331104</v>
      </c>
      <c r="L718" s="18" cm="1">
        <f t="array" ref="L718">SUMPRODUCT(("SUP_H2DSL"=[2]OUT_SyntheticFuels!$C$4:$C$1000)*1,("DSL"=[2]OUT_SyntheticFuels!$A$4:$A$1000)*1,("Var_Fout"=[2]OUT_SyntheticFuels!$B$4:$B$1000)*1,[2]OUT_SyntheticFuels!K$4:K$1000)</f>
        <v>1.3208588641722216</v>
      </c>
      <c r="N718" s="1"/>
    </row>
    <row r="719" spans="2:14" x14ac:dyDescent="0.35">
      <c r="B719" s="5" t="str">
        <f t="shared" ref="B719:C721" si="776">B718</f>
        <v>SPS1</v>
      </c>
      <c r="C719" s="5" t="str">
        <f t="shared" si="776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SUMPRODUCT(("SUP_H2gsl"=[2]OUT_SyntheticFuels!$C$4:$C$1000)*1,("gsl"=[2]OUT_SyntheticFuels!$A$4:$A$1000)*1,("Var_Fout"=[2]OUT_SyntheticFuels!$B$4:$B$1000)*1,[2]OUT_SyntheticFuels!I$4:I$1000)</f>
        <v>0</v>
      </c>
      <c r="K719" s="18" cm="1">
        <f t="array" ref="K719">SUMPRODUCT(("SUP_H2gsl"=[2]OUT_SyntheticFuels!$C$4:$C$1000)*1,("gsl"=[2]OUT_SyntheticFuels!$A$4:$A$1000)*1,("Var_Fout"=[2]OUT_SyntheticFuels!$B$4:$B$1000)*1,[2]OUT_SyntheticFuels!J$4:J$1000)</f>
        <v>1.6653588461981714</v>
      </c>
      <c r="L719" s="18" cm="1">
        <f t="array" ref="L719">SUMPRODUCT(("SUP_H2gsl"=[2]OUT_SyntheticFuels!$C$4:$C$1000)*1,("gsl"=[2]OUT_SyntheticFuels!$A$4:$A$1000)*1,("Var_Fout"=[2]OUT_SyntheticFuels!$B$4:$B$1000)*1,[2]OUT_SyntheticFuels!K$4:K$1000)</f>
        <v>0.84087999258866375</v>
      </c>
      <c r="N719" s="1"/>
    </row>
    <row r="720" spans="2:14" x14ac:dyDescent="0.35">
      <c r="B720" s="5" t="str">
        <f t="shared" si="776"/>
        <v>SPS1</v>
      </c>
      <c r="C720" s="5" t="str">
        <f t="shared" si="776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SUMPRODUCT(("SUP_H2DSL"=[2]OUT_SyntheticFuels!$C$4:$C$1000)*1,("KER"=[2]OUT_SyntheticFuels!$A$4:$A$1000)*1,("Var_Fout"=[2]OUT_SyntheticFuels!$B$4:$B$1000)*1,[2]OUT_SyntheticFuels!I$4:I$1000)</f>
        <v>0</v>
      </c>
      <c r="K720" s="18" cm="1">
        <f t="array" ref="K720">SUMPRODUCT(("SUP_H2DSL"=[2]OUT_SyntheticFuels!$C$4:$C$1000)*1,("KER"=[2]OUT_SyntheticFuels!$A$4:$A$1000)*1,("Var_Fout"=[2]OUT_SyntheticFuels!$B$4:$B$1000)*1,[2]OUT_SyntheticFuels!J$4:J$1000)</f>
        <v>2.4441543785281249E-2</v>
      </c>
      <c r="L720" s="18" cm="1">
        <f t="array" ref="L720">SUMPRODUCT(("SUP_H2DSL"=[2]OUT_SyntheticFuels!$C$4:$C$1000)*1,("KER"=[2]OUT_SyntheticFuels!$A$4:$A$1000)*1,("Var_Fout"=[2]OUT_SyntheticFuels!$B$4:$B$1000)*1,[2]OUT_SyntheticFuels!K$4:K$1000)</f>
        <v>0</v>
      </c>
      <c r="N720" s="1"/>
    </row>
    <row r="721" spans="2:14" x14ac:dyDescent="0.35">
      <c r="B721" s="9" t="str">
        <f t="shared" si="776"/>
        <v>SPS1</v>
      </c>
      <c r="C721" s="9" t="str">
        <f t="shared" si="776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L721" si="777">G722</f>
        <v>0</v>
      </c>
      <c r="H721" s="17">
        <f t="shared" si="777"/>
        <v>0</v>
      </c>
      <c r="I721" s="17">
        <f t="shared" si="777"/>
        <v>0</v>
      </c>
      <c r="J721" s="17">
        <f t="shared" si="777"/>
        <v>0</v>
      </c>
      <c r="K721" s="17">
        <f t="shared" si="777"/>
        <v>25.559464611768878</v>
      </c>
      <c r="L721" s="17">
        <f t="shared" si="777"/>
        <v>27.77821632615176</v>
      </c>
      <c r="N721" s="1"/>
    </row>
    <row r="722" spans="2:14" x14ac:dyDescent="0.35">
      <c r="B722" s="5" t="str">
        <f>B721</f>
        <v>SPS1</v>
      </c>
      <c r="C722" s="5" t="str">
        <f t="shared" ref="C722:C728" si="778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779">SUM(G723,G725)</f>
        <v>0</v>
      </c>
      <c r="H722" s="18">
        <f t="shared" si="779"/>
        <v>0</v>
      </c>
      <c r="I722" s="18">
        <f t="shared" si="779"/>
        <v>0</v>
      </c>
      <c r="J722" s="18">
        <f t="shared" si="779"/>
        <v>0</v>
      </c>
      <c r="K722" s="18">
        <f t="shared" si="779"/>
        <v>25.559464611768878</v>
      </c>
      <c r="L722" s="18">
        <f t="shared" ref="L722" si="780">SUM(L723,L725)</f>
        <v>27.77821632615176</v>
      </c>
      <c r="N722" s="1"/>
    </row>
    <row r="723" spans="2:14" x14ac:dyDescent="0.35">
      <c r="B723" s="5" t="str">
        <f t="shared" ref="B723:B728" si="781">B722</f>
        <v>SPS1</v>
      </c>
      <c r="C723" s="5" t="str">
        <f t="shared" si="778"/>
        <v>CH</v>
      </c>
      <c r="D723" t="s">
        <v>929</v>
      </c>
      <c r="E723" s="5" t="s">
        <v>8</v>
      </c>
      <c r="F723" s="18">
        <f>F724</f>
        <v>0</v>
      </c>
      <c r="G723" s="18">
        <f t="shared" ref="G723:L723" si="782">G724</f>
        <v>0</v>
      </c>
      <c r="H723" s="18">
        <f t="shared" si="782"/>
        <v>0</v>
      </c>
      <c r="I723" s="18">
        <f t="shared" si="782"/>
        <v>0</v>
      </c>
      <c r="J723" s="18">
        <f t="shared" si="782"/>
        <v>0</v>
      </c>
      <c r="K723" s="18">
        <f t="shared" si="782"/>
        <v>22.681457255812326</v>
      </c>
      <c r="L723" s="18">
        <f t="shared" si="782"/>
        <v>24.299615867701053</v>
      </c>
      <c r="N723" s="1"/>
    </row>
    <row r="724" spans="2:14" x14ac:dyDescent="0.35">
      <c r="B724" s="5" t="str">
        <f t="shared" si="781"/>
        <v>SPS1</v>
      </c>
      <c r="C724" s="5" t="str">
        <f t="shared" si="778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SUMPRODUCT(("SUP_H2NGA"=[2]OUT_SyntheticFuels!$C$4:$C$1000)*1,("H2"=[2]OUT_SyntheticFuels!$A$4:$A$1000)*1,("Var_Fin"=[2]OUT_SyntheticFuels!$B$4:$B$1000)*1,[2]OUT_SyntheticFuels!I$4:I$1000)</f>
        <v>0</v>
      </c>
      <c r="K724" s="10" cm="1">
        <f t="array" ref="K724">SUMPRODUCT(("SUP_H2NGA"=[2]OUT_SyntheticFuels!$C$4:$C$1000)*1,("H2"=[2]OUT_SyntheticFuels!$A$4:$A$1000)*1,("Var_Fin"=[2]OUT_SyntheticFuels!$B$4:$B$1000)*1,[2]OUT_SyntheticFuels!J$4:J$1000)</f>
        <v>22.681457255812326</v>
      </c>
      <c r="L724" s="10" cm="1">
        <f t="array" ref="L724">SUMPRODUCT(("SUP_H2NGA"=[2]OUT_SyntheticFuels!$C$4:$C$1000)*1,("H2"=[2]OUT_SyntheticFuels!$A$4:$A$1000)*1,("Var_Fin"=[2]OUT_SyntheticFuels!$B$4:$B$1000)*1,[2]OUT_SyntheticFuels!K$4:K$1000)</f>
        <v>24.299615867701053</v>
      </c>
      <c r="N724" s="1"/>
    </row>
    <row r="725" spans="2:14" x14ac:dyDescent="0.35">
      <c r="B725" s="5" t="str">
        <f t="shared" si="781"/>
        <v>SPS1</v>
      </c>
      <c r="C725" s="5" t="str">
        <f t="shared" si="778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783">SUM(G726:G728)</f>
        <v>0</v>
      </c>
      <c r="H725" s="18">
        <f t="shared" si="783"/>
        <v>0</v>
      </c>
      <c r="I725" s="18">
        <f t="shared" si="783"/>
        <v>0</v>
      </c>
      <c r="J725" s="18">
        <f t="shared" si="783"/>
        <v>0</v>
      </c>
      <c r="K725" s="18">
        <f t="shared" si="783"/>
        <v>2.8780073559565511</v>
      </c>
      <c r="L725" s="18">
        <f t="shared" ref="L725" si="784">SUM(L726:L728)</f>
        <v>3.4786004584507069</v>
      </c>
      <c r="N725" s="1"/>
    </row>
    <row r="726" spans="2:14" x14ac:dyDescent="0.35">
      <c r="B726" s="5" t="str">
        <f t="shared" si="781"/>
        <v>SPS1</v>
      </c>
      <c r="C726" s="5" t="str">
        <f t="shared" si="778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SUMPRODUCT(("SUP_H2DSL"=[2]OUT_SyntheticFuels!$C$4:$C$1000)*1,("H2"=[2]OUT_SyntheticFuels!$A$4:$A$1000)*1,("Var_Fin"=[2]OUT_SyntheticFuels!$B$4:$B$1000)*1,[2]OUT_SyntheticFuels!I$4:I$1000)*IFERROR(J718/SUM(J718,J720),0)</f>
        <v>0</v>
      </c>
      <c r="K726" s="10" cm="1">
        <f t="array" ref="K726">SUMPRODUCT(("SUP_H2DSL"=[2]OUT_SyntheticFuels!$C$4:$C$1000)*1,("H2"=[2]OUT_SyntheticFuels!$A$4:$A$1000)*1,("Var_Fin"=[2]OUT_SyntheticFuels!$B$4:$B$1000)*1,[2]OUT_SyntheticFuels!J$4:J$1000)*IFERROR(K718/SUM(K718,K720),0)</f>
        <v>0.4452083953611875</v>
      </c>
      <c r="L726" s="10" cm="1">
        <f t="array" ref="L726">SUMPRODUCT(("SUP_H2DSL"=[2]OUT_SyntheticFuels!$C$4:$C$1000)*1,("H2"=[2]OUT_SyntheticFuels!$A$4:$A$1000)*1,("Var_Fin"=[2]OUT_SyntheticFuels!$B$4:$B$1000)*1,[2]OUT_SyntheticFuels!K$4:K$1000)*IFERROR(L718/SUM(L718,L720),0)</f>
        <v>2.2773433261811875</v>
      </c>
      <c r="N726" s="1"/>
    </row>
    <row r="727" spans="2:14" x14ac:dyDescent="0.35">
      <c r="B727" s="5" t="str">
        <f t="shared" si="781"/>
        <v>SPS1</v>
      </c>
      <c r="C727" s="5" t="str">
        <f t="shared" si="778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SUMPRODUCT(("SUP_H2GSL"=[2]OUT_SyntheticFuels!$C$4:$C$1000)*1,("H2"=[2]OUT_SyntheticFuels!$A$4:$A$1000)*1,("Var_Fin"=[2]OUT_SyntheticFuels!$B$4:$B$1000)*1,[2]OUT_SyntheticFuels!I$4:I$1000)</f>
        <v>0</v>
      </c>
      <c r="K727" s="10" cm="1">
        <f t="array" ref="K727">SUMPRODUCT(("SUP_H2GSL"=[2]OUT_SyntheticFuels!$C$4:$C$1000)*1,("H2"=[2]OUT_SyntheticFuels!$A$4:$A$1000)*1,("Var_Fin"=[2]OUT_SyntheticFuels!$B$4:$B$1000)*1,[2]OUT_SyntheticFuels!J$4:J$1000)</f>
        <v>2.3790840659973904</v>
      </c>
      <c r="L727" s="10" cm="1">
        <f t="array" ref="L727">SUMPRODUCT(("SUP_H2GSL"=[2]OUT_SyntheticFuels!$C$4:$C$1000)*1,("H2"=[2]OUT_SyntheticFuels!$A$4:$A$1000)*1,("Var_Fin"=[2]OUT_SyntheticFuels!$B$4:$B$1000)*1,[2]OUT_SyntheticFuels!K$4:K$1000)</f>
        <v>1.2012571322695194</v>
      </c>
      <c r="N727" s="1"/>
    </row>
    <row r="728" spans="2:14" x14ac:dyDescent="0.35">
      <c r="B728" s="5" t="str">
        <f t="shared" si="781"/>
        <v>SPS1</v>
      </c>
      <c r="C728" s="5" t="str">
        <f t="shared" si="778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SUMPRODUCT(("SUP_H2DSL"=[2]OUT_SyntheticFuels!$C$4:$C$1000)*1,("H2"=[2]OUT_SyntheticFuels!$A$4:$A$1000)*1,("Var_Fin"=[2]OUT_SyntheticFuels!$B$4:$B$1000)*1,[2]OUT_SyntheticFuels!I$4:I$1000)-J726</f>
        <v>0</v>
      </c>
      <c r="K728" s="10" cm="1">
        <f t="array" ref="K728">SUMPRODUCT(("SUP_H2DSL"=[2]OUT_SyntheticFuels!$C$4:$C$1000)*1,("H2"=[2]OUT_SyntheticFuels!$A$4:$A$1000)*1,("Var_Fin"=[2]OUT_SyntheticFuels!$B$4:$B$1000)*1,[2]OUT_SyntheticFuels!J$4:J$1000)-K726</f>
        <v>5.3714894597973184E-2</v>
      </c>
      <c r="L728" s="10" cm="1">
        <f t="array" ref="L728">SUMPRODUCT(("SUP_H2DSL"=[2]OUT_SyntheticFuels!$C$4:$C$1000)*1,("H2"=[2]OUT_SyntheticFuels!$A$4:$A$1000)*1,("Var_Fin"=[2]OUT_SyntheticFuels!$B$4:$B$1000)*1,[2]OUT_SyntheticFuels!K$4:K$1000)-L726</f>
        <v>0</v>
      </c>
      <c r="N728" s="1"/>
    </row>
    <row r="729" spans="2:14" x14ac:dyDescent="0.3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N729" s="1"/>
    </row>
    <row r="730" spans="2:14" x14ac:dyDescent="0.35">
      <c r="B730" s="5" t="str">
        <f>B729</f>
        <v>SPS1</v>
      </c>
      <c r="C730" s="5" t="str">
        <f t="shared" ref="C730:C735" si="785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786">IFERROR(G716/G724,"-")</f>
        <v>-</v>
      </c>
      <c r="H730" s="14" t="str">
        <f t="shared" si="786"/>
        <v>-</v>
      </c>
      <c r="I730" s="14" t="str">
        <f t="shared" si="786"/>
        <v>-</v>
      </c>
      <c r="J730" s="14" t="str">
        <f t="shared" si="786"/>
        <v>-</v>
      </c>
      <c r="K730" s="14">
        <f t="shared" si="786"/>
        <v>0.76999999999999846</v>
      </c>
      <c r="L730" s="14">
        <f t="shared" ref="L730" si="787">IFERROR(L716/L724,"-")</f>
        <v>0.76999999999999957</v>
      </c>
      <c r="N730" s="1"/>
    </row>
    <row r="731" spans="2:14" x14ac:dyDescent="0.35">
      <c r="B731" s="5" t="str">
        <f t="shared" ref="B731:B735" si="788">B730</f>
        <v>SPS1</v>
      </c>
      <c r="C731" s="5" t="str">
        <f t="shared" si="785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789">IFERROR(G718/G726,"-")</f>
        <v>-</v>
      </c>
      <c r="H731" s="16" t="str">
        <f t="shared" si="789"/>
        <v>-</v>
      </c>
      <c r="I731" s="16" t="str">
        <f t="shared" si="789"/>
        <v>-</v>
      </c>
      <c r="J731" s="16" t="str">
        <f t="shared" si="789"/>
        <v>-</v>
      </c>
      <c r="K731" s="16">
        <f t="shared" si="789"/>
        <v>0.45502358271784654</v>
      </c>
      <c r="L731" s="16">
        <f t="shared" ref="L731" si="790">IFERROR(L718/L726,"-")</f>
        <v>0.57999988363069188</v>
      </c>
      <c r="M731" s="9"/>
      <c r="N731" s="1"/>
    </row>
    <row r="732" spans="2:14" x14ac:dyDescent="0.35">
      <c r="B732" s="5" t="str">
        <f t="shared" si="788"/>
        <v>SPS1</v>
      </c>
      <c r="C732" s="5" t="str">
        <f t="shared" si="785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791">IFERROR(G719/G727,"-")</f>
        <v>-</v>
      </c>
      <c r="H732" s="16" t="str">
        <f t="shared" si="791"/>
        <v>-</v>
      </c>
      <c r="I732" s="16" t="str">
        <f t="shared" si="791"/>
        <v>-</v>
      </c>
      <c r="J732" s="16" t="str">
        <f t="shared" si="791"/>
        <v>-</v>
      </c>
      <c r="K732" s="16">
        <f t="shared" si="791"/>
        <v>0.69999999999999918</v>
      </c>
      <c r="L732" s="16">
        <f t="shared" ref="L732" si="792">IFERROR(L719/L727,"-")</f>
        <v>0.70000000000000018</v>
      </c>
      <c r="M732" s="9"/>
      <c r="N732" s="1"/>
    </row>
    <row r="733" spans="2:14" x14ac:dyDescent="0.35">
      <c r="B733" s="5" t="str">
        <f t="shared" si="788"/>
        <v>SPS1</v>
      </c>
      <c r="C733" s="5" t="str">
        <f t="shared" si="785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793">IFERROR(G720/G728,"-")</f>
        <v>-</v>
      </c>
      <c r="H733" s="16" t="str">
        <f t="shared" si="793"/>
        <v>-</v>
      </c>
      <c r="I733" s="16" t="str">
        <f t="shared" si="793"/>
        <v>-</v>
      </c>
      <c r="J733" s="16" t="str">
        <f t="shared" si="793"/>
        <v>-</v>
      </c>
      <c r="K733" s="16">
        <f t="shared" si="793"/>
        <v>0.45502358271784638</v>
      </c>
      <c r="L733" s="16" t="str">
        <f t="shared" ref="L733" si="794">IFERROR(L720/L728,"-")</f>
        <v>-</v>
      </c>
      <c r="M733" s="9"/>
      <c r="N733" s="1"/>
    </row>
    <row r="734" spans="2:14" x14ac:dyDescent="0.35">
      <c r="B734" s="5" t="str">
        <f t="shared" si="788"/>
        <v>SPS1</v>
      </c>
      <c r="C734" s="5" t="str">
        <f t="shared" si="785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795">G735</f>
        <v>0</v>
      </c>
      <c r="H734" s="17">
        <f t="shared" ref="H734" si="796">H735</f>
        <v>0</v>
      </c>
      <c r="I734" s="17">
        <f t="shared" ref="I734" si="797">I735</f>
        <v>0</v>
      </c>
      <c r="J734" s="17">
        <f t="shared" ref="J734" si="798">J735</f>
        <v>0</v>
      </c>
      <c r="K734" s="17">
        <f t="shared" ref="K734:L734" si="799">K735</f>
        <v>1.1291250333041645</v>
      </c>
      <c r="L734" s="17">
        <f t="shared" si="799"/>
        <v>1.2141596355248312</v>
      </c>
      <c r="M734" s="9"/>
      <c r="N734" s="1"/>
    </row>
    <row r="735" spans="2:14" x14ac:dyDescent="0.35">
      <c r="B735" s="5" t="str">
        <f t="shared" si="788"/>
        <v>SPS1</v>
      </c>
      <c r="C735" s="5" t="str">
        <f t="shared" si="785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00">SUM(G739,G741)</f>
        <v>0</v>
      </c>
      <c r="H735" s="18">
        <f t="shared" ref="H735" si="801">SUM(H739,H741)</f>
        <v>0</v>
      </c>
      <c r="I735" s="18">
        <f t="shared" ref="I735" si="802">SUM(I739,I741)</f>
        <v>0</v>
      </c>
      <c r="J735" s="18">
        <f t="shared" ref="J735" si="803">SUM(J739,J741)</f>
        <v>0</v>
      </c>
      <c r="K735" s="18">
        <f t="shared" ref="K735:L735" si="804">SUM(K739,K741)</f>
        <v>1.1291250333041645</v>
      </c>
      <c r="L735" s="18">
        <f t="shared" si="804"/>
        <v>1.2141596355248312</v>
      </c>
      <c r="M735" s="9"/>
      <c r="N735" s="1"/>
    </row>
    <row r="736" spans="2:14" x14ac:dyDescent="0.35">
      <c r="B736" s="5" t="str">
        <f t="shared" ref="B736:C738" si="805">B735</f>
        <v>SPS1</v>
      </c>
      <c r="C736" s="5" t="str">
        <f t="shared" si="805"/>
        <v>CH</v>
      </c>
      <c r="D736" t="s">
        <v>445</v>
      </c>
      <c r="E736" s="5" t="s">
        <v>442</v>
      </c>
      <c r="F736" s="18">
        <v>0</v>
      </c>
      <c r="G736" s="18">
        <v>0</v>
      </c>
      <c r="H736" s="18">
        <v>0</v>
      </c>
      <c r="I736" s="18">
        <v>0</v>
      </c>
      <c r="J736" s="18" cm="1">
        <f t="array" ref="J736">SUMPRODUCT(("CHPWSTCCS"=[2]OUT_CO2util!$C$3:$C$1000)*1+("EWOD-CCS"=[2]OUT_CO2util!$C$3:$C$1000)*1+("SUP_WODH2CCS"=[2]OUT_CO2util!$C$3:$C$1000)*1+("EWSTINCCS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6" s="18" cm="1">
        <f t="array" ref="K736">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E$3:E$1000)/SUMPRODUCT(("Var_fout"=[2]OUT_CO2util!$B$3:$B$1000)*1,("CO2_O"=[2]OUT_CO2util!$A$3:$A$1000)*1,[2]OUT_CO2util!E$3:E$1000)*K735</f>
        <v>0.90338952844748865</v>
      </c>
      <c r="L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M736" s="9"/>
      <c r="N736" s="1"/>
    </row>
    <row r="737" spans="2:14" x14ac:dyDescent="0.35">
      <c r="B737" s="5" t="str">
        <f t="shared" si="805"/>
        <v>SPS1</v>
      </c>
      <c r="C737" s="5" t="str">
        <f t="shared" si="805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K735-K736-K738</f>
        <v>0.22573405397449839</v>
      </c>
      <c r="L737" s="18">
        <f>IFERROR(L735-L736-L738,0)</f>
        <v>1.2141596355248312</v>
      </c>
      <c r="M737" s="9"/>
      <c r="N737" s="1"/>
    </row>
    <row r="738" spans="2:14" x14ac:dyDescent="0.35">
      <c r="B738" s="5" t="str">
        <f t="shared" si="805"/>
        <v>SPS1</v>
      </c>
      <c r="C738" s="5" t="str">
        <f t="shared" si="805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SUMPRODUCT(("SUP_DAC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8" s="18" cm="1">
        <f t="array" ref="K738">SUMPRODUCT(("SUP_DAC"=[2]OUT_CO2util!$C$3:$C$1000)*1,("Var_fout"=[2]OUT_CO2util!$B$3:$B$1000)*1,("CO2_O"=[2]OUT_CO2util!$A$3:$A$1000)*1,[2]OUT_CO2util!E$3:E$1000)/SUMPRODUCT(("Var_fout"=[2]OUT_CO2util!$B$3:$B$1000)*1,("CO2_O"=[2]OUT_CO2util!$A$3:$A$1000)*1,[2]OUT_CO2util!E$3:E$1000)*K735</f>
        <v>1.4508821774216246E-6</v>
      </c>
      <c r="L738" s="18">
        <f>IFERROR(SUMPRODUCT(("SUP_DAC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N738" s="1"/>
    </row>
    <row r="739" spans="2:14" x14ac:dyDescent="0.3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06">G740</f>
        <v>0</v>
      </c>
      <c r="H739" s="18">
        <f t="shared" ref="H739" si="807">H740</f>
        <v>0</v>
      </c>
      <c r="I739" s="18">
        <f t="shared" ref="I739" si="808">I740</f>
        <v>0</v>
      </c>
      <c r="J739" s="18">
        <f t="shared" ref="J739" si="809">J740</f>
        <v>0</v>
      </c>
      <c r="K739" s="18">
        <f t="shared" ref="K739:L739" si="810">K740</f>
        <v>0.98501032570541569</v>
      </c>
      <c r="L739" s="18">
        <f t="shared" si="810"/>
        <v>1.0552837179025205</v>
      </c>
      <c r="N739" s="1"/>
    </row>
    <row r="740" spans="2:14" x14ac:dyDescent="0.3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SUMPRODUCT(("SUP_H2NGA"=[2]OUT_SyntheticFuels!$C$4:$C$1000)*1,("CO2_M"=[2]OUT_SyntheticFuels!$A$4:$A$1000)*1,("Var_Fin"=[2]OUT_SyntheticFuels!$B$4:$B$1000)*1,[2]OUT_SyntheticFuels!I$4:I$1000)/1000</f>
        <v>0</v>
      </c>
      <c r="K740" s="10" cm="1">
        <f t="array" ref="K740">SUMPRODUCT(("SUP_H2NGA"=[2]OUT_SyntheticFuels!$C$4:$C$1000)*1,("CO2_M"=[2]OUT_SyntheticFuels!$A$4:$A$1000)*1,("Var_Fin"=[2]OUT_SyntheticFuels!$B$4:$B$1000)*1,[2]OUT_SyntheticFuels!J$4:J$1000)/1000</f>
        <v>0.98501032570541569</v>
      </c>
      <c r="L740" s="10" cm="1">
        <f t="array" ref="L740">SUMPRODUCT(("SUP_H2NGA"=[2]OUT_SyntheticFuels!$C$4:$C$1000)*1,("CO2_M"=[2]OUT_SyntheticFuels!$A$4:$A$1000)*1,("Var_Fin"=[2]OUT_SyntheticFuels!$B$4:$B$1000)*1,[2]OUT_SyntheticFuels!K$4:K$1000)/1000</f>
        <v>1.0552837179025205</v>
      </c>
      <c r="N740" s="1"/>
    </row>
    <row r="741" spans="2:14" x14ac:dyDescent="0.35">
      <c r="B741" s="5" t="str">
        <f t="shared" ref="B741:B744" si="811">B740</f>
        <v>SPS1</v>
      </c>
      <c r="C741" s="5" t="str">
        <f t="shared" ref="C741:C744" si="812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13">SUM(G742:G744)</f>
        <v>0</v>
      </c>
      <c r="H741" s="18">
        <f t="shared" ref="H741" si="814">SUM(H742:H744)</f>
        <v>0</v>
      </c>
      <c r="I741" s="18">
        <f t="shared" ref="I741" si="815">SUM(I742:I744)</f>
        <v>0</v>
      </c>
      <c r="J741" s="18">
        <f t="shared" ref="J741" si="816">SUM(J742:J744)</f>
        <v>0</v>
      </c>
      <c r="K741" s="18">
        <f t="shared" ref="K741:L741" si="817">SUM(K742:K744)</f>
        <v>0.14411470759874878</v>
      </c>
      <c r="L741" s="18">
        <f t="shared" si="817"/>
        <v>0.15887591762231063</v>
      </c>
      <c r="N741" s="1"/>
    </row>
    <row r="742" spans="2:14" x14ac:dyDescent="0.35">
      <c r="B742" s="5" t="str">
        <f t="shared" si="811"/>
        <v>SPS1</v>
      </c>
      <c r="C742" s="5" t="str">
        <f t="shared" si="812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SUMPRODUCT(("SUP_H2DSL"=[2]OUT_SyntheticFuels!$C$4:$C$1000)*1,("co2_m"=[2]OUT_SyntheticFuels!$A$4:$A$1000)*1,("Var_Fin"=[2]OUT_SyntheticFuels!$B$4:$B$1000)*1,[2]OUT_SyntheticFuels!I$4:I$1000)*IFERROR(J718/SUM(J718,J720),0)/1000</f>
        <v>0</v>
      </c>
      <c r="K742" s="10" cm="1">
        <f t="array" ref="K742">SUMPRODUCT(("SUP_H2DSL"=[2]OUT_SyntheticFuels!$C$4:$C$1000)*1,("co2_m"=[2]OUT_SyntheticFuels!$A$4:$A$1000)*1,("Var_Fin"=[2]OUT_SyntheticFuels!$B$4:$B$1000)*1,[2]OUT_SyntheticFuels!J$4:J$1000)*IFERROR(K718/SUM(K718,K720),0)/1000</f>
        <v>1.8927589720385579E-2</v>
      </c>
      <c r="L742" s="10" cm="1">
        <f t="array" ref="L742">SUMPRODUCT(("SUP_H2DSL"=[2]OUT_SyntheticFuels!$C$4:$C$1000)*1,("co2_m"=[2]OUT_SyntheticFuels!$A$4:$A$1000)*1,("Var_Fin"=[2]OUT_SyntheticFuels!$B$4:$B$1000)*1,[2]OUT_SyntheticFuels!K$4:K$1000)*IFERROR(L718/SUM(L718,L720),0)/1000</f>
        <v>9.6818974169267269E-2</v>
      </c>
      <c r="N742" s="1"/>
    </row>
    <row r="743" spans="2:14" x14ac:dyDescent="0.35">
      <c r="B743" s="5" t="str">
        <f t="shared" si="811"/>
        <v>SPS1</v>
      </c>
      <c r="C743" s="5" t="str">
        <f t="shared" si="812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SUMPRODUCT(("SUP_H2GSL"=[2]OUT_SyntheticFuels!$C$4:$C$1000)*1,("co2_m"=[2]OUT_SyntheticFuels!$A$4:$A$1000)*1,("Var_Fin"=[2]OUT_SyntheticFuels!$B$4:$B$1000)*1,[2]OUT_SyntheticFuels!I$4:I$1000)/1000</f>
        <v>0</v>
      </c>
      <c r="K743" s="10" cm="1">
        <f t="array" ref="K743">SUMPRODUCT(("SUP_H2GSL"=[2]OUT_SyntheticFuels!$C$4:$C$1000)*1,("co2_m"=[2]OUT_SyntheticFuels!$A$4:$A$1000)*1,("Var_Fin"=[2]OUT_SyntheticFuels!$B$4:$B$1000)*1,[2]OUT_SyntheticFuels!J$4:J$1000)/1000</f>
        <v>0.12290348284942494</v>
      </c>
      <c r="L743" s="10" cm="1">
        <f t="array" ref="L743">SUMPRODUCT(("SUP_H2GSL"=[2]OUT_SyntheticFuels!$C$4:$C$1000)*1,("co2_m"=[2]OUT_SyntheticFuels!$A$4:$A$1000)*1,("Var_Fin"=[2]OUT_SyntheticFuels!$B$4:$B$1000)*1,[2]OUT_SyntheticFuels!K$4:K$1000)/1000</f>
        <v>6.2056943453043363E-2</v>
      </c>
      <c r="M743" s="9"/>
      <c r="N743" s="1"/>
    </row>
    <row r="744" spans="2:14" x14ac:dyDescent="0.35">
      <c r="B744" s="5" t="str">
        <f t="shared" si="811"/>
        <v>SPS1</v>
      </c>
      <c r="C744" s="5" t="str">
        <f t="shared" si="812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SUMPRODUCT(("SUP_H2DSL"=[2]OUT_SyntheticFuels!$C$4:$C$1000)*1,("co2_m"=[2]OUT_SyntheticFuels!$A$4:$A$1000)*1,("Var_Fin"=[2]OUT_SyntheticFuels!$B$4:$B$1000)*1,[2]OUT_SyntheticFuels!I$4:I$1000)/1000-J742</f>
        <v>0</v>
      </c>
      <c r="K744" s="10" cm="1">
        <f t="array" ref="K744">SUMPRODUCT(("SUP_H2DSL"=[2]OUT_SyntheticFuels!$C$4:$C$1000)*1,("co2_m"=[2]OUT_SyntheticFuels!$A$4:$A$1000)*1,("Var_Fin"=[2]OUT_SyntheticFuels!$B$4:$B$1000)*1,[2]OUT_SyntheticFuels!J$4:J$1000)/1000-K742</f>
        <v>2.2836350289382398E-3</v>
      </c>
      <c r="L744" s="10" cm="1">
        <f t="array" ref="L744">SUMPRODUCT(("SUP_H2DSL"=[2]OUT_SyntheticFuels!$C$4:$C$1000)*1,("co2_m"=[2]OUT_SyntheticFuels!$A$4:$A$1000)*1,("Var_Fin"=[2]OUT_SyntheticFuels!$B$4:$B$1000)*1,[2]OUT_SyntheticFuels!K$4:K$1000)/1000-L742</f>
        <v>0</v>
      </c>
      <c r="M744" s="9"/>
      <c r="N744" s="1"/>
    </row>
    <row r="745" spans="2:14" x14ac:dyDescent="0.3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18">IFERROR(G$736/G$735,0)*G739</f>
        <v>0</v>
      </c>
      <c r="H745" s="18">
        <f t="shared" si="818"/>
        <v>0</v>
      </c>
      <c r="I745" s="18">
        <f t="shared" si="818"/>
        <v>0</v>
      </c>
      <c r="J745" s="18">
        <f t="shared" si="818"/>
        <v>0</v>
      </c>
      <c r="K745" s="18">
        <f t="shared" si="818"/>
        <v>0.78808633889814295</v>
      </c>
      <c r="L745" s="18">
        <f t="shared" ref="L745" si="819">IFERROR(L$736/L$735,0)*L739</f>
        <v>0</v>
      </c>
      <c r="N745" s="1"/>
    </row>
    <row r="746" spans="2:14" x14ac:dyDescent="0.3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20">IFERROR(F$736/F$735,0)*F740</f>
        <v>0</v>
      </c>
      <c r="G746" s="18">
        <f t="shared" si="820"/>
        <v>0</v>
      </c>
      <c r="H746" s="18">
        <f t="shared" si="820"/>
        <v>0</v>
      </c>
      <c r="I746" s="18">
        <f t="shared" si="820"/>
        <v>0</v>
      </c>
      <c r="J746" s="18">
        <f t="shared" si="820"/>
        <v>0</v>
      </c>
      <c r="K746" s="18">
        <f t="shared" si="820"/>
        <v>0.78808633889814295</v>
      </c>
      <c r="L746" s="18">
        <f t="shared" ref="L746" si="821">IFERROR(L$736/L$735,0)*L740</f>
        <v>0</v>
      </c>
      <c r="N746" s="1"/>
    </row>
    <row r="747" spans="2:14" x14ac:dyDescent="0.35">
      <c r="B747" s="5" t="str">
        <f t="shared" ref="B747:B750" si="822">B746</f>
        <v>SPS1</v>
      </c>
      <c r="C747" s="5" t="str">
        <f t="shared" ref="C747:C750" si="823">C746</f>
        <v>CH</v>
      </c>
      <c r="D747" t="s">
        <v>934</v>
      </c>
      <c r="E747" s="5" t="s">
        <v>442</v>
      </c>
      <c r="F747" s="18">
        <f t="shared" ref="F747:K747" si="824">IFERROR(F$736/F$735,0)*F741</f>
        <v>0</v>
      </c>
      <c r="G747" s="18">
        <f t="shared" si="824"/>
        <v>0</v>
      </c>
      <c r="H747" s="18">
        <f t="shared" si="824"/>
        <v>0</v>
      </c>
      <c r="I747" s="18">
        <f t="shared" si="824"/>
        <v>0</v>
      </c>
      <c r="J747" s="18">
        <f t="shared" si="824"/>
        <v>0</v>
      </c>
      <c r="K747" s="18">
        <f t="shared" si="824"/>
        <v>0.11530318954934572</v>
      </c>
      <c r="L747" s="18">
        <f t="shared" ref="L747" si="825">IFERROR(L$736/L$735,0)*L741</f>
        <v>0</v>
      </c>
      <c r="N747" s="1"/>
    </row>
    <row r="748" spans="2:14" x14ac:dyDescent="0.35">
      <c r="B748" s="5" t="str">
        <f t="shared" si="822"/>
        <v>SPS1</v>
      </c>
      <c r="C748" s="5" t="str">
        <f t="shared" si="823"/>
        <v>CH</v>
      </c>
      <c r="D748" t="s">
        <v>457</v>
      </c>
      <c r="E748" s="5" t="s">
        <v>442</v>
      </c>
      <c r="F748" s="18">
        <f t="shared" ref="F748:K748" si="826">IFERROR(F$736/F$735,0)*F742</f>
        <v>0</v>
      </c>
      <c r="G748" s="18">
        <f t="shared" si="826"/>
        <v>0</v>
      </c>
      <c r="H748" s="18">
        <f t="shared" si="826"/>
        <v>0</v>
      </c>
      <c r="I748" s="18">
        <f t="shared" si="826"/>
        <v>0</v>
      </c>
      <c r="J748" s="18">
        <f t="shared" si="826"/>
        <v>0</v>
      </c>
      <c r="K748" s="18">
        <f t="shared" si="826"/>
        <v>1.514357210034553E-2</v>
      </c>
      <c r="L748" s="18">
        <f t="shared" ref="L748" si="827">IFERROR(L$736/L$735,0)*L742</f>
        <v>0</v>
      </c>
      <c r="N748" s="1"/>
    </row>
    <row r="749" spans="2:14" x14ac:dyDescent="0.35">
      <c r="B749" s="5" t="str">
        <f t="shared" si="822"/>
        <v>SPS1</v>
      </c>
      <c r="C749" s="5" t="str">
        <f t="shared" si="823"/>
        <v>CH</v>
      </c>
      <c r="D749" t="s">
        <v>458</v>
      </c>
      <c r="E749" s="5" t="s">
        <v>442</v>
      </c>
      <c r="F749" s="18">
        <f t="shared" ref="F749:K749" si="828">IFERROR(F$736/F$735,0)*F743</f>
        <v>0</v>
      </c>
      <c r="G749" s="18">
        <f t="shared" si="828"/>
        <v>0</v>
      </c>
      <c r="H749" s="18">
        <f t="shared" si="828"/>
        <v>0</v>
      </c>
      <c r="I749" s="18">
        <f t="shared" si="828"/>
        <v>0</v>
      </c>
      <c r="J749" s="18">
        <f t="shared" si="828"/>
        <v>0</v>
      </c>
      <c r="K749" s="18">
        <f t="shared" si="828"/>
        <v>9.8332528410063819E-2</v>
      </c>
      <c r="L749" s="18">
        <f t="shared" ref="L749" si="829">IFERROR(L$736/L$735,0)*L743</f>
        <v>0</v>
      </c>
      <c r="N749" s="1"/>
    </row>
    <row r="750" spans="2:14" x14ac:dyDescent="0.35">
      <c r="B750" s="5" t="str">
        <f t="shared" si="822"/>
        <v>SPS1</v>
      </c>
      <c r="C750" s="5" t="str">
        <f t="shared" si="823"/>
        <v>CH</v>
      </c>
      <c r="D750" t="s">
        <v>459</v>
      </c>
      <c r="E750" s="5" t="s">
        <v>442</v>
      </c>
      <c r="F750" s="18">
        <f t="shared" ref="F750:K750" si="830">IFERROR(F$736/F$735,0)*F744</f>
        <v>0</v>
      </c>
      <c r="G750" s="18">
        <f t="shared" si="830"/>
        <v>0</v>
      </c>
      <c r="H750" s="18">
        <f t="shared" si="830"/>
        <v>0</v>
      </c>
      <c r="I750" s="18">
        <f t="shared" si="830"/>
        <v>0</v>
      </c>
      <c r="J750" s="18">
        <f t="shared" si="830"/>
        <v>0</v>
      </c>
      <c r="K750" s="18">
        <f t="shared" si="830"/>
        <v>1.8270890389363531E-3</v>
      </c>
      <c r="L750" s="18">
        <f t="shared" ref="L750" si="831">IFERROR(L$736/L$735,0)*L744</f>
        <v>0</v>
      </c>
      <c r="N750" s="1"/>
    </row>
    <row r="751" spans="2:14" x14ac:dyDescent="0.3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32">IFERROR(G$737/G$735,0)*G739</f>
        <v>0</v>
      </c>
      <c r="H751" s="18">
        <f t="shared" si="832"/>
        <v>0</v>
      </c>
      <c r="I751" s="18">
        <f t="shared" si="832"/>
        <v>0</v>
      </c>
      <c r="J751" s="18">
        <f t="shared" si="832"/>
        <v>0</v>
      </c>
      <c r="K751" s="18">
        <f t="shared" si="832"/>
        <v>0.19692272110694375</v>
      </c>
      <c r="L751" s="18">
        <f t="shared" ref="L751" si="833">IFERROR(L$737/L$735,0)*L739</f>
        <v>1.0552837179025205</v>
      </c>
      <c r="N751" s="1"/>
    </row>
    <row r="752" spans="2:14" x14ac:dyDescent="0.3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34">IFERROR(F$737/F$735,0)*F740</f>
        <v>0</v>
      </c>
      <c r="G752" s="18">
        <f t="shared" si="834"/>
        <v>0</v>
      </c>
      <c r="H752" s="18">
        <f t="shared" si="834"/>
        <v>0</v>
      </c>
      <c r="I752" s="18">
        <f t="shared" si="834"/>
        <v>0</v>
      </c>
      <c r="J752" s="18">
        <f t="shared" si="834"/>
        <v>0</v>
      </c>
      <c r="K752" s="18">
        <f t="shared" si="834"/>
        <v>0.19692272110694375</v>
      </c>
      <c r="L752" s="18">
        <f t="shared" ref="L752" si="835">IFERROR(L$737/L$735,0)*L740</f>
        <v>1.0552837179025205</v>
      </c>
      <c r="N752" s="1"/>
    </row>
    <row r="753" spans="2:14" x14ac:dyDescent="0.35">
      <c r="B753" s="5" t="str">
        <f t="shared" ref="B753:B756" si="836">B752</f>
        <v>SPS1</v>
      </c>
      <c r="C753" s="5" t="str">
        <f t="shared" ref="C753:C756" si="837">C752</f>
        <v>CH</v>
      </c>
      <c r="D753" t="s">
        <v>936</v>
      </c>
      <c r="E753" s="5" t="s">
        <v>442</v>
      </c>
      <c r="F753" s="18">
        <f t="shared" ref="F753:K753" si="838">IFERROR(F$737/F$735,0)*F741</f>
        <v>0</v>
      </c>
      <c r="G753" s="18">
        <f t="shared" si="838"/>
        <v>0</v>
      </c>
      <c r="H753" s="18">
        <f t="shared" si="838"/>
        <v>0</v>
      </c>
      <c r="I753" s="18">
        <f t="shared" si="838"/>
        <v>0</v>
      </c>
      <c r="J753" s="18">
        <f t="shared" si="838"/>
        <v>0</v>
      </c>
      <c r="K753" s="18">
        <f t="shared" si="838"/>
        <v>2.8811332867554648E-2</v>
      </c>
      <c r="L753" s="18">
        <f t="shared" ref="L753" si="839">IFERROR(L$737/L$735,0)*L741</f>
        <v>0.15887591762231063</v>
      </c>
      <c r="N753" s="1"/>
    </row>
    <row r="754" spans="2:14" x14ac:dyDescent="0.35">
      <c r="B754" s="5" t="str">
        <f t="shared" si="836"/>
        <v>SPS1</v>
      </c>
      <c r="C754" s="5" t="str">
        <f t="shared" si="837"/>
        <v>CH</v>
      </c>
      <c r="D754" t="s">
        <v>461</v>
      </c>
      <c r="E754" s="5" t="s">
        <v>442</v>
      </c>
      <c r="F754" s="18">
        <f t="shared" ref="F754:K754" si="840">IFERROR(F$737/F$735,0)*F742</f>
        <v>0</v>
      </c>
      <c r="G754" s="18">
        <f t="shared" si="840"/>
        <v>0</v>
      </c>
      <c r="H754" s="18">
        <f t="shared" si="840"/>
        <v>0</v>
      </c>
      <c r="I754" s="18">
        <f t="shared" si="840"/>
        <v>0</v>
      </c>
      <c r="J754" s="18">
        <f t="shared" si="840"/>
        <v>0</v>
      </c>
      <c r="K754" s="18">
        <f t="shared" si="840"/>
        <v>3.7839932988162905E-3</v>
      </c>
      <c r="L754" s="18">
        <f t="shared" ref="L754" si="841">IFERROR(L$737/L$735,0)*L742</f>
        <v>9.6818974169267269E-2</v>
      </c>
      <c r="N754" s="1"/>
    </row>
    <row r="755" spans="2:14" x14ac:dyDescent="0.35">
      <c r="B755" s="5" t="str">
        <f t="shared" si="836"/>
        <v>SPS1</v>
      </c>
      <c r="C755" s="5" t="str">
        <f t="shared" si="837"/>
        <v>CH</v>
      </c>
      <c r="D755" t="s">
        <v>462</v>
      </c>
      <c r="E755" s="5" t="s">
        <v>442</v>
      </c>
      <c r="F755" s="18">
        <f t="shared" ref="F755:K755" si="842">IFERROR(F$737/F$735,0)*F743</f>
        <v>0</v>
      </c>
      <c r="G755" s="18">
        <f t="shared" si="842"/>
        <v>0</v>
      </c>
      <c r="H755" s="18">
        <f t="shared" si="842"/>
        <v>0</v>
      </c>
      <c r="I755" s="18">
        <f t="shared" si="842"/>
        <v>0</v>
      </c>
      <c r="J755" s="18">
        <f t="shared" si="842"/>
        <v>0</v>
      </c>
      <c r="K755" s="18">
        <f t="shared" si="842"/>
        <v>2.4570796513119521E-2</v>
      </c>
      <c r="L755" s="18">
        <f t="shared" ref="L755" si="843">IFERROR(L$737/L$735,0)*L743</f>
        <v>6.2056943453043363E-2</v>
      </c>
      <c r="N755" s="1"/>
    </row>
    <row r="756" spans="2:14" x14ac:dyDescent="0.35">
      <c r="B756" s="5" t="str">
        <f t="shared" si="836"/>
        <v>SPS1</v>
      </c>
      <c r="C756" s="5" t="str">
        <f t="shared" si="837"/>
        <v>CH</v>
      </c>
      <c r="D756" t="s">
        <v>463</v>
      </c>
      <c r="E756" s="5" t="s">
        <v>442</v>
      </c>
      <c r="F756" s="18">
        <f t="shared" ref="F756:K756" si="844">IFERROR(F$737/F$735,0)*F744</f>
        <v>0</v>
      </c>
      <c r="G756" s="18">
        <f t="shared" si="844"/>
        <v>0</v>
      </c>
      <c r="H756" s="18">
        <f t="shared" si="844"/>
        <v>0</v>
      </c>
      <c r="I756" s="18">
        <f t="shared" si="844"/>
        <v>0</v>
      </c>
      <c r="J756" s="18">
        <f t="shared" si="844"/>
        <v>0</v>
      </c>
      <c r="K756" s="18">
        <f t="shared" si="844"/>
        <v>4.5654305561883301E-4</v>
      </c>
      <c r="L756" s="18">
        <f t="shared" ref="L756" si="845">IFERROR(L$737/L$735,0)*L744</f>
        <v>0</v>
      </c>
      <c r="N756" s="1"/>
    </row>
    <row r="757" spans="2:14" x14ac:dyDescent="0.3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846">IFERROR(G$738/G$735,0)*G739</f>
        <v>0</v>
      </c>
      <c r="H757" s="18">
        <f t="shared" si="846"/>
        <v>0</v>
      </c>
      <c r="I757" s="18">
        <f t="shared" si="846"/>
        <v>0</v>
      </c>
      <c r="J757" s="18">
        <f t="shared" si="846"/>
        <v>0</v>
      </c>
      <c r="K757" s="18">
        <f t="shared" si="846"/>
        <v>1.265700329006235E-6</v>
      </c>
      <c r="L757" s="18">
        <f t="shared" ref="L757" si="847">IFERROR(L$738/L$735,0)*L739</f>
        <v>0</v>
      </c>
      <c r="N757" s="1"/>
    </row>
    <row r="758" spans="2:14" x14ac:dyDescent="0.3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848">IFERROR(F$738/F$735,0)*F740</f>
        <v>0</v>
      </c>
      <c r="G758" s="18">
        <f t="shared" si="848"/>
        <v>0</v>
      </c>
      <c r="H758" s="18">
        <f t="shared" si="848"/>
        <v>0</v>
      </c>
      <c r="I758" s="18">
        <f t="shared" si="848"/>
        <v>0</v>
      </c>
      <c r="J758" s="18">
        <f t="shared" si="848"/>
        <v>0</v>
      </c>
      <c r="K758" s="18">
        <f t="shared" si="848"/>
        <v>1.265700329006235E-6</v>
      </c>
      <c r="L758" s="18">
        <f t="shared" ref="L758" si="849">IFERROR(L$738/L$735,0)*L740</f>
        <v>0</v>
      </c>
      <c r="N758" s="1"/>
    </row>
    <row r="759" spans="2:14" x14ac:dyDescent="0.35">
      <c r="B759" s="5" t="str">
        <f t="shared" ref="B759:B762" si="850">B758</f>
        <v>SPS1</v>
      </c>
      <c r="C759" s="5" t="str">
        <f t="shared" ref="C759:C762" si="851">C758</f>
        <v>CH</v>
      </c>
      <c r="D759" t="s">
        <v>938</v>
      </c>
      <c r="E759" s="5" t="s">
        <v>442</v>
      </c>
      <c r="F759" s="18">
        <f t="shared" ref="F759:K759" si="852">IFERROR(F$738/F$735,0)*F741</f>
        <v>0</v>
      </c>
      <c r="G759" s="18">
        <f t="shared" si="852"/>
        <v>0</v>
      </c>
      <c r="H759" s="18">
        <f t="shared" si="852"/>
        <v>0</v>
      </c>
      <c r="I759" s="18">
        <f t="shared" si="852"/>
        <v>0</v>
      </c>
      <c r="J759" s="18">
        <f t="shared" si="852"/>
        <v>0</v>
      </c>
      <c r="K759" s="18">
        <f t="shared" si="852"/>
        <v>1.8518184841538948E-7</v>
      </c>
      <c r="L759" s="18">
        <f t="shared" ref="L759" si="853">IFERROR(L$738/L$735,0)*L741</f>
        <v>0</v>
      </c>
      <c r="N759" s="1"/>
    </row>
    <row r="760" spans="2:14" x14ac:dyDescent="0.35">
      <c r="B760" s="5" t="str">
        <f t="shared" si="850"/>
        <v>SPS1</v>
      </c>
      <c r="C760" s="5" t="str">
        <f t="shared" si="851"/>
        <v>CH</v>
      </c>
      <c r="D760" t="s">
        <v>465</v>
      </c>
      <c r="E760" s="5" t="s">
        <v>442</v>
      </c>
      <c r="F760" s="18">
        <f t="shared" ref="F760:K760" si="854">IFERROR(F$738/F$735,0)*F742</f>
        <v>0</v>
      </c>
      <c r="G760" s="18">
        <f t="shared" si="854"/>
        <v>0</v>
      </c>
      <c r="H760" s="18">
        <f t="shared" si="854"/>
        <v>0</v>
      </c>
      <c r="I760" s="18">
        <f t="shared" si="854"/>
        <v>0</v>
      </c>
      <c r="J760" s="18">
        <f t="shared" si="854"/>
        <v>0</v>
      </c>
      <c r="K760" s="18">
        <f t="shared" si="854"/>
        <v>2.4321223758979874E-8</v>
      </c>
      <c r="L760" s="18">
        <f t="shared" ref="L760" si="855">IFERROR(L$738/L$735,0)*L742</f>
        <v>0</v>
      </c>
      <c r="N760" s="1"/>
    </row>
    <row r="761" spans="2:14" x14ac:dyDescent="0.35">
      <c r="B761" s="5" t="str">
        <f t="shared" si="850"/>
        <v>SPS1</v>
      </c>
      <c r="C761" s="5" t="str">
        <f t="shared" si="851"/>
        <v>CH</v>
      </c>
      <c r="D761" t="s">
        <v>466</v>
      </c>
      <c r="E761" s="5" t="s">
        <v>442</v>
      </c>
      <c r="F761" s="18">
        <f t="shared" ref="F761:K761" si="856">IFERROR(F$738/F$735,0)*F743</f>
        <v>0</v>
      </c>
      <c r="G761" s="18">
        <f t="shared" si="856"/>
        <v>0</v>
      </c>
      <c r="H761" s="18">
        <f t="shared" si="856"/>
        <v>0</v>
      </c>
      <c r="I761" s="18">
        <f t="shared" si="856"/>
        <v>0</v>
      </c>
      <c r="J761" s="18">
        <f t="shared" si="856"/>
        <v>0</v>
      </c>
      <c r="K761" s="18">
        <f t="shared" si="856"/>
        <v>1.5792624160272195E-7</v>
      </c>
      <c r="L761" s="18">
        <f t="shared" ref="L761" si="857">IFERROR(L$738/L$735,0)*L743</f>
        <v>0</v>
      </c>
      <c r="N761" s="1"/>
    </row>
    <row r="762" spans="2:14" x14ac:dyDescent="0.35">
      <c r="B762" s="5" t="str">
        <f t="shared" si="850"/>
        <v>SPS1</v>
      </c>
      <c r="C762" s="5" t="str">
        <f t="shared" si="851"/>
        <v>CH</v>
      </c>
      <c r="D762" t="s">
        <v>467</v>
      </c>
      <c r="E762" s="5" t="s">
        <v>442</v>
      </c>
      <c r="F762" s="18">
        <f t="shared" ref="F762:K762" si="858">IFERROR(F$738/F$735,0)*F744</f>
        <v>0</v>
      </c>
      <c r="G762" s="18">
        <f t="shared" si="858"/>
        <v>0</v>
      </c>
      <c r="H762" s="18">
        <f t="shared" si="858"/>
        <v>0</v>
      </c>
      <c r="I762" s="18">
        <f t="shared" si="858"/>
        <v>0</v>
      </c>
      <c r="J762" s="18">
        <f t="shared" si="858"/>
        <v>0</v>
      </c>
      <c r="K762" s="18">
        <f t="shared" si="858"/>
        <v>2.9343830536876184E-9</v>
      </c>
      <c r="L762" s="18">
        <f t="shared" ref="L762" si="859">IFERROR(L$738/L$735,0)*L744</f>
        <v>0</v>
      </c>
      <c r="N762" s="1"/>
    </row>
    <row r="763" spans="2:14" x14ac:dyDescent="0.35">
      <c r="B763" s="9" t="str">
        <f t="shared" ref="B763" si="860">B762</f>
        <v>SPS1</v>
      </c>
      <c r="C763" s="9" t="str">
        <f t="shared" ref="C763:C777" si="861">C762</f>
        <v>CH</v>
      </c>
      <c r="D763" s="2" t="s">
        <v>496</v>
      </c>
      <c r="E763" s="9" t="s">
        <v>8</v>
      </c>
      <c r="F763" s="17">
        <f t="shared" ref="F763:K763" si="862">F764+F768+F778+F789+F791+F803+F805+F807+F811+F813+F815</f>
        <v>142.22068285386743</v>
      </c>
      <c r="G763" s="17">
        <f t="shared" si="862"/>
        <v>142.43487060158498</v>
      </c>
      <c r="H763" s="17">
        <f t="shared" si="862"/>
        <v>147.51305415580941</v>
      </c>
      <c r="I763" s="17">
        <f t="shared" si="862"/>
        <v>148.41977227486933</v>
      </c>
      <c r="J763" s="17">
        <f t="shared" si="862"/>
        <v>150.21937563077697</v>
      </c>
      <c r="K763" s="17">
        <f t="shared" si="862"/>
        <v>145.04924512535564</v>
      </c>
      <c r="L763" s="17">
        <f t="shared" ref="L763" si="863">L764+L768+L778+L789+L791+L803+L805+L807+L811+L813+L815</f>
        <v>147.90025243587485</v>
      </c>
      <c r="N763" s="1"/>
    </row>
    <row r="764" spans="2:14" x14ac:dyDescent="0.35">
      <c r="B764" s="5" t="str">
        <f>B763</f>
        <v>SPS1</v>
      </c>
      <c r="C764" s="5" t="str">
        <f t="shared" si="861"/>
        <v>CH</v>
      </c>
      <c r="D764" t="s">
        <v>939</v>
      </c>
      <c r="E764" t="s">
        <v>8</v>
      </c>
      <c r="F764" s="18">
        <f>[1]Industry!B$11</f>
        <v>60.070598110756912</v>
      </c>
      <c r="G764" s="18">
        <f>[1]Industry!C$11</f>
        <v>61.543511991580971</v>
      </c>
      <c r="H764" s="18">
        <f>[1]Industry!D$11</f>
        <v>64.989528642358223</v>
      </c>
      <c r="I764" s="18">
        <f>[1]Industry!E$11</f>
        <v>70.551150173109392</v>
      </c>
      <c r="J764" s="18">
        <f>[2]Industry!F$11</f>
        <v>76.943504966613489</v>
      </c>
      <c r="K764" s="18">
        <f>[2]Industry!G$11</f>
        <v>77.091572996147221</v>
      </c>
      <c r="L764" s="18">
        <f>[2]Industry!H$11</f>
        <v>81.017603802011521</v>
      </c>
      <c r="N764" s="1"/>
    </row>
    <row r="765" spans="2:14" x14ac:dyDescent="0.35">
      <c r="B765" s="5" t="str">
        <f t="shared" ref="B765:B777" si="864">B764</f>
        <v>SPS1</v>
      </c>
      <c r="C765" s="5" t="str">
        <f t="shared" si="861"/>
        <v>CH</v>
      </c>
      <c r="D765" t="s">
        <v>758</v>
      </c>
      <c r="E765" t="s">
        <v>8</v>
      </c>
      <c r="F765" s="1">
        <f t="shared" ref="F765:J765" si="865">F764-F766-F767</f>
        <v>11.647261143137953</v>
      </c>
      <c r="G765" s="1">
        <f t="shared" si="865"/>
        <v>12.259033789444956</v>
      </c>
      <c r="H765" s="1">
        <f t="shared" si="865"/>
        <v>12.559846957037372</v>
      </c>
      <c r="I765" s="1">
        <f t="shared" si="865"/>
        <v>15.762662326249718</v>
      </c>
      <c r="J765" s="1">
        <f t="shared" si="865"/>
        <v>21.000490094326395</v>
      </c>
      <c r="K765" s="1">
        <f>K764-K766-K767</f>
        <v>20.9727888556274</v>
      </c>
      <c r="L765" s="1">
        <f>L764-L766-L767</f>
        <v>20.917606728996482</v>
      </c>
      <c r="M765" s="1"/>
      <c r="N765" s="1"/>
    </row>
    <row r="766" spans="2:14" x14ac:dyDescent="0.35">
      <c r="B766" s="5" t="str">
        <f t="shared" si="864"/>
        <v>SPS1</v>
      </c>
      <c r="C766" s="5" t="str">
        <f t="shared" si="861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0.35993931544795071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0.45111663226873028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0.8233330057928927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1.910132472519898</v>
      </c>
      <c r="J766" s="1" cm="1">
        <f t="array" ref="J766">SUMPRODUCT(([2]OUT_FinalEnergyCons!$B$4:$B$10000="Var_Fin")*1, ([2]OUT_FinalEnergyCons!$C$4:$C$10000="ITOT_ELC")*1, (ISNUMBER(SEARCH("ITOT-SWHELCHP",[2]OUT_FinalEnergyCons!$A$4:$A$10000)))*1,[2]OUT_FinalEnergyCons!H$4:H$10000)</f>
        <v>1.8826522743364538</v>
      </c>
      <c r="K766" s="1" cm="1">
        <f t="array" ref="K766">SUMPRODUCT(([2]OUT_FinalEnergyCons!$B$4:$B$10000="Var_Fin")*1, ([2]OUT_FinalEnergyCons!$C$4:$C$10000="ITOT_ELC")*1, (ISNUMBER(SEARCH("ITOT-SWHELCHP",[2]OUT_FinalEnergyCons!$A$4:$A$10000)))*1,[2]OUT_FinalEnergyCons!I$4:I$10000)</f>
        <v>2.5914842459875436</v>
      </c>
      <c r="L766" s="1" cm="1">
        <f t="array" ref="L766">SUMPRODUCT(([2]OUT_FinalEnergyCons!$B$4:$B$10000="Var_Fin")*1, ([2]OUT_FinalEnergyCons!$C$4:$C$10000="ITOT_ELC")*1, (ISNUMBER(SEARCH("ITOT-SWHELCHP",[2]OUT_FinalEnergyCons!$A$4:$A$10000)))*1,[2]OUT_FinalEnergyCons!J$4:J$10000)</f>
        <v>3.1912701012103892</v>
      </c>
      <c r="N766" s="1"/>
    </row>
    <row r="767" spans="2:14" x14ac:dyDescent="0.35">
      <c r="B767" s="5" t="str">
        <f t="shared" si="864"/>
        <v>SPS1</v>
      </c>
      <c r="C767" s="5" t="str">
        <f t="shared" si="861"/>
        <v>CH</v>
      </c>
      <c r="D767" t="s">
        <v>468</v>
      </c>
      <c r="E767" t="s">
        <v>8</v>
      </c>
      <c r="F767" s="1">
        <f>[1]Industry!B$11-[1]Industry!B$33</f>
        <v>48.063397652171005</v>
      </c>
      <c r="G767" s="1">
        <f>[1]Industry!C$11-[1]Industry!C$33</f>
        <v>48.833361569867286</v>
      </c>
      <c r="H767" s="1">
        <f>[1]Industry!D$11-[1]Industry!D$33</f>
        <v>51.606348679527962</v>
      </c>
      <c r="I767" s="1">
        <f>[1]Industry!E$11-[1]Industry!E$33</f>
        <v>52.878355374339769</v>
      </c>
      <c r="J767" s="1">
        <f>[2]Industry!F$11-[2]Industry!F$33</f>
        <v>54.060362597950643</v>
      </c>
      <c r="K767" s="1">
        <f>[2]Industry!G$11-[2]Industry!G$33</f>
        <v>53.527299894532277</v>
      </c>
      <c r="L767" s="1">
        <f>[2]Industry!H$11-[2]Industry!H$33</f>
        <v>56.908726971804647</v>
      </c>
      <c r="N767" s="1"/>
    </row>
    <row r="768" spans="2:14" x14ac:dyDescent="0.35">
      <c r="B768" s="5" t="str">
        <f t="shared" si="864"/>
        <v>SPS1</v>
      </c>
      <c r="C768" s="5" t="str">
        <f t="shared" si="861"/>
        <v>CH</v>
      </c>
      <c r="D768" t="s">
        <v>469</v>
      </c>
      <c r="E768" t="s">
        <v>8</v>
      </c>
      <c r="F768" s="1">
        <f>SUM(F771,F776)</f>
        <v>11.628220477877354</v>
      </c>
      <c r="G768" s="1">
        <f t="shared" ref="G768:K768" si="866">SUM(G771,G776)</f>
        <v>10.840080342452087</v>
      </c>
      <c r="H768" s="1">
        <f t="shared" si="866"/>
        <v>8.3047920658197221</v>
      </c>
      <c r="I768" s="1">
        <f t="shared" si="866"/>
        <v>6.689248785068922</v>
      </c>
      <c r="J768" s="1">
        <f t="shared" si="866"/>
        <v>5.5522113420808186</v>
      </c>
      <c r="K768" s="1">
        <f t="shared" si="866"/>
        <v>3.3330153348348794</v>
      </c>
      <c r="L768" s="1">
        <f t="shared" ref="L768" si="867">SUM(L771,L776)</f>
        <v>0.25347337143741311</v>
      </c>
      <c r="N768" s="1"/>
    </row>
    <row r="769" spans="2:14" x14ac:dyDescent="0.35">
      <c r="B769" s="5" t="str">
        <f t="shared" si="864"/>
        <v>SPS1</v>
      </c>
      <c r="C769" s="5" t="str">
        <f t="shared" si="861"/>
        <v>CH</v>
      </c>
      <c r="D769" t="s">
        <v>470</v>
      </c>
      <c r="E769" t="s">
        <v>8</v>
      </c>
      <c r="F769" s="1">
        <f>SUM(F773,F777)</f>
        <v>8.8980668457453493</v>
      </c>
      <c r="G769" s="1">
        <f t="shared" ref="G769:K769" si="868">SUM(G773,G777)</f>
        <v>8.1218811327210911</v>
      </c>
      <c r="H769" s="1">
        <f t="shared" si="868"/>
        <v>8.257322088845136</v>
      </c>
      <c r="I769" s="1">
        <f t="shared" si="868"/>
        <v>6.6847043840037541</v>
      </c>
      <c r="J769" s="1">
        <f t="shared" si="868"/>
        <v>5.548983903694988</v>
      </c>
      <c r="K769" s="1">
        <f t="shared" si="868"/>
        <v>3.3327587696569569</v>
      </c>
      <c r="L769" s="1">
        <f t="shared" ref="L769" si="869">SUM(L773,L777)</f>
        <v>0.25347337143741311</v>
      </c>
      <c r="N769" s="1"/>
    </row>
    <row r="770" spans="2:14" x14ac:dyDescent="0.35">
      <c r="B770" s="5" t="str">
        <f t="shared" si="864"/>
        <v>SPS1</v>
      </c>
      <c r="C770" s="5" t="str">
        <f t="shared" si="861"/>
        <v>CH</v>
      </c>
      <c r="D770" t="s">
        <v>471</v>
      </c>
      <c r="E770" t="s">
        <v>8</v>
      </c>
      <c r="F770" s="1">
        <f>F775</f>
        <v>2.7301536321320046</v>
      </c>
      <c r="G770" s="1">
        <f t="shared" ref="G770:K770" si="870">G775</f>
        <v>2.7181992097309959</v>
      </c>
      <c r="H770" s="1">
        <f t="shared" si="870"/>
        <v>4.7469976974586547E-2</v>
      </c>
      <c r="I770" s="1">
        <f t="shared" si="870"/>
        <v>4.5444010651676508E-3</v>
      </c>
      <c r="J770" s="1">
        <f t="shared" si="870"/>
        <v>3.2274383858308543E-3</v>
      </c>
      <c r="K770" s="1">
        <f t="shared" si="870"/>
        <v>2.5656517792245687E-4</v>
      </c>
      <c r="L770" s="1">
        <f t="shared" ref="L770" si="871">L775</f>
        <v>0</v>
      </c>
      <c r="N770" s="1"/>
    </row>
    <row r="771" spans="2:14" x14ac:dyDescent="0.35">
      <c r="B771" s="5" t="str">
        <f t="shared" si="864"/>
        <v>SPS1</v>
      </c>
      <c r="C771" s="5" t="str">
        <f t="shared" si="861"/>
        <v>CH</v>
      </c>
      <c r="D771" t="s">
        <v>940</v>
      </c>
      <c r="E771" t="s">
        <v>8</v>
      </c>
      <c r="F771" s="1">
        <f>SUM(F772,F774)</f>
        <v>11.628220477877354</v>
      </c>
      <c r="G771" s="1">
        <f t="shared" ref="G771:K771" si="872">SUM(G772,G774)</f>
        <v>10.840080342452087</v>
      </c>
      <c r="H771" s="1">
        <f t="shared" si="872"/>
        <v>8.303833561071329</v>
      </c>
      <c r="I771" s="1">
        <f t="shared" si="872"/>
        <v>6.4735878261003075</v>
      </c>
      <c r="J771" s="1">
        <f t="shared" si="872"/>
        <v>5.426493421149222</v>
      </c>
      <c r="K771" s="1">
        <f t="shared" si="872"/>
        <v>3.1929376274991377</v>
      </c>
      <c r="L771" s="1">
        <f t="shared" ref="L771" si="873">SUM(L772,L774)</f>
        <v>4.1903791360996749E-6</v>
      </c>
      <c r="N771" s="1"/>
    </row>
    <row r="772" spans="2:14" x14ac:dyDescent="0.35">
      <c r="B772" s="5" t="str">
        <f t="shared" si="864"/>
        <v>SPS1</v>
      </c>
      <c r="C772" s="5" t="str">
        <f t="shared" si="861"/>
        <v>CH</v>
      </c>
      <c r="D772" t="s">
        <v>525</v>
      </c>
      <c r="E772" t="s">
        <v>8</v>
      </c>
      <c r="F772" s="1">
        <f>[1]Industry!B$34</f>
        <v>8.8980668457453493</v>
      </c>
      <c r="G772" s="1">
        <f>[1]Industry!C$34</f>
        <v>8.1218811327210911</v>
      </c>
      <c r="H772" s="1">
        <f>[1]Industry!D$34</f>
        <v>8.2563635840967429</v>
      </c>
      <c r="I772" s="1">
        <f>[1]Industry!E$34</f>
        <v>6.4690434250351396</v>
      </c>
      <c r="J772" s="1">
        <f>[2]Industry!F$34</f>
        <v>5.4232659827633913</v>
      </c>
      <c r="K772" s="1">
        <f>[2]Industry!G$34</f>
        <v>3.1926810623212152</v>
      </c>
      <c r="L772" s="1">
        <f>[2]Industry!H$34</f>
        <v>4.1903791360996749E-6</v>
      </c>
      <c r="N772" s="1"/>
    </row>
    <row r="773" spans="2:14" x14ac:dyDescent="0.35">
      <c r="B773" s="5" t="str">
        <f t="shared" si="864"/>
        <v>SPS1</v>
      </c>
      <c r="C773" s="5" t="str">
        <f t="shared" si="861"/>
        <v>CH</v>
      </c>
      <c r="D773" t="s">
        <v>526</v>
      </c>
      <c r="E773" t="s">
        <v>8</v>
      </c>
      <c r="F773" s="1">
        <f>F772</f>
        <v>8.8980668457453493</v>
      </c>
      <c r="G773" s="1">
        <f t="shared" ref="G773:K773" si="874">G772</f>
        <v>8.1218811327210911</v>
      </c>
      <c r="H773" s="1">
        <f t="shared" si="874"/>
        <v>8.2563635840967429</v>
      </c>
      <c r="I773" s="1">
        <f t="shared" si="874"/>
        <v>6.4690434250351396</v>
      </c>
      <c r="J773" s="1">
        <f t="shared" si="874"/>
        <v>5.4232659827633913</v>
      </c>
      <c r="K773" s="1">
        <f t="shared" si="874"/>
        <v>3.1926810623212152</v>
      </c>
      <c r="L773" s="1">
        <f t="shared" ref="L773" si="875">L772</f>
        <v>4.1903791360996749E-6</v>
      </c>
      <c r="N773" s="1"/>
    </row>
    <row r="774" spans="2:14" x14ac:dyDescent="0.35">
      <c r="B774" s="5" t="str">
        <f t="shared" si="864"/>
        <v>SPS1</v>
      </c>
      <c r="C774" s="5" t="str">
        <f t="shared" si="861"/>
        <v>CH</v>
      </c>
      <c r="D774" t="s">
        <v>527</v>
      </c>
      <c r="E774" t="s">
        <v>8</v>
      </c>
      <c r="F774" s="1">
        <f>[1]Industry!B$35</f>
        <v>2.7301536321320046</v>
      </c>
      <c r="G774" s="1">
        <f>[1]Industry!C$35</f>
        <v>2.7181992097309959</v>
      </c>
      <c r="H774" s="1">
        <f>[1]Industry!D$35</f>
        <v>4.7469976974586547E-2</v>
      </c>
      <c r="I774" s="1">
        <f>[1]Industry!E$35</f>
        <v>4.5444010651676508E-3</v>
      </c>
      <c r="J774" s="1">
        <f>[2]Industry!F$35</f>
        <v>3.2274383858308543E-3</v>
      </c>
      <c r="K774" s="1">
        <f>[2]Industry!G$35</f>
        <v>2.5656517792245687E-4</v>
      </c>
      <c r="L774" s="1">
        <f>[2]Industry!H$35</f>
        <v>0</v>
      </c>
      <c r="N774" s="1"/>
    </row>
    <row r="775" spans="2:14" x14ac:dyDescent="0.35">
      <c r="B775" s="5" t="str">
        <f t="shared" si="864"/>
        <v>SPS1</v>
      </c>
      <c r="C775" s="5" t="str">
        <f t="shared" si="861"/>
        <v>CH</v>
      </c>
      <c r="D775" t="s">
        <v>943</v>
      </c>
      <c r="E775" t="s">
        <v>8</v>
      </c>
      <c r="F775" s="1">
        <f>F774</f>
        <v>2.7301536321320046</v>
      </c>
      <c r="G775" s="1">
        <f t="shared" ref="G775:K775" si="876">G774</f>
        <v>2.7181992097309959</v>
      </c>
      <c r="H775" s="1">
        <f t="shared" si="876"/>
        <v>4.7469976974586547E-2</v>
      </c>
      <c r="I775" s="1">
        <f t="shared" si="876"/>
        <v>4.5444010651676508E-3</v>
      </c>
      <c r="J775" s="1">
        <f t="shared" si="876"/>
        <v>3.2274383858308543E-3</v>
      </c>
      <c r="K775" s="1">
        <f t="shared" si="876"/>
        <v>2.5656517792245687E-4</v>
      </c>
      <c r="L775" s="1">
        <f t="shared" ref="L775" si="877">L774</f>
        <v>0</v>
      </c>
      <c r="N775" s="1"/>
    </row>
    <row r="776" spans="2:14" x14ac:dyDescent="0.35">
      <c r="B776" s="5" t="str">
        <f t="shared" si="864"/>
        <v>SPS1</v>
      </c>
      <c r="C776" s="5" t="str">
        <f t="shared" si="861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9.5850474839326251E-4</v>
      </c>
      <c r="I776" s="1">
        <f>[1]Industry!E$36</f>
        <v>0.2156609589686147</v>
      </c>
      <c r="J776" s="1">
        <f>[2]Industry!F$36</f>
        <v>0.12571792093159653</v>
      </c>
      <c r="K776" s="1">
        <f>[2]Industry!G$36</f>
        <v>0.14007770733574174</v>
      </c>
      <c r="L776" s="1">
        <f>[2]Industry!H$36</f>
        <v>0.25346918105827698</v>
      </c>
      <c r="N776" s="1"/>
    </row>
    <row r="777" spans="2:14" x14ac:dyDescent="0.35">
      <c r="B777" s="5" t="str">
        <f t="shared" si="864"/>
        <v>SPS1</v>
      </c>
      <c r="C777" s="5" t="str">
        <f t="shared" si="861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878">G776</f>
        <v>0</v>
      </c>
      <c r="H777" s="1">
        <f t="shared" si="878"/>
        <v>9.5850474839326251E-4</v>
      </c>
      <c r="I777" s="1">
        <f t="shared" si="878"/>
        <v>0.2156609589686147</v>
      </c>
      <c r="J777" s="1">
        <f t="shared" si="878"/>
        <v>0.12571792093159653</v>
      </c>
      <c r="K777" s="1">
        <f t="shared" si="878"/>
        <v>0.14007770733574174</v>
      </c>
      <c r="L777" s="1">
        <f t="shared" ref="L777" si="879">L776</f>
        <v>0.25346918105827698</v>
      </c>
      <c r="N777" s="1"/>
    </row>
    <row r="778" spans="2:14" x14ac:dyDescent="0.35">
      <c r="B778" s="5" t="str">
        <f t="shared" ref="B778:B779" si="880">B777</f>
        <v>SPS1</v>
      </c>
      <c r="C778" s="5" t="str">
        <f t="shared" ref="C778:C779" si="881">C777</f>
        <v>CH</v>
      </c>
      <c r="D778" t="s">
        <v>472</v>
      </c>
      <c r="E778" t="s">
        <v>8</v>
      </c>
      <c r="F778" s="1">
        <f>SUM([1]Industry!B$37:B$39)</f>
        <v>35.989351864259419</v>
      </c>
      <c r="G778" s="1">
        <f>SUM([1]Industry!C$37:C$39)</f>
        <v>32.483852740047823</v>
      </c>
      <c r="H778" s="1">
        <f>SUM([1]Industry!D$37:D$39)</f>
        <v>36.473765366656281</v>
      </c>
      <c r="I778" s="1">
        <f>SUM([1]Industry!E$37:E$39)</f>
        <v>26.088671323493799</v>
      </c>
      <c r="J778" s="1">
        <f>SUM([2]Industry!F$37:F$39)</f>
        <v>13.423163014602274</v>
      </c>
      <c r="K778" s="1">
        <f>SUM([2]Industry!G$37:G$39)</f>
        <v>8.4812755814625529</v>
      </c>
      <c r="L778" s="1">
        <f>SUM([2]Industry!H$37:H$39)</f>
        <v>5.5100231893824763</v>
      </c>
      <c r="N778" s="1"/>
    </row>
    <row r="779" spans="2:14" x14ac:dyDescent="0.35">
      <c r="B779" s="5" t="str">
        <f t="shared" si="880"/>
        <v>SPS1</v>
      </c>
      <c r="C779" s="5" t="str">
        <f t="shared" si="881"/>
        <v>CH</v>
      </c>
      <c r="D779" t="s">
        <v>678</v>
      </c>
      <c r="E779" t="s">
        <v>8</v>
      </c>
      <c r="F779" s="1">
        <f>SUM([1]Industry!B$37:B$38)-F780</f>
        <v>35.523451979456425</v>
      </c>
      <c r="G779" s="1">
        <f>SUM([1]Industry!C$37:C$38)-G780</f>
        <v>31.916167076306184</v>
      </c>
      <c r="H779" s="1">
        <f>SUM([1]Industry!D$37:D$38)-H780</f>
        <v>34.860140051992964</v>
      </c>
      <c r="I779" s="1">
        <f>SUM([1]Industry!E$37:E$38)-I780</f>
        <v>22.941073624026416</v>
      </c>
      <c r="J779" s="1">
        <f>SUM([2]Industry!F$37:F$38)-J780</f>
        <v>10.192354119582673</v>
      </c>
      <c r="K779" s="1">
        <f>SUM([2]Industry!G$37:G$38)-K780</f>
        <v>5.2504647711808961</v>
      </c>
      <c r="L779" s="1">
        <f>SUM([2]Industry!H$37:H$38)-L780</f>
        <v>1.1767345613904756</v>
      </c>
      <c r="N779" s="1"/>
    </row>
    <row r="780" spans="2:14" x14ac:dyDescent="0.35">
      <c r="B780" s="5" t="str">
        <f t="shared" ref="B780" si="882">B779</f>
        <v>SPS1</v>
      </c>
      <c r="C780" s="5" t="str">
        <f t="shared" ref="C780" si="883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2.9028968769227743E-2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1.5547552931601278E-2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9.3371982356823587E-3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</v>
      </c>
      <c r="J780" s="1" cm="1">
        <f t="array" ref="J780">SUMPRODUCT(([2]OUT_FinalEnergyCons!$B$4:$B$10000="Var_Fin")*1,  ([2]OUT_FinalEnergyCons!$C$4:$C$10000="Inga")*1,(ISNUMBER(SEARCH("ITOT-SWHNGAHP",[2]OUT_FinalEnergyCons!$A$4:$A$10000)))*1,[2]OUT_FinalEnergyCons!L$4:L$10000)</f>
        <v>0</v>
      </c>
      <c r="K780" s="1" cm="1">
        <f t="array" ref="K780">SUMPRODUCT(([2]OUT_FinalEnergyCons!$B$4:$B$10000="Var_Fin")*1,  ([2]OUT_FinalEnergyCons!$C$4:$C$10000="Inga")*1,(ISNUMBER(SEARCH("ITOT-SWHNGAHP",[2]OUT_FinalEnergyCons!$A$4:$A$10000)))*1,[2]OUT_FinalEnergyCons!M$4:M$10000)</f>
        <v>0</v>
      </c>
      <c r="L780" s="1" cm="1">
        <f t="array" ref="L780">SUMPRODUCT(([2]OUT_FinalEnergyCons!$B$4:$B$10000="Var_Fin")*1,  ([2]OUT_FinalEnergyCons!$C$4:$C$10000="Inga")*1,(ISNUMBER(SEARCH("ITOT-SWHNGAHP",[2]OUT_FinalEnergyCons!$A$4:$A$10000)))*1,[2]OUT_FinalEnergyCons!N$4:N$10000)</f>
        <v>0</v>
      </c>
      <c r="N780" s="1"/>
    </row>
    <row r="781" spans="2:14" x14ac:dyDescent="0.3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884">F778-F779</f>
        <v>0.46589988480299382</v>
      </c>
      <c r="G781" s="1">
        <f t="shared" si="884"/>
        <v>0.56768566374163854</v>
      </c>
      <c r="H781" s="1">
        <f t="shared" si="884"/>
        <v>1.6136253146633166</v>
      </c>
      <c r="I781" s="1">
        <f t="shared" si="884"/>
        <v>3.1475976994673829</v>
      </c>
      <c r="J781" s="1">
        <f t="shared" si="884"/>
        <v>3.2308088950196012</v>
      </c>
      <c r="K781" s="1">
        <f t="shared" si="884"/>
        <v>3.2308108102816568</v>
      </c>
      <c r="L781" s="1">
        <f t="shared" ref="L781" si="885">L778-L779</f>
        <v>4.3332886279920011</v>
      </c>
      <c r="N781" s="1"/>
    </row>
    <row r="782" spans="2:14" x14ac:dyDescent="0.35">
      <c r="B782" s="5" t="str">
        <f t="shared" ref="B782:B790" si="886">B781</f>
        <v>SPS1</v>
      </c>
      <c r="C782" s="5" t="str">
        <f t="shared" ref="C782:C790" si="887">C781</f>
        <v>CH</v>
      </c>
      <c r="D782" t="s">
        <v>944</v>
      </c>
      <c r="E782" t="s">
        <v>8</v>
      </c>
      <c r="F782" s="1">
        <f>[1]Industry!B$37</f>
        <v>35.25330344369997</v>
      </c>
      <c r="G782" s="1">
        <f>[1]Industry!C$37</f>
        <v>31.928365904344549</v>
      </c>
      <c r="H782" s="1">
        <f>[1]Industry!D$37</f>
        <v>32.590128059217399</v>
      </c>
      <c r="I782" s="1">
        <f>[1]Industry!E$37</f>
        <v>20.588419595815022</v>
      </c>
      <c r="J782" s="1">
        <f>[2]Industry!F$37</f>
        <v>8.2255501708004797</v>
      </c>
      <c r="K782" s="1">
        <f>[2]Industry!G$37</f>
        <v>3.0854303904475602</v>
      </c>
      <c r="L782" s="1">
        <f>[2]Industry!H$37</f>
        <v>0.44378335573491784</v>
      </c>
      <c r="N782" s="1"/>
    </row>
    <row r="783" spans="2:14" x14ac:dyDescent="0.35">
      <c r="B783" s="5" t="str">
        <f t="shared" si="886"/>
        <v>SPS1</v>
      </c>
      <c r="C783" s="5" t="str">
        <f t="shared" si="887"/>
        <v>CH</v>
      </c>
      <c r="D783" t="s">
        <v>679</v>
      </c>
      <c r="E783" t="s">
        <v>8</v>
      </c>
      <c r="F783" s="1">
        <f>[1]Industry!B$37*F779/SUM(F779:F780)</f>
        <v>35.224518756460576</v>
      </c>
      <c r="G783" s="1">
        <f>[1]Industry!C$37*G779/SUM(G779:G780)</f>
        <v>31.912819981907212</v>
      </c>
      <c r="H783" s="1">
        <f>[1]Industry!D$37*H779/SUM(H779:H780)</f>
        <v>32.581401215277886</v>
      </c>
      <c r="I783" s="1">
        <f>[1]Industry!E$37*I779/SUM(I779:I780)</f>
        <v>20.588419595815022</v>
      </c>
      <c r="J783" s="1">
        <f>[2]Industry!F$37*J779/SUM(J779:J780)</f>
        <v>8.2255501708004797</v>
      </c>
      <c r="K783" s="1">
        <f>[2]Industry!G$37*K779/SUM(K779:K780)</f>
        <v>3.0854303904475602</v>
      </c>
      <c r="L783" s="1">
        <f>[2]Industry!H$37*L779/SUM(L779:L780)</f>
        <v>0.44378335573491784</v>
      </c>
      <c r="N783" s="1"/>
    </row>
    <row r="784" spans="2:14" x14ac:dyDescent="0.35">
      <c r="B784" s="5" t="str">
        <f t="shared" ref="B784" si="888">B783</f>
        <v>SPS1</v>
      </c>
      <c r="C784" s="5" t="str">
        <f t="shared" ref="C784" si="889">C783</f>
        <v>CH</v>
      </c>
      <c r="D784" t="s">
        <v>723</v>
      </c>
      <c r="E784" t="s">
        <v>8</v>
      </c>
      <c r="F784" s="1">
        <f>F782-F783</f>
        <v>2.8784687239394202E-2</v>
      </c>
      <c r="G784" s="1">
        <f t="shared" ref="G784:K784" si="890">G782-G783</f>
        <v>1.5545922437336657E-2</v>
      </c>
      <c r="H784" s="1">
        <f t="shared" si="890"/>
        <v>8.7268439395131736E-3</v>
      </c>
      <c r="I784" s="1">
        <f t="shared" si="890"/>
        <v>0</v>
      </c>
      <c r="J784" s="1">
        <f t="shared" si="890"/>
        <v>0</v>
      </c>
      <c r="K784" s="1">
        <f t="shared" si="890"/>
        <v>0</v>
      </c>
      <c r="L784" s="1">
        <f t="shared" ref="L784" si="891">L782-L783</f>
        <v>0</v>
      </c>
      <c r="N784" s="1"/>
    </row>
    <row r="785" spans="2:14" x14ac:dyDescent="0.3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0.73604842055944864</v>
      </c>
      <c r="G785" s="1">
        <f t="shared" ref="G785:K785" si="892">SUM(G786:G788)</f>
        <v>0.55548683570327295</v>
      </c>
      <c r="H785" s="1">
        <f t="shared" si="892"/>
        <v>3.883637307438879</v>
      </c>
      <c r="I785" s="1">
        <f t="shared" si="892"/>
        <v>5.5002517276787781</v>
      </c>
      <c r="J785" s="1">
        <f t="shared" si="892"/>
        <v>5.1976128438017923</v>
      </c>
      <c r="K785" s="1">
        <f t="shared" si="892"/>
        <v>5.3958451910149918</v>
      </c>
      <c r="L785" s="1">
        <f t="shared" ref="L785" si="893">SUM(L786:L788)</f>
        <v>5.0662398336475594</v>
      </c>
      <c r="N785" s="1"/>
    </row>
    <row r="786" spans="2:14" x14ac:dyDescent="0.35">
      <c r="B786" s="5" t="str">
        <f t="shared" si="886"/>
        <v>SPS1</v>
      </c>
      <c r="C786" s="5" t="str">
        <f t="shared" si="887"/>
        <v>CH</v>
      </c>
      <c r="D786" t="s">
        <v>680</v>
      </c>
      <c r="E786" t="s">
        <v>8</v>
      </c>
      <c r="F786" s="1">
        <f>[1]Industry!B$38*F779/SUM(F779:F780)</f>
        <v>0.29893322299585012</v>
      </c>
      <c r="G786" s="1">
        <f>[1]Industry!C$38*G779/SUM(G779:G780)</f>
        <v>3.3470943989722278E-3</v>
      </c>
      <c r="H786" s="1">
        <f>[1]Industry!D$38*H779/SUM(H779:H780)</f>
        <v>2.2787388367150787</v>
      </c>
      <c r="I786" s="1">
        <f>[1]Industry!E$38*I779/SUM(I779:I780)</f>
        <v>2.3526540282113944</v>
      </c>
      <c r="J786" s="1">
        <f>[2]Industry!F$38*J779/SUM(J779:J780)</f>
        <v>1.9668039487821922</v>
      </c>
      <c r="K786" s="1">
        <f>[2]Industry!G$38*K779/SUM(K779:K780)</f>
        <v>2.1650343807333359</v>
      </c>
      <c r="L786" s="1">
        <f>[2]Industry!H$38*L779/SUM(L779:L780)</f>
        <v>0.73295120565555782</v>
      </c>
      <c r="N786" s="1"/>
    </row>
    <row r="787" spans="2:14" x14ac:dyDescent="0.35">
      <c r="B787" s="5" t="str">
        <f t="shared" ref="B787" si="894">B786</f>
        <v>SPS1</v>
      </c>
      <c r="C787" s="5" t="str">
        <f t="shared" ref="C787" si="895">C786</f>
        <v>CH</v>
      </c>
      <c r="D787" t="s">
        <v>724</v>
      </c>
      <c r="E787" t="s">
        <v>8</v>
      </c>
      <c r="F787" s="1">
        <f>[1]Industry!B$38-F786</f>
        <v>2.442815298313028E-4</v>
      </c>
      <c r="G787" s="1">
        <f>[1]Industry!C$38-G786</f>
        <v>1.6304942636333544E-6</v>
      </c>
      <c r="H787" s="1">
        <f>[1]Industry!D$38-H786</f>
        <v>6.1035429616795867E-4</v>
      </c>
      <c r="I787" s="1">
        <f>[1]Industry!E$38-I786</f>
        <v>0</v>
      </c>
      <c r="J787" s="1">
        <f>[2]Industry!F$38-J786</f>
        <v>0</v>
      </c>
      <c r="K787" s="1">
        <f>[2]Industry!G$38-K786</f>
        <v>0</v>
      </c>
      <c r="L787" s="1">
        <f>[2]Industry!H$38-L786</f>
        <v>0</v>
      </c>
      <c r="N787" s="1"/>
    </row>
    <row r="788" spans="2:14" x14ac:dyDescent="0.3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0.43687091603376721</v>
      </c>
      <c r="G788" s="1">
        <f>[1]Industry!C$39</f>
        <v>0.55213811081003705</v>
      </c>
      <c r="H788" s="1">
        <f>[1]Industry!D$39</f>
        <v>1.6042881164276321</v>
      </c>
      <c r="I788" s="1">
        <f>[1]Industry!E$39</f>
        <v>3.1475976994673842</v>
      </c>
      <c r="J788" s="1">
        <f>[2]Industry!F$39</f>
        <v>3.2308088950196003</v>
      </c>
      <c r="K788" s="1">
        <f>[2]Industry!G$39</f>
        <v>3.2308108102816564</v>
      </c>
      <c r="L788" s="1">
        <f>[2]Industry!H$39</f>
        <v>4.3332886279920011</v>
      </c>
      <c r="N788" s="1"/>
    </row>
    <row r="789" spans="2:14" x14ac:dyDescent="0.35">
      <c r="B789" s="5" t="str">
        <f t="shared" si="886"/>
        <v>SPS1</v>
      </c>
      <c r="C789" s="5" t="str">
        <f t="shared" si="887"/>
        <v>CH</v>
      </c>
      <c r="D789" t="s">
        <v>946</v>
      </c>
      <c r="E789" t="s">
        <v>8</v>
      </c>
      <c r="F789" s="1">
        <f>[1]Industry!B$18</f>
        <v>3.5601573608479287</v>
      </c>
      <c r="G789" s="1">
        <f>[1]Industry!C$18</f>
        <v>3.4647541095190793</v>
      </c>
      <c r="H789" s="1">
        <f>[1]Industry!D$18</f>
        <v>0.12899021100237884</v>
      </c>
      <c r="I789" s="1">
        <f>[1]Industry!E$18</f>
        <v>4.382933590500058E-3</v>
      </c>
      <c r="J789" s="1">
        <f>[2]Industry!F$18</f>
        <v>2.2535582696409798E-3</v>
      </c>
      <c r="K789" s="1">
        <f>[2]Industry!G$18</f>
        <v>2.5928858867473818E-4</v>
      </c>
      <c r="L789" s="1">
        <f>[2]Industry!H$18</f>
        <v>0</v>
      </c>
      <c r="N789" s="1"/>
    </row>
    <row r="790" spans="2:14" x14ac:dyDescent="0.35">
      <c r="B790" s="5" t="str">
        <f t="shared" si="886"/>
        <v>SPS1</v>
      </c>
      <c r="C790" s="5" t="str">
        <f t="shared" si="887"/>
        <v>CH</v>
      </c>
      <c r="D790" t="s">
        <v>947</v>
      </c>
      <c r="E790" t="s">
        <v>8</v>
      </c>
      <c r="F790" s="1">
        <f>F789</f>
        <v>3.5601573608479287</v>
      </c>
      <c r="G790" s="1">
        <f t="shared" ref="G790:K790" si="896">G789</f>
        <v>3.4647541095190793</v>
      </c>
      <c r="H790" s="1">
        <f t="shared" si="896"/>
        <v>0.12899021100237884</v>
      </c>
      <c r="I790" s="1">
        <f t="shared" si="896"/>
        <v>4.382933590500058E-3</v>
      </c>
      <c r="J790" s="1">
        <f t="shared" si="896"/>
        <v>2.2535582696409798E-3</v>
      </c>
      <c r="K790" s="1">
        <f t="shared" si="896"/>
        <v>2.5928858867473818E-4</v>
      </c>
      <c r="L790" s="1">
        <f t="shared" ref="L790" si="897">L789</f>
        <v>0</v>
      </c>
      <c r="N790" s="1"/>
    </row>
    <row r="791" spans="2:14" x14ac:dyDescent="0.35">
      <c r="B791" s="5" t="str">
        <f t="shared" ref="B791:B792" si="898">B790</f>
        <v>SPS1</v>
      </c>
      <c r="C791" s="5" t="str">
        <f t="shared" ref="C791:C792" si="899">C790</f>
        <v>CH</v>
      </c>
      <c r="D791" t="s">
        <v>948</v>
      </c>
      <c r="E791" t="s">
        <v>8</v>
      </c>
      <c r="F791" s="1">
        <f>[1]Industry!B$19</f>
        <v>12.729060467056971</v>
      </c>
      <c r="G791" s="1">
        <f>[1]Industry!C$19</f>
        <v>13.638637605412946</v>
      </c>
      <c r="H791" s="1">
        <f>[1]Industry!D$19</f>
        <v>13.954675063299224</v>
      </c>
      <c r="I791" s="1">
        <f>[1]Industry!E$19</f>
        <v>14.452189675714195</v>
      </c>
      <c r="J791" s="1">
        <f>[2]Industry!F$19</f>
        <v>15.292830291808189</v>
      </c>
      <c r="K791" s="1">
        <f>[2]Industry!G$19</f>
        <v>14.799946240816237</v>
      </c>
      <c r="L791" s="1">
        <f>[2]Industry!H$19</f>
        <v>19.798164391651166</v>
      </c>
      <c r="N791" s="1"/>
    </row>
    <row r="792" spans="2:14" x14ac:dyDescent="0.35">
      <c r="B792" s="5" t="str">
        <f t="shared" si="898"/>
        <v>SPS1</v>
      </c>
      <c r="C792" s="5" t="str">
        <f t="shared" si="899"/>
        <v>CH</v>
      </c>
      <c r="D792" t="s">
        <v>949</v>
      </c>
      <c r="E792" t="s">
        <v>8</v>
      </c>
      <c r="F792" s="1">
        <f>SUM(F793:F801)</f>
        <v>4.4312650819680517</v>
      </c>
      <c r="G792" s="1">
        <f t="shared" ref="G792:K792" si="900">SUM(G793:G801)</f>
        <v>5.6289556451317022</v>
      </c>
      <c r="H792" s="1">
        <f t="shared" si="900"/>
        <v>5.6601880849007369</v>
      </c>
      <c r="I792" s="1">
        <f t="shared" si="900"/>
        <v>6.7799566358423231</v>
      </c>
      <c r="J792" s="1">
        <f t="shared" si="900"/>
        <v>7.7001355708467143</v>
      </c>
      <c r="K792" s="1">
        <f t="shared" si="900"/>
        <v>7.1924982473502475</v>
      </c>
      <c r="L792" s="1">
        <f t="shared" ref="L792" si="901">SUM(L793:L801)</f>
        <v>9.8708277291706725</v>
      </c>
      <c r="M792" s="1"/>
      <c r="N792" s="1"/>
    </row>
    <row r="793" spans="2:14" x14ac:dyDescent="0.35">
      <c r="B793" s="5" t="str">
        <f t="shared" ref="B793:B802" si="902">B792</f>
        <v>SPS1</v>
      </c>
      <c r="C793" s="5" t="str">
        <f t="shared" ref="C793:C810" si="903">C792</f>
        <v>CH</v>
      </c>
      <c r="D793" t="s">
        <v>481</v>
      </c>
      <c r="E793" t="s">
        <v>8</v>
      </c>
      <c r="F793" s="1">
        <f>F235</f>
        <v>0.9300285020017458</v>
      </c>
      <c r="G793" s="1">
        <f t="shared" ref="G793:K793" si="904">G235</f>
        <v>2.0129949751913112</v>
      </c>
      <c r="H793" s="1">
        <f t="shared" si="904"/>
        <v>1.3104198277838217</v>
      </c>
      <c r="I793" s="1">
        <f t="shared" si="904"/>
        <v>1.2420320861859517</v>
      </c>
      <c r="J793" s="1">
        <f t="shared" si="904"/>
        <v>0.82677470305929135</v>
      </c>
      <c r="K793" s="1">
        <f t="shared" si="904"/>
        <v>0</v>
      </c>
      <c r="L793" s="1">
        <f t="shared" ref="L793" si="905">L235</f>
        <v>0</v>
      </c>
      <c r="N793" s="1"/>
    </row>
    <row r="794" spans="2:14" x14ac:dyDescent="0.35">
      <c r="B794" s="5" t="str">
        <f t="shared" si="902"/>
        <v>SPS1</v>
      </c>
      <c r="C794" s="5" t="str">
        <f t="shared" si="903"/>
        <v>CH</v>
      </c>
      <c r="D794" t="s">
        <v>482</v>
      </c>
      <c r="E794" t="s">
        <v>8</v>
      </c>
      <c r="F794" s="1">
        <f>F241</f>
        <v>0.90562911982897554</v>
      </c>
      <c r="G794" s="1">
        <f t="shared" ref="G794:K794" si="906">G241</f>
        <v>0.24638617604288288</v>
      </c>
      <c r="H794" s="1">
        <f t="shared" si="906"/>
        <v>0.53893559510488798</v>
      </c>
      <c r="I794" s="1">
        <f t="shared" si="906"/>
        <v>5.9199724522254069E-2</v>
      </c>
      <c r="J794" s="1">
        <f t="shared" si="906"/>
        <v>0.99017178697618213</v>
      </c>
      <c r="K794" s="1">
        <f t="shared" si="906"/>
        <v>9.8717981992007445E-2</v>
      </c>
      <c r="L794" s="1">
        <f t="shared" ref="L794" si="907">L241</f>
        <v>0.46897505975242354</v>
      </c>
      <c r="N794" s="1"/>
    </row>
    <row r="795" spans="2:14" x14ac:dyDescent="0.35">
      <c r="B795" s="5" t="str">
        <f t="shared" si="902"/>
        <v>SPS1</v>
      </c>
      <c r="C795" s="5" t="str">
        <f t="shared" si="903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08">G242</f>
        <v>0</v>
      </c>
      <c r="H795" s="1">
        <f t="shared" si="908"/>
        <v>0</v>
      </c>
      <c r="I795" s="1">
        <f t="shared" si="908"/>
        <v>0</v>
      </c>
      <c r="J795" s="1">
        <f t="shared" si="908"/>
        <v>0</v>
      </c>
      <c r="K795" s="1">
        <f t="shared" si="908"/>
        <v>1.4909845983742825E-2</v>
      </c>
      <c r="L795" s="1">
        <f t="shared" ref="L795" si="909">L242</f>
        <v>0.27116831110628087</v>
      </c>
      <c r="N795" s="1"/>
    </row>
    <row r="796" spans="2:14" x14ac:dyDescent="0.35">
      <c r="B796" s="5" t="str">
        <f t="shared" si="902"/>
        <v>SPS1</v>
      </c>
      <c r="C796" s="5" t="str">
        <f t="shared" si="903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10">G243</f>
        <v>0</v>
      </c>
      <c r="H796" s="1">
        <f t="shared" si="910"/>
        <v>0</v>
      </c>
      <c r="I796" s="1">
        <f t="shared" si="910"/>
        <v>0</v>
      </c>
      <c r="J796" s="1">
        <f t="shared" si="910"/>
        <v>8.904154527336767E-4</v>
      </c>
      <c r="K796" s="1">
        <f t="shared" si="910"/>
        <v>6.3410372981654727E-4</v>
      </c>
      <c r="L796" s="1">
        <f t="shared" ref="L796" si="911">L243</f>
        <v>1.409966287433313E-4</v>
      </c>
      <c r="N796" s="1"/>
    </row>
    <row r="797" spans="2:14" x14ac:dyDescent="0.35">
      <c r="B797" s="5" t="str">
        <f t="shared" si="902"/>
        <v>SPS1</v>
      </c>
      <c r="C797" s="5" t="str">
        <f t="shared" si="903"/>
        <v>CH</v>
      </c>
      <c r="D797" t="s">
        <v>485</v>
      </c>
      <c r="E797" t="s">
        <v>8</v>
      </c>
      <c r="F797" s="1">
        <f>F274</f>
        <v>1.9356600170775753</v>
      </c>
      <c r="G797" s="1">
        <f t="shared" ref="G797:K797" si="912">G274</f>
        <v>1.9671878820404487</v>
      </c>
      <c r="H797" s="1">
        <f t="shared" si="912"/>
        <v>9.6382372040252254E-2</v>
      </c>
      <c r="I797" s="1">
        <f t="shared" si="912"/>
        <v>9.748796287784349E-2</v>
      </c>
      <c r="J797" s="1">
        <f t="shared" si="912"/>
        <v>6.0203147379527333E-3</v>
      </c>
      <c r="K797" s="1">
        <f t="shared" si="912"/>
        <v>2.4494425420810151E-3</v>
      </c>
      <c r="L797" s="1">
        <f t="shared" ref="L797" si="913">L274</f>
        <v>3.3230729632127698E-4</v>
      </c>
      <c r="N797" s="1"/>
    </row>
    <row r="798" spans="2:14" x14ac:dyDescent="0.35">
      <c r="B798" s="5" t="str">
        <f t="shared" si="902"/>
        <v>SPS1</v>
      </c>
      <c r="C798" s="5" t="str">
        <f t="shared" si="903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14">G275</f>
        <v>0</v>
      </c>
      <c r="H798" s="1">
        <f t="shared" si="914"/>
        <v>0</v>
      </c>
      <c r="I798" s="1">
        <f t="shared" si="914"/>
        <v>0</v>
      </c>
      <c r="J798" s="1">
        <f t="shared" si="914"/>
        <v>0</v>
      </c>
      <c r="K798" s="1">
        <f t="shared" si="914"/>
        <v>0.56922533778517448</v>
      </c>
      <c r="L798" s="1">
        <f t="shared" ref="L798" si="915">L275</f>
        <v>1.0900973261094828</v>
      </c>
      <c r="N798" s="1"/>
    </row>
    <row r="799" spans="2:14" x14ac:dyDescent="0.35">
      <c r="B799" s="5" t="str">
        <f t="shared" si="902"/>
        <v>SPS1</v>
      </c>
      <c r="C799" s="5" t="str">
        <f t="shared" si="903"/>
        <v>CH</v>
      </c>
      <c r="D799" t="s">
        <v>487</v>
      </c>
      <c r="E799" t="s">
        <v>8</v>
      </c>
      <c r="F799" s="1">
        <f>F283</f>
        <v>0.65994744305975483</v>
      </c>
      <c r="G799" s="1">
        <f t="shared" ref="G799:K799" si="916">G283</f>
        <v>1.4023866118570587</v>
      </c>
      <c r="H799" s="1">
        <f t="shared" si="916"/>
        <v>3.7144502899717744</v>
      </c>
      <c r="I799" s="1">
        <f t="shared" si="916"/>
        <v>5.3812368622562738</v>
      </c>
      <c r="J799" s="1">
        <f t="shared" si="916"/>
        <v>5.8732851789980955</v>
      </c>
      <c r="K799" s="1">
        <f t="shared" si="916"/>
        <v>5.2534331791969802</v>
      </c>
      <c r="L799" s="1">
        <f t="shared" ref="L799" si="917">L283</f>
        <v>4.6922887409331651</v>
      </c>
      <c r="N799" s="1"/>
    </row>
    <row r="800" spans="2:14" x14ac:dyDescent="0.35">
      <c r="B800" s="5" t="str">
        <f t="shared" si="902"/>
        <v>SPS1</v>
      </c>
      <c r="C800" s="5" t="str">
        <f t="shared" si="903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18">G284</f>
        <v>0</v>
      </c>
      <c r="H800" s="1">
        <f t="shared" si="918"/>
        <v>0</v>
      </c>
      <c r="I800" s="1">
        <f t="shared" si="918"/>
        <v>0</v>
      </c>
      <c r="J800" s="1">
        <f t="shared" si="918"/>
        <v>0</v>
      </c>
      <c r="K800" s="1">
        <f t="shared" si="918"/>
        <v>1.190239342280393</v>
      </c>
      <c r="L800" s="1">
        <f t="shared" ref="L800" si="919">L284</f>
        <v>3.2408609447292607</v>
      </c>
      <c r="N800" s="1"/>
    </row>
    <row r="801" spans="2:14" x14ac:dyDescent="0.35">
      <c r="B801" s="5" t="str">
        <f t="shared" si="902"/>
        <v>SPS1</v>
      </c>
      <c r="C801" s="5" t="str">
        <f t="shared" si="903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20">G289</f>
        <v>0</v>
      </c>
      <c r="H801" s="1">
        <f t="shared" si="920"/>
        <v>0</v>
      </c>
      <c r="I801" s="1">
        <f t="shared" si="920"/>
        <v>0</v>
      </c>
      <c r="J801" s="1">
        <f t="shared" si="920"/>
        <v>2.9931716224596387E-3</v>
      </c>
      <c r="K801" s="1">
        <f t="shared" si="920"/>
        <v>6.2889013840053298E-2</v>
      </c>
      <c r="L801" s="1">
        <f t="shared" ref="L801" si="921">L289</f>
        <v>0.10696404261499522</v>
      </c>
      <c r="M801" s="1"/>
      <c r="N801" s="1"/>
    </row>
    <row r="802" spans="2:14" x14ac:dyDescent="0.35">
      <c r="B802" s="5" t="str">
        <f t="shared" si="902"/>
        <v>SPS1</v>
      </c>
      <c r="C802" s="5" t="str">
        <f t="shared" si="903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7.1202094790041857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7.6289546232497099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7.6289456009858734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7.6290252733156585</v>
      </c>
      <c r="J802" s="1" cm="1">
        <f t="array" ref="J802">SUMPRODUCT(([2]OUT_FinalEnergyCons!$B$4:$B$10000="Var_Fin")*1, ([2]OUT_FinalEnergyCons!$C$4:$C$10000="ITOT_LTH_DH")*1, (ISNUMBER(SEARCH("ITOT-SWHLTHDH",[2]OUT_FinalEnergyCons!$A$4:$A$10000)))*1,[2]OUT_FinalEnergyCons!H$4:H$10000)</f>
        <v>7.6289135773763874</v>
      </c>
      <c r="K802" s="1" cm="1">
        <f t="array" ref="K802">SUMPRODUCT(([2]OUT_FinalEnergyCons!$B$4:$B$10000="Var_Fin")*1, ([2]OUT_FinalEnergyCons!$C$4:$C$10000="ITOT_LTH_DH")*1, (ISNUMBER(SEARCH("ITOT-SWHLTHDH",[2]OUT_FinalEnergyCons!$A$4:$A$10000)))*1,[2]OUT_FinalEnergyCons!I$4:I$10000)</f>
        <v>7.6288555517915455</v>
      </c>
      <c r="L802" s="1" cm="1">
        <f t="array" ref="L802">SUMPRODUCT(([2]OUT_FinalEnergyCons!$B$4:$B$10000="Var_Fin")*1, ([2]OUT_FinalEnergyCons!$C$4:$C$10000="ITOT_LTH_DH")*1, (ISNUMBER(SEARCH("ITOT-SWHLTHDH",[2]OUT_FinalEnergyCons!$A$4:$A$10000)))*1,[2]OUT_FinalEnergyCons!J$4:J$10000)</f>
        <v>9.1629573540970579</v>
      </c>
      <c r="N802" s="1"/>
    </row>
    <row r="803" spans="2:14" x14ac:dyDescent="0.35">
      <c r="B803" s="5" t="str">
        <f>B802</f>
        <v>SPS1</v>
      </c>
      <c r="C803" s="5" t="str">
        <f t="shared" si="903"/>
        <v>CH</v>
      </c>
      <c r="D803" t="s">
        <v>951</v>
      </c>
      <c r="E803" t="s">
        <v>8</v>
      </c>
      <c r="F803" s="1">
        <f>F804</f>
        <v>9.0021252205715907</v>
      </c>
      <c r="G803" s="1">
        <f t="shared" ref="G803:L803" si="922">G804</f>
        <v>10.610037471752165</v>
      </c>
      <c r="H803" s="1">
        <f t="shared" si="922"/>
        <v>10.146045449928391</v>
      </c>
      <c r="I803" s="1">
        <f t="shared" si="922"/>
        <v>11.818061845900582</v>
      </c>
      <c r="J803" s="1">
        <f t="shared" si="922"/>
        <v>12.966880508486431</v>
      </c>
      <c r="K803" s="1">
        <f t="shared" si="922"/>
        <v>13.355802227883293</v>
      </c>
      <c r="L803" s="1">
        <f t="shared" si="922"/>
        <v>15.381733677371546</v>
      </c>
      <c r="N803" s="1"/>
    </row>
    <row r="804" spans="2:14" x14ac:dyDescent="0.35">
      <c r="B804" s="5" t="str">
        <f t="shared" ref="B804:B806" si="923">B803</f>
        <v>SPS1</v>
      </c>
      <c r="C804" s="5" t="str">
        <f t="shared" si="903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9.0021252205715907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10.610037471752165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10.146045449928391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11.818061845900582</v>
      </c>
      <c r="J804" s="1" cm="1">
        <f t="array" ref="J804">SUMPRODUCT(([2]OUT_FinalEnergyCons!$B$4:$B$10000="Var_Fin")*1, ([2]OUT_FinalEnergyCons!$C$4:$C$10000="iWOD")*1, (ISNUMBER(SEARCH("ITOT-SWHWOD*BR",[2]OUT_FinalEnergyCons!$A$4:$A$10000)))*1,[2]OUT_FinalEnergyCons!H$4:H$10000)</f>
        <v>12.966880508486431</v>
      </c>
      <c r="K804" s="1" cm="1">
        <f t="array" ref="K804">SUMPRODUCT(([2]OUT_FinalEnergyCons!$B$4:$B$10000="Var_Fin")*1, ([2]OUT_FinalEnergyCons!$C$4:$C$10000="iWOD")*1, (ISNUMBER(SEARCH("ITOT-SWHWOD*BR",[2]OUT_FinalEnergyCons!$A$4:$A$10000)))*1,[2]OUT_FinalEnergyCons!I$4:I$10000)</f>
        <v>13.355802227883293</v>
      </c>
      <c r="L804" s="1" cm="1">
        <f t="array" ref="L804">SUMPRODUCT(([2]OUT_FinalEnergyCons!$B$4:$B$10000="Var_Fin")*1, ([2]OUT_FinalEnergyCons!$C$4:$C$10000="iWOD")*1, (ISNUMBER(SEARCH("ITOT-SWHWOD*BR",[2]OUT_FinalEnergyCons!$A$4:$A$10000)))*1,[2]OUT_FinalEnergyCons!J$4:J$10000)</f>
        <v>15.381733677371546</v>
      </c>
      <c r="N804" s="1"/>
    </row>
    <row r="805" spans="2:14" x14ac:dyDescent="0.35">
      <c r="B805" s="5" t="str">
        <f t="shared" si="923"/>
        <v>SPS1</v>
      </c>
      <c r="C805" s="5" t="str">
        <f t="shared" si="903"/>
        <v>CH</v>
      </c>
      <c r="D805" t="s">
        <v>953</v>
      </c>
      <c r="E805" t="s">
        <v>8</v>
      </c>
      <c r="F805" s="1">
        <f>F806</f>
        <v>0.62589701661237407</v>
      </c>
      <c r="G805" s="1">
        <f t="shared" ref="G805:L805" si="924">G806</f>
        <v>0.73762225764574341</v>
      </c>
      <c r="H805" s="1">
        <f t="shared" si="924"/>
        <v>0.77787246306873914</v>
      </c>
      <c r="I805" s="1">
        <f t="shared" si="924"/>
        <v>0.80006448650634476</v>
      </c>
      <c r="J805" s="1">
        <f t="shared" si="924"/>
        <v>0.73251067660690816</v>
      </c>
      <c r="K805" s="1">
        <f t="shared" si="924"/>
        <v>0.73046663761283104</v>
      </c>
      <c r="L805" s="1">
        <f t="shared" si="924"/>
        <v>0.72641480099944711</v>
      </c>
      <c r="N805" s="1"/>
    </row>
    <row r="806" spans="2:14" x14ac:dyDescent="0.35">
      <c r="B806" s="5" t="str">
        <f t="shared" si="923"/>
        <v>SPS1</v>
      </c>
      <c r="C806" s="5" t="str">
        <f t="shared" si="903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0.62589701661237407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0.73762225764574341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0.77787246306873914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0.80006448650634476</v>
      </c>
      <c r="J806" s="1" cm="1">
        <f t="array" ref="J806">SUMPRODUCT(([2]OUT_FinalEnergyCons!$B$4:$B$10000="Var_Fin")*1, ([2]OUT_FinalEnergyCons!$C$4:$C$10000="IPLT")*1, (ISNUMBER(SEARCH("ITOT-SWHPLT*BR",[2]OUT_FinalEnergyCons!$A$4:$A$10000)))*1,[2]OUT_FinalEnergyCons!H$4:H$10000)</f>
        <v>0.73251067660690816</v>
      </c>
      <c r="K806" s="1" cm="1">
        <f t="array" ref="K806">SUMPRODUCT(([2]OUT_FinalEnergyCons!$B$4:$B$10000="Var_Fin")*1, ([2]OUT_FinalEnergyCons!$C$4:$C$10000="IPLT")*1, (ISNUMBER(SEARCH("ITOT-SWHPLT*BR",[2]OUT_FinalEnergyCons!$A$4:$A$10000)))*1,[2]OUT_FinalEnergyCons!I$4:I$10000)</f>
        <v>0.73046663761283104</v>
      </c>
      <c r="L806" s="1" cm="1">
        <f t="array" ref="L806">SUMPRODUCT(([2]OUT_FinalEnergyCons!$B$4:$B$10000="Var_Fin")*1, ([2]OUT_FinalEnergyCons!$C$4:$C$10000="IPLT")*1, (ISNUMBER(SEARCH("ITOT-SWHPLT*BR",[2]OUT_FinalEnergyCons!$A$4:$A$10000)))*1,[2]OUT_FinalEnergyCons!J$4:J$10000)</f>
        <v>0.72641480099944711</v>
      </c>
      <c r="N806" s="1"/>
    </row>
    <row r="807" spans="2:14" x14ac:dyDescent="0.35">
      <c r="B807" s="5" t="str">
        <f>B806</f>
        <v>SPS1</v>
      </c>
      <c r="C807" s="5" t="str">
        <f t="shared" si="903"/>
        <v>CH</v>
      </c>
      <c r="D807" t="s">
        <v>492</v>
      </c>
      <c r="E807" t="s">
        <v>8</v>
      </c>
      <c r="F807" s="1">
        <f>[1]Industry!B$21</f>
        <v>7.7981381713718525</v>
      </c>
      <c r="G807" s="1">
        <f>[1]Industry!C$21</f>
        <v>8.0809293328523033</v>
      </c>
      <c r="H807" s="1">
        <f>[1]Industry!D$21</f>
        <v>10.837298799724925</v>
      </c>
      <c r="I807" s="1">
        <f>[1]Industry!E$21</f>
        <v>11.462586022714868</v>
      </c>
      <c r="J807" s="1">
        <f>[2]Industry!F$21</f>
        <v>10.778408715402861</v>
      </c>
      <c r="K807" s="1">
        <f>[2]Industry!G$21</f>
        <v>9.548300316296686</v>
      </c>
      <c r="L807" s="1">
        <f>[2]Industry!H$21</f>
        <v>5.9487851698123251</v>
      </c>
      <c r="N807" s="1"/>
    </row>
    <row r="808" spans="2:14" x14ac:dyDescent="0.35">
      <c r="B808" s="5" t="str">
        <f t="shared" ref="B808:B810" si="925">B807</f>
        <v>SPS1</v>
      </c>
      <c r="C808" s="5" t="str">
        <f t="shared" si="903"/>
        <v>CH</v>
      </c>
      <c r="D808" t="s">
        <v>495</v>
      </c>
      <c r="E808" t="s">
        <v>8</v>
      </c>
      <c r="F808" s="1">
        <f>F807</f>
        <v>7.7981381713718525</v>
      </c>
      <c r="G808" s="1">
        <f t="shared" ref="G808:K808" si="926">G807</f>
        <v>8.0809293328523033</v>
      </c>
      <c r="H808" s="1">
        <f t="shared" si="926"/>
        <v>10.837298799724925</v>
      </c>
      <c r="I808" s="1">
        <f t="shared" si="926"/>
        <v>11.462586022714868</v>
      </c>
      <c r="J808" s="1">
        <f t="shared" si="926"/>
        <v>10.778408715402861</v>
      </c>
      <c r="K808" s="1">
        <f t="shared" si="926"/>
        <v>9.548300316296686</v>
      </c>
      <c r="L808" s="1">
        <f t="shared" ref="L808" si="927">L807</f>
        <v>5.9487851698123251</v>
      </c>
      <c r="N808" s="1"/>
    </row>
    <row r="809" spans="2:14" x14ac:dyDescent="0.35">
      <c r="B809" s="5" t="str">
        <f t="shared" si="925"/>
        <v>SPS1</v>
      </c>
      <c r="C809" s="5" t="str">
        <f t="shared" si="903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N809" s="1"/>
    </row>
    <row r="810" spans="2:14" x14ac:dyDescent="0.35">
      <c r="B810" s="5" t="str">
        <f t="shared" si="925"/>
        <v>SPS1</v>
      </c>
      <c r="C810" s="5" t="str">
        <f t="shared" si="903"/>
        <v>CH</v>
      </c>
      <c r="D810" t="s">
        <v>494</v>
      </c>
      <c r="E810" t="s">
        <v>8</v>
      </c>
      <c r="F810" s="1">
        <f>F808</f>
        <v>7.7981381713718525</v>
      </c>
      <c r="G810" s="1">
        <f t="shared" ref="G810:K810" si="928">G808</f>
        <v>8.0809293328523033</v>
      </c>
      <c r="H810" s="1">
        <f t="shared" si="928"/>
        <v>10.837298799724925</v>
      </c>
      <c r="I810" s="1">
        <f t="shared" si="928"/>
        <v>11.462586022714868</v>
      </c>
      <c r="J810" s="1">
        <f t="shared" si="928"/>
        <v>10.778408715402861</v>
      </c>
      <c r="K810" s="1">
        <f t="shared" si="928"/>
        <v>9.548300316296686</v>
      </c>
      <c r="L810" s="1">
        <f t="shared" ref="L810" si="929">L808</f>
        <v>5.9487851698123251</v>
      </c>
      <c r="N810" s="1"/>
    </row>
    <row r="811" spans="2:14" x14ac:dyDescent="0.35">
      <c r="B811" s="5" t="str">
        <f>B810</f>
        <v>SPS1</v>
      </c>
      <c r="C811" s="5" t="str">
        <f t="shared" ref="C811:C812" si="930">C810</f>
        <v>CH</v>
      </c>
      <c r="D811" t="s">
        <v>955</v>
      </c>
      <c r="E811" t="s">
        <v>8</v>
      </c>
      <c r="F811" s="1">
        <f>[1]Industry!B$22</f>
        <v>6.8107582252723106E-2</v>
      </c>
      <c r="G811" s="1">
        <f>[1]Industry!C$22</f>
        <v>8.5601774398449418E-2</v>
      </c>
      <c r="H811" s="1">
        <f>[1]Industry!D$22</f>
        <v>0.10204303950376965</v>
      </c>
      <c r="I811" s="1">
        <f>[1]Industry!E$22</f>
        <v>2.3313497198267528</v>
      </c>
      <c r="J811" s="1">
        <f>[2]Industry!F$22</f>
        <v>0.20078389623332407</v>
      </c>
      <c r="K811" s="1">
        <f>[2]Industry!G$22</f>
        <v>0.21585120668769051</v>
      </c>
      <c r="L811" s="1">
        <f>[2]Industry!H$22</f>
        <v>0.15953850977105005</v>
      </c>
      <c r="N811" s="1"/>
    </row>
    <row r="812" spans="2:14" x14ac:dyDescent="0.35">
      <c r="B812" s="5" t="str">
        <f t="shared" ref="B812" si="931">B811</f>
        <v>SPS1</v>
      </c>
      <c r="C812" s="5" t="str">
        <f t="shared" si="930"/>
        <v>CH</v>
      </c>
      <c r="D812" t="s">
        <v>956</v>
      </c>
      <c r="E812" t="s">
        <v>8</v>
      </c>
      <c r="F812" s="1">
        <f>F811</f>
        <v>6.8107582252723106E-2</v>
      </c>
      <c r="G812" s="1">
        <f t="shared" ref="G812:K812" si="932">G811</f>
        <v>8.5601774398449418E-2</v>
      </c>
      <c r="H812" s="1">
        <f t="shared" si="932"/>
        <v>0.10204303950376965</v>
      </c>
      <c r="I812" s="1">
        <f t="shared" si="932"/>
        <v>2.3313497198267528</v>
      </c>
      <c r="J812" s="1">
        <f t="shared" si="932"/>
        <v>0.20078389623332407</v>
      </c>
      <c r="K812" s="1">
        <f t="shared" si="932"/>
        <v>0.21585120668769051</v>
      </c>
      <c r="L812" s="1">
        <f t="shared" ref="L812" si="933">L811</f>
        <v>0.15953850977105005</v>
      </c>
      <c r="N812" s="1"/>
    </row>
    <row r="813" spans="2:14" x14ac:dyDescent="0.35">
      <c r="B813" s="5" t="str">
        <f>B812</f>
        <v>SPS1</v>
      </c>
      <c r="C813" s="5" t="str">
        <f t="shared" ref="C813:C814" si="934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</v>
      </c>
      <c r="J813" s="1">
        <f>[2]Industry!F$23</f>
        <v>10.060963226984221</v>
      </c>
      <c r="K813" s="1">
        <f>[2]Industry!G$23</f>
        <v>11.462520832922772</v>
      </c>
      <c r="L813" s="1">
        <f>[2]Industry!H$23</f>
        <v>11.287566623340599</v>
      </c>
      <c r="N813" s="1"/>
    </row>
    <row r="814" spans="2:14" x14ac:dyDescent="0.35">
      <c r="B814" s="5" t="str">
        <f t="shared" ref="B814" si="935">B813</f>
        <v>SPS1</v>
      </c>
      <c r="C814" s="5" t="str">
        <f t="shared" si="934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36">G813</f>
        <v>0</v>
      </c>
      <c r="H814" s="1">
        <f t="shared" si="936"/>
        <v>0</v>
      </c>
      <c r="I814" s="1">
        <f t="shared" si="936"/>
        <v>0</v>
      </c>
      <c r="J814" s="1">
        <f t="shared" si="936"/>
        <v>10.060963226984221</v>
      </c>
      <c r="K814" s="1">
        <f t="shared" si="936"/>
        <v>11.462520832922772</v>
      </c>
      <c r="L814" s="1">
        <f t="shared" ref="L814" si="937">L813</f>
        <v>11.287566623340599</v>
      </c>
      <c r="N814" s="1"/>
    </row>
    <row r="815" spans="2:14" x14ac:dyDescent="0.35">
      <c r="B815" s="5" t="str">
        <f>B814</f>
        <v>SPS1</v>
      </c>
      <c r="C815" s="5" t="str">
        <f t="shared" ref="C815:C816" si="938">C814</f>
        <v>CH</v>
      </c>
      <c r="D815" t="s">
        <v>959</v>
      </c>
      <c r="E815" t="s">
        <v>8</v>
      </c>
      <c r="F815" s="1">
        <f>[1]Industry!B$24</f>
        <v>0.74902658226029528</v>
      </c>
      <c r="G815" s="1">
        <f>[1]Industry!C$24</f>
        <v>0.94984297592340505</v>
      </c>
      <c r="H815" s="1">
        <f>[1]Industry!D$24</f>
        <v>1.7980430544477612</v>
      </c>
      <c r="I815" s="1">
        <f>[1]Industry!E$24</f>
        <v>4.2220673089439389</v>
      </c>
      <c r="J815" s="1">
        <f>[2]Industry!F$24</f>
        <v>4.2658654336887958</v>
      </c>
      <c r="K815" s="1">
        <f>[2]Industry!G$24</f>
        <v>6.0302344621027713</v>
      </c>
      <c r="L815" s="1">
        <f>[2]Industry!H$24</f>
        <v>7.8169489000972945</v>
      </c>
      <c r="N815" s="1"/>
    </row>
    <row r="816" spans="2:14" x14ac:dyDescent="0.35">
      <c r="B816" s="5" t="str">
        <f t="shared" ref="B816" si="939">B815</f>
        <v>SPS1</v>
      </c>
      <c r="C816" s="5" t="str">
        <f t="shared" si="938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0.74902658226029528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0.94984297592340505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1.7638867475349058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4.2094862553583221</v>
      </c>
      <c r="J816" s="1" cm="1">
        <f t="array" ref="J816">SUMPRODUCT(([2]OUT_FinalEnergyCons!$B$4:$B$10000="Var_FOut")*1, ([2]OUT_FinalEnergyCons!$C$4:$C$10000="ITOT-SWHAelch")*1, (ISNUMBER(SEARCH("ITOT-SWHELCHP",[2]OUT_FinalEnergyCons!$A$4:$A$10000)))*1,[2]OUT_FinalEnergyCons!H$4:H$10000)-J766</f>
        <v>4.2645084297861402</v>
      </c>
      <c r="K816" s="1" cm="1">
        <f t="array" ref="K816">SUMPRODUCT(([2]OUT_FinalEnergyCons!$B$4:$B$10000="Var_FOut")*1, ([2]OUT_FinalEnergyCons!$C$4:$C$10000="ITOT-SWHAelch")*1, (ISNUMBER(SEARCH("ITOT-SWHELCHP",[2]OUT_FinalEnergyCons!$A$4:$A$10000)))*1,[2]OUT_FinalEnergyCons!I$4:I$10000)-K766</f>
        <v>6.0292257937142315</v>
      </c>
      <c r="L816" s="1" cm="1">
        <f t="array" ref="L816">SUMPRODUCT(([2]OUT_FinalEnergyCons!$B$4:$B$10000="Var_FOut")*1, ([2]OUT_FinalEnergyCons!$C$4:$C$10000="ITOT-SWHAelch")*1, (ISNUMBER(SEARCH("ITOT-SWHELCHP",[2]OUT_FinalEnergyCons!$A$4:$A$10000)))*1,[2]OUT_FinalEnergyCons!J$4:J$10000)-L766</f>
        <v>7.8165042637792155</v>
      </c>
      <c r="N816" s="1"/>
    </row>
    <row r="817" spans="2:14" x14ac:dyDescent="0.35">
      <c r="B817" s="5" t="str">
        <f t="shared" ref="B817:B818" si="940">B816</f>
        <v>SPS1</v>
      </c>
      <c r="C817" s="5" t="str">
        <f t="shared" ref="C817:C825" si="941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42">G815-G816</f>
        <v>0</v>
      </c>
      <c r="H817" s="1">
        <f t="shared" si="942"/>
        <v>3.4156306912855428E-2</v>
      </c>
      <c r="I817" s="1">
        <f t="shared" si="942"/>
        <v>1.2581053585616786E-2</v>
      </c>
      <c r="J817" s="1">
        <f t="shared" si="942"/>
        <v>1.3570039026555847E-3</v>
      </c>
      <c r="K817" s="1">
        <f t="shared" si="942"/>
        <v>1.0086683885397463E-3</v>
      </c>
      <c r="L817" s="1">
        <f t="shared" ref="L817" si="943">L815-L816</f>
        <v>4.4463631807900583E-4</v>
      </c>
      <c r="N817" s="1"/>
    </row>
    <row r="818" spans="2:14" x14ac:dyDescent="0.35">
      <c r="B818" s="9" t="str">
        <f t="shared" si="940"/>
        <v>SPS1</v>
      </c>
      <c r="C818" s="9" t="str">
        <f t="shared" si="941"/>
        <v>CH</v>
      </c>
      <c r="D818" s="2" t="s">
        <v>684</v>
      </c>
      <c r="E818" s="9" t="s">
        <v>8</v>
      </c>
      <c r="F818" s="17">
        <f>[1]Industry!B$71</f>
        <v>72.711040163491731</v>
      </c>
      <c r="G818" s="17">
        <f>[1]Industry!C$71</f>
        <v>73.85575762499596</v>
      </c>
      <c r="H818" s="17">
        <f>[1]Industry!D$71</f>
        <v>76.156614129257775</v>
      </c>
      <c r="I818" s="17">
        <f>[1]Industry!E$71</f>
        <v>76.758643371393063</v>
      </c>
      <c r="J818" s="17">
        <f>[2]Industry!F$71</f>
        <v>77.22889613670624</v>
      </c>
      <c r="K818" s="17">
        <f>[2]Industry!G$71</f>
        <v>77.934725607429613</v>
      </c>
      <c r="L818" s="17">
        <f>[2]Industry!H$71</f>
        <v>78.863287802635696</v>
      </c>
      <c r="N818" s="1"/>
    </row>
    <row r="819" spans="2:14" x14ac:dyDescent="0.35">
      <c r="B819" s="5" t="str">
        <f>B818</f>
        <v>SPS1</v>
      </c>
      <c r="C819" s="5" t="str">
        <f t="shared" si="941"/>
        <v>CH</v>
      </c>
      <c r="D819" t="s">
        <v>2031</v>
      </c>
      <c r="E819" t="s">
        <v>8</v>
      </c>
      <c r="F819" s="18">
        <f>SUM(F820:F822)</f>
        <v>58.986525499493077</v>
      </c>
      <c r="G819" s="18">
        <f t="shared" ref="G819:K819" si="944">SUM(G820:G822)</f>
        <v>60.569405375385998</v>
      </c>
      <c r="H819" s="18">
        <f t="shared" si="944"/>
        <v>64.790677602724259</v>
      </c>
      <c r="I819" s="18">
        <f t="shared" si="944"/>
        <v>72.315351102133221</v>
      </c>
      <c r="J819" s="18">
        <f t="shared" si="944"/>
        <v>77.973298540196481</v>
      </c>
      <c r="K819" s="18">
        <f t="shared" si="944"/>
        <v>79.913611516933997</v>
      </c>
      <c r="L819" s="18">
        <f t="shared" ref="L819" si="945">SUM(L820:L822)</f>
        <v>83.656592659523298</v>
      </c>
      <c r="N819" s="1"/>
    </row>
    <row r="820" spans="2:14" x14ac:dyDescent="0.35">
      <c r="B820" s="5" t="str">
        <f t="shared" ref="B820:B825" si="946">B819</f>
        <v>SPS1</v>
      </c>
      <c r="C820" s="5" t="str">
        <f t="shared" si="941"/>
        <v>CH</v>
      </c>
      <c r="D820" t="s">
        <v>2032</v>
      </c>
      <c r="E820" t="s">
        <v>8</v>
      </c>
      <c r="F820" s="1">
        <f>[1]Industry!B$55</f>
        <v>9.8141619496138333</v>
      </c>
      <c r="G820" s="1">
        <f>[1]Industry!C$55</f>
        <v>10.335130020858854</v>
      </c>
      <c r="H820" s="1">
        <f>[1]Industry!D$55</f>
        <v>10.597154447882525</v>
      </c>
      <c r="I820" s="1">
        <f>[1]Industry!E$55</f>
        <v>13.317086969426741</v>
      </c>
      <c r="J820" s="1">
        <f>[2]Industry!F$55</f>
        <v>17.765730998459905</v>
      </c>
      <c r="K820" s="1">
        <f>[2]Industry!G$55</f>
        <v>17.765730373832334</v>
      </c>
      <c r="L820" s="1">
        <f>[2]Industry!H$55</f>
        <v>17.765730562674278</v>
      </c>
      <c r="M820" s="1"/>
      <c r="N820" s="1"/>
    </row>
    <row r="821" spans="2:14" x14ac:dyDescent="0.35">
      <c r="B821" s="5" t="str">
        <f t="shared" si="946"/>
        <v>SPS1</v>
      </c>
      <c r="C821" s="5" t="str">
        <f t="shared" si="941"/>
        <v>CH</v>
      </c>
      <c r="D821" t="s">
        <v>2033</v>
      </c>
      <c r="E821" t="s">
        <v>8</v>
      </c>
      <c r="F821" s="1">
        <f>[1]Industry!B$56</f>
        <v>1.1089658977082459</v>
      </c>
      <c r="G821" s="1">
        <f>[1]Industry!C$56</f>
        <v>1.4009596081921354</v>
      </c>
      <c r="H821" s="1">
        <f>[1]Industry!D$56</f>
        <v>2.5872197533277985</v>
      </c>
      <c r="I821" s="1">
        <f>[1]Industry!E$56</f>
        <v>6.1196187278782199</v>
      </c>
      <c r="J821" s="1">
        <f>[2]Industry!F$56</f>
        <v>6.1471607041225944</v>
      </c>
      <c r="K821" s="1">
        <f>[2]Industry!G$56</f>
        <v>8.6207100397017751</v>
      </c>
      <c r="L821" s="1">
        <f>[2]Industry!H$56</f>
        <v>11.007774364989604</v>
      </c>
      <c r="N821" s="1"/>
    </row>
    <row r="822" spans="2:14" x14ac:dyDescent="0.35">
      <c r="B822" s="5" t="str">
        <f t="shared" si="946"/>
        <v>SPS1</v>
      </c>
      <c r="C822" s="5" t="str">
        <f t="shared" si="941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48.83331574633501</v>
      </c>
      <c r="H822" s="1">
        <f>[1]Industry!D$3-([1]Industry!D$6-[1]Industry!D$70)</f>
        <v>51.606303401513934</v>
      </c>
      <c r="I822" s="1">
        <f>[1]Industry!E$3-([1]Industry!E$6-[1]Industry!E$70)</f>
        <v>52.878645404828255</v>
      </c>
      <c r="J822" s="1">
        <f>[2]Industry!F$3-([2]Industry!F$6-[2]Industry!F$70)</f>
        <v>54.060406837613989</v>
      </c>
      <c r="K822" s="1">
        <f>[2]Industry!G$3-([2]Industry!G$6-[2]Industry!G$70)</f>
        <v>53.527171103399887</v>
      </c>
      <c r="L822" s="1">
        <f>[2]Industry!H$3-([2]Industry!H$6-[2]Industry!H$70)</f>
        <v>54.883087731859419</v>
      </c>
      <c r="N822" s="1"/>
    </row>
    <row r="823" spans="2:14" x14ac:dyDescent="0.35">
      <c r="B823" s="5" t="str">
        <f t="shared" si="946"/>
        <v>SPS1</v>
      </c>
      <c r="C823" s="5" t="str">
        <f t="shared" si="941"/>
        <v>CH</v>
      </c>
      <c r="D823" t="s">
        <v>2035</v>
      </c>
      <c r="E823" t="s">
        <v>8</v>
      </c>
      <c r="F823" s="1">
        <f>SUM(F824:F825)</f>
        <v>8.7638351472648299</v>
      </c>
      <c r="G823" s="1">
        <f t="shared" ref="G823:K823" si="947">SUM(G824:G825)</f>
        <v>8.1704635202978011</v>
      </c>
      <c r="H823" s="1">
        <f t="shared" si="947"/>
        <v>6.4781621876523552</v>
      </c>
      <c r="I823" s="1">
        <f t="shared" si="947"/>
        <v>5.242282117366698</v>
      </c>
      <c r="J823" s="1">
        <f t="shared" si="947"/>
        <v>4.3687222117828943</v>
      </c>
      <c r="K823" s="1">
        <f t="shared" si="947"/>
        <v>2.6331926009022886</v>
      </c>
      <c r="L823" s="1">
        <f t="shared" ref="L823" si="948">SUM(L824:L825)</f>
        <v>0.20184805276736506</v>
      </c>
      <c r="N823" s="1"/>
    </row>
    <row r="824" spans="2:14" x14ac:dyDescent="0.35">
      <c r="B824" s="5" t="str">
        <f t="shared" si="946"/>
        <v>SPS1</v>
      </c>
      <c r="C824" s="5" t="str">
        <f t="shared" si="941"/>
        <v>CH</v>
      </c>
      <c r="D824" t="s">
        <v>2036</v>
      </c>
      <c r="E824" t="s">
        <v>8</v>
      </c>
      <c r="F824" s="1">
        <f>[1]Industry!B$57</f>
        <v>6.91791002273958</v>
      </c>
      <c r="G824" s="1">
        <f>[1]Industry!C$57</f>
        <v>6.3246703469299703</v>
      </c>
      <c r="H824" s="1">
        <f>[1]Industry!D$57</f>
        <v>6.4457194252637864</v>
      </c>
      <c r="I824" s="1">
        <f>[1]Industry!E$57</f>
        <v>5.2391430723309336</v>
      </c>
      <c r="J824" s="1">
        <f>[2]Industry!F$57</f>
        <v>4.3664692580746856</v>
      </c>
      <c r="K824" s="1">
        <f>[2]Industry!G$57</f>
        <v>2.6330116262399117</v>
      </c>
      <c r="L824" s="1">
        <f>[2]Industry!H$57</f>
        <v>0.20184805276736506</v>
      </c>
      <c r="N824" s="1"/>
    </row>
    <row r="825" spans="2:14" x14ac:dyDescent="0.35">
      <c r="B825" s="5" t="str">
        <f t="shared" si="946"/>
        <v>SPS1</v>
      </c>
      <c r="C825" s="5" t="str">
        <f t="shared" si="941"/>
        <v>CH</v>
      </c>
      <c r="D825" t="s">
        <v>2037</v>
      </c>
      <c r="E825" t="s">
        <v>8</v>
      </c>
      <c r="F825" s="1">
        <f>[1]Industry!B$58</f>
        <v>1.8459251245252504</v>
      </c>
      <c r="G825" s="1">
        <f>[1]Industry!C$58</f>
        <v>1.8457931733678312</v>
      </c>
      <c r="H825" s="1">
        <f>[1]Industry!D$58</f>
        <v>3.244276238856901E-2</v>
      </c>
      <c r="I825" s="1">
        <f>[1]Industry!E$58</f>
        <v>3.1390450357645489E-3</v>
      </c>
      <c r="J825" s="1">
        <f>[2]Industry!F$58</f>
        <v>2.2529537082090533E-3</v>
      </c>
      <c r="K825" s="1">
        <f>[2]Industry!G$58</f>
        <v>1.8097466237705293E-4</v>
      </c>
      <c r="L825" s="1">
        <f>[2]Industry!H$58</f>
        <v>0</v>
      </c>
      <c r="N825" s="1"/>
    </row>
    <row r="826" spans="2:14" x14ac:dyDescent="0.3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28.930480813302548</v>
      </c>
      <c r="G826" s="1">
        <f t="shared" ref="G826:K826" si="949">SUM(G827:G829)</f>
        <v>26.120206686790951</v>
      </c>
      <c r="H826" s="1">
        <f t="shared" si="949"/>
        <v>29.313729434782257</v>
      </c>
      <c r="I826" s="1">
        <f t="shared" si="949"/>
        <v>20.801599831324669</v>
      </c>
      <c r="J826" s="1">
        <f t="shared" si="949"/>
        <v>10.799672181411042</v>
      </c>
      <c r="K826" s="1">
        <f t="shared" si="949"/>
        <v>6.693753498475921</v>
      </c>
      <c r="L826" s="1">
        <f t="shared" ref="L826" si="950">SUM(L827:L829)</f>
        <v>4.1098741734272117</v>
      </c>
      <c r="N826" s="1"/>
    </row>
    <row r="827" spans="2:14" x14ac:dyDescent="0.35">
      <c r="B827" s="5" t="str">
        <f t="shared" ref="B827:B856" si="951">B826</f>
        <v>SPS1</v>
      </c>
      <c r="C827" s="5" t="str">
        <f t="shared" ref="C827:C856" si="952">C826</f>
        <v>CH</v>
      </c>
      <c r="D827" t="s">
        <v>2039</v>
      </c>
      <c r="E827" t="s">
        <v>8</v>
      </c>
      <c r="F827" s="1">
        <f>[1]Industry!B$59</f>
        <v>28.61986559200254</v>
      </c>
      <c r="G827" s="1">
        <f>[1]Industry!C$59</f>
        <v>25.727636490005015</v>
      </c>
      <c r="H827" s="1">
        <f>[1]Industry!D$59</f>
        <v>28.100348063994108</v>
      </c>
      <c r="I827" s="1">
        <f>[1]Industry!E$59</f>
        <v>18.537435265853812</v>
      </c>
      <c r="J827" s="1">
        <f>[2]Industry!F$59</f>
        <v>8.4997951749818732</v>
      </c>
      <c r="K827" s="1">
        <f>[2]Industry!G$59</f>
        <v>4.394625555443584</v>
      </c>
      <c r="L827" s="1">
        <f>[2]Industry!H$59</f>
        <v>0.98904602305450795</v>
      </c>
      <c r="N827" s="1"/>
    </row>
    <row r="828" spans="2:14" x14ac:dyDescent="0.35">
      <c r="B828" s="5" t="str">
        <f t="shared" si="951"/>
        <v>SPS1</v>
      </c>
      <c r="C828" s="5" t="str">
        <f t="shared" si="952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7.2732520008101903E-2</v>
      </c>
      <c r="I828" s="1">
        <f>[1]Industry!E$60</f>
        <v>2.6222601149550204E-2</v>
      </c>
      <c r="J828" s="1">
        <f>[2]Industry!F$60</f>
        <v>2.7718820702345615E-3</v>
      </c>
      <c r="K828" s="1">
        <f>[2]Industry!G$60</f>
        <v>2.0214569220790737E-3</v>
      </c>
      <c r="L828" s="1">
        <f>[2]Industry!H$60</f>
        <v>8.6033821846326418E-4</v>
      </c>
      <c r="N828" s="1"/>
    </row>
    <row r="829" spans="2:14" x14ac:dyDescent="0.35">
      <c r="B829" s="5" t="str">
        <f t="shared" si="951"/>
        <v>SPS1</v>
      </c>
      <c r="C829" s="5" t="str">
        <f t="shared" si="952"/>
        <v>CH</v>
      </c>
      <c r="D829" t="s">
        <v>2041</v>
      </c>
      <c r="E829" t="s">
        <v>8</v>
      </c>
      <c r="F829" s="1">
        <f>[1]Industry!B$68</f>
        <v>0.31061522130000835</v>
      </c>
      <c r="G829" s="1">
        <f>[1]Industry!C$68</f>
        <v>0.39257019678593641</v>
      </c>
      <c r="H829" s="1">
        <f>[1]Industry!D$68</f>
        <v>1.1406488507800474</v>
      </c>
      <c r="I829" s="1">
        <f>[1]Industry!E$68</f>
        <v>2.2379419643213079</v>
      </c>
      <c r="J829" s="1">
        <f>[2]Industry!F$68</f>
        <v>2.297105124358934</v>
      </c>
      <c r="K829" s="1">
        <f>[2]Industry!G$68</f>
        <v>2.2971064861102581</v>
      </c>
      <c r="L829" s="1">
        <f>[2]Industry!H$68</f>
        <v>3.1199678121542407</v>
      </c>
      <c r="N829" s="1"/>
    </row>
    <row r="830" spans="2:14" x14ac:dyDescent="0.35">
      <c r="B830" s="5" t="str">
        <f t="shared" si="951"/>
        <v>SPS1</v>
      </c>
      <c r="C830" s="5" t="str">
        <f t="shared" si="952"/>
        <v>CH</v>
      </c>
      <c r="D830" t="s">
        <v>2042</v>
      </c>
      <c r="E830" t="s">
        <v>8</v>
      </c>
      <c r="F830" s="1">
        <f>F831</f>
        <v>2.3675046449638706</v>
      </c>
      <c r="G830" s="1">
        <f t="shared" ref="G830:L830" si="953">G831</f>
        <v>2.307526236939708</v>
      </c>
      <c r="H830" s="1">
        <f t="shared" si="953"/>
        <v>8.6100965844087857E-2</v>
      </c>
      <c r="I830" s="1">
        <f t="shared" si="953"/>
        <v>2.9365655056350394E-3</v>
      </c>
      <c r="J830" s="1">
        <f t="shared" si="953"/>
        <v>1.5155179363335587E-3</v>
      </c>
      <c r="K830" s="1">
        <f t="shared" si="953"/>
        <v>1.7501979735544851E-4</v>
      </c>
      <c r="L830" s="1">
        <f t="shared" si="953"/>
        <v>0</v>
      </c>
      <c r="N830" s="1"/>
    </row>
    <row r="831" spans="2:14" x14ac:dyDescent="0.35">
      <c r="B831" s="5" t="str">
        <f t="shared" si="951"/>
        <v>SPS1</v>
      </c>
      <c r="C831" s="5" t="str">
        <f t="shared" si="952"/>
        <v>CH</v>
      </c>
      <c r="D831" t="s">
        <v>2043</v>
      </c>
      <c r="E831" t="s">
        <v>8</v>
      </c>
      <c r="F831" s="1">
        <f>[1]Industry!B$61</f>
        <v>2.3675046449638706</v>
      </c>
      <c r="G831" s="1">
        <f>[1]Industry!C$61</f>
        <v>2.307526236939708</v>
      </c>
      <c r="H831" s="1">
        <f>[1]Industry!D$61</f>
        <v>8.6100965844087857E-2</v>
      </c>
      <c r="I831" s="1">
        <f>[1]Industry!E$61</f>
        <v>2.9365655056350394E-3</v>
      </c>
      <c r="J831" s="1">
        <f>[2]Industry!F$61</f>
        <v>1.5155179363335587E-3</v>
      </c>
      <c r="K831" s="1">
        <f>[2]Industry!G$61</f>
        <v>1.7501979735544851E-4</v>
      </c>
      <c r="L831" s="1">
        <f>[2]Industry!H$61</f>
        <v>0</v>
      </c>
      <c r="N831" s="1"/>
    </row>
    <row r="832" spans="2:14" x14ac:dyDescent="0.35">
      <c r="B832" s="5" t="str">
        <f t="shared" si="951"/>
        <v>SPS1</v>
      </c>
      <c r="C832" s="5" t="str">
        <f t="shared" si="952"/>
        <v>CH</v>
      </c>
      <c r="D832" t="s">
        <v>2044</v>
      </c>
      <c r="E832" t="s">
        <v>8</v>
      </c>
      <c r="F832" s="1">
        <f>F833+F843</f>
        <v>11.767714244012463</v>
      </c>
      <c r="G832" s="1">
        <f t="shared" ref="G832:K832" si="954">G833+G843</f>
        <v>12.635602607574004</v>
      </c>
      <c r="H832" s="1">
        <f t="shared" si="954"/>
        <v>12.96984503676804</v>
      </c>
      <c r="I832" s="1">
        <f t="shared" si="954"/>
        <v>13.503790325651032</v>
      </c>
      <c r="J832" s="1">
        <f t="shared" si="954"/>
        <v>14.364968790775205</v>
      </c>
      <c r="K832" s="1">
        <f t="shared" si="954"/>
        <v>13.977079246316194</v>
      </c>
      <c r="L832" s="1">
        <f t="shared" ref="L832" si="955">L833+L843</f>
        <v>18.061078804083877</v>
      </c>
      <c r="N832" s="1"/>
    </row>
    <row r="833" spans="2:14" x14ac:dyDescent="0.35">
      <c r="B833" s="5" t="str">
        <f t="shared" si="951"/>
        <v>SPS1</v>
      </c>
      <c r="C833" s="5" t="str">
        <f t="shared" si="952"/>
        <v>CH</v>
      </c>
      <c r="D833" t="s">
        <v>2045</v>
      </c>
      <c r="E833" t="s">
        <v>8</v>
      </c>
      <c r="F833" s="1">
        <f>[1]Industry!B$62</f>
        <v>5.185249597601489</v>
      </c>
      <c r="G833" s="1">
        <f>[1]Industry!C$62</f>
        <v>5.5677090452185043</v>
      </c>
      <c r="H833" s="1">
        <f>[1]Industry!D$62</f>
        <v>5.8793007002002549</v>
      </c>
      <c r="I833" s="1">
        <f>[1]Industry!E$62</f>
        <v>6.375406323532256</v>
      </c>
      <c r="J833" s="1">
        <f>[2]Industry!F$62</f>
        <v>7.1989240916957984</v>
      </c>
      <c r="K833" s="1">
        <f>[2]Industry!G$62</f>
        <v>6.7733242764264876</v>
      </c>
      <c r="L833" s="1">
        <f>[2]Industry!H$62</f>
        <v>9.3562693176916767</v>
      </c>
      <c r="M833" s="1"/>
      <c r="N833" s="1"/>
    </row>
    <row r="834" spans="2:14" x14ac:dyDescent="0.35">
      <c r="B834" s="5" t="str">
        <f t="shared" si="951"/>
        <v>SPS1</v>
      </c>
      <c r="C834" s="5" t="str">
        <f t="shared" si="952"/>
        <v>CH</v>
      </c>
      <c r="D834" t="s">
        <v>2046</v>
      </c>
      <c r="E834" t="s">
        <v>8</v>
      </c>
      <c r="F834" s="1">
        <f>IFERROR(F793/F$792,0)*F$833</f>
        <v>1.0882738510467735</v>
      </c>
      <c r="G834" s="1">
        <f t="shared" ref="G834:K834" si="956">IFERROR(G793/G$792,0)*G$833</f>
        <v>1.9910923158624092</v>
      </c>
      <c r="H834" s="1">
        <f t="shared" si="956"/>
        <v>1.3611477384643893</v>
      </c>
      <c r="I834" s="1">
        <f t="shared" si="956"/>
        <v>1.1679218085907579</v>
      </c>
      <c r="J834" s="1">
        <f t="shared" si="956"/>
        <v>0.77295890098253128</v>
      </c>
      <c r="K834" s="1">
        <f t="shared" si="956"/>
        <v>0</v>
      </c>
      <c r="L834" s="1">
        <f t="shared" ref="L834" si="957">IFERROR(L793/L$792,0)*L$833</f>
        <v>0</v>
      </c>
      <c r="N834" s="1"/>
    </row>
    <row r="835" spans="2:14" x14ac:dyDescent="0.35">
      <c r="B835" s="5" t="str">
        <f t="shared" si="951"/>
        <v>SPS1</v>
      </c>
      <c r="C835" s="5" t="str">
        <f t="shared" si="952"/>
        <v>CH</v>
      </c>
      <c r="D835" t="s">
        <v>2047</v>
      </c>
      <c r="E835" t="s">
        <v>8</v>
      </c>
      <c r="F835" s="1">
        <f t="shared" ref="F835:K842" si="958">IFERROR(F794/F$792,0)*F$833</f>
        <v>1.0597228877771845</v>
      </c>
      <c r="G835" s="1">
        <f t="shared" si="958"/>
        <v>0.24370533851287102</v>
      </c>
      <c r="H835" s="1">
        <f t="shared" si="958"/>
        <v>0.55979843322089473</v>
      </c>
      <c r="I835" s="1">
        <f t="shared" si="958"/>
        <v>5.566736165763931E-2</v>
      </c>
      <c r="J835" s="1">
        <f t="shared" si="958"/>
        <v>0.92572026383121153</v>
      </c>
      <c r="K835" s="1">
        <f t="shared" si="958"/>
        <v>9.2964764251785598E-2</v>
      </c>
      <c r="L835" s="1">
        <f t="shared" ref="L835" si="959">IFERROR(L794/L$792,0)*L$833</f>
        <v>0.44452776228249297</v>
      </c>
      <c r="N835" s="1"/>
    </row>
    <row r="836" spans="2:14" x14ac:dyDescent="0.35">
      <c r="B836" s="5" t="str">
        <f t="shared" si="951"/>
        <v>SPS1</v>
      </c>
      <c r="C836" s="5" t="str">
        <f t="shared" si="952"/>
        <v>CH</v>
      </c>
      <c r="D836" t="s">
        <v>2048</v>
      </c>
      <c r="E836" t="s">
        <v>8</v>
      </c>
      <c r="F836" s="1">
        <f t="shared" si="958"/>
        <v>0</v>
      </c>
      <c r="G836" s="1">
        <f t="shared" si="958"/>
        <v>0</v>
      </c>
      <c r="H836" s="1">
        <f t="shared" si="958"/>
        <v>0</v>
      </c>
      <c r="I836" s="1">
        <f t="shared" si="958"/>
        <v>0</v>
      </c>
      <c r="J836" s="1">
        <f t="shared" si="958"/>
        <v>0</v>
      </c>
      <c r="K836" s="1">
        <f t="shared" si="958"/>
        <v>1.4040910165903784E-2</v>
      </c>
      <c r="L836" s="1">
        <f t="shared" ref="L836" si="960">IFERROR(L795/L$792,0)*L$833</f>
        <v>0.25703252237258228</v>
      </c>
      <c r="N836" s="1"/>
    </row>
    <row r="837" spans="2:14" x14ac:dyDescent="0.35">
      <c r="B837" s="5" t="str">
        <f t="shared" si="951"/>
        <v>SPS1</v>
      </c>
      <c r="C837" s="5" t="str">
        <f t="shared" si="952"/>
        <v>CH</v>
      </c>
      <c r="D837" t="s">
        <v>2049</v>
      </c>
      <c r="E837" t="s">
        <v>8</v>
      </c>
      <c r="F837" s="1">
        <f t="shared" si="958"/>
        <v>0</v>
      </c>
      <c r="G837" s="1">
        <f t="shared" si="958"/>
        <v>0</v>
      </c>
      <c r="H837" s="1">
        <f t="shared" si="958"/>
        <v>0</v>
      </c>
      <c r="I837" s="1">
        <f t="shared" si="958"/>
        <v>0</v>
      </c>
      <c r="J837" s="1">
        <f t="shared" si="958"/>
        <v>8.3245719446441288E-4</v>
      </c>
      <c r="K837" s="1">
        <f t="shared" si="958"/>
        <v>5.9714858999392853E-4</v>
      </c>
      <c r="L837" s="1">
        <f t="shared" ref="L837" si="961">IFERROR(L796/L$792,0)*L$833</f>
        <v>1.3364658644691307E-4</v>
      </c>
      <c r="N837" s="1"/>
    </row>
    <row r="838" spans="2:14" x14ac:dyDescent="0.35">
      <c r="B838" s="5" t="str">
        <f t="shared" si="951"/>
        <v>SPS1</v>
      </c>
      <c r="C838" s="5" t="str">
        <f t="shared" si="952"/>
        <v>CH</v>
      </c>
      <c r="D838" t="s">
        <v>2050</v>
      </c>
      <c r="E838" t="s">
        <v>8</v>
      </c>
      <c r="F838" s="1">
        <f t="shared" si="958"/>
        <v>2.2650146490868748</v>
      </c>
      <c r="G838" s="1">
        <f t="shared" si="958"/>
        <v>1.9457836328757525</v>
      </c>
      <c r="H838" s="1">
        <f t="shared" si="958"/>
        <v>0.10011344833837869</v>
      </c>
      <c r="I838" s="1">
        <f t="shared" si="958"/>
        <v>9.1670995609909919E-2</v>
      </c>
      <c r="J838" s="1">
        <f t="shared" si="958"/>
        <v>5.6284449030646775E-3</v>
      </c>
      <c r="K838" s="1">
        <f t="shared" si="958"/>
        <v>2.3066906745651703E-3</v>
      </c>
      <c r="L838" s="1">
        <f t="shared" ref="L838" si="962">IFERROR(L797/L$792,0)*L$833</f>
        <v>3.1498438083642504E-4</v>
      </c>
      <c r="N838" s="1"/>
    </row>
    <row r="839" spans="2:14" x14ac:dyDescent="0.35">
      <c r="B839" s="5" t="str">
        <f t="shared" si="951"/>
        <v>SPS1</v>
      </c>
      <c r="C839" s="5" t="str">
        <f t="shared" si="952"/>
        <v>CH</v>
      </c>
      <c r="D839" t="s">
        <v>2051</v>
      </c>
      <c r="E839" t="s">
        <v>8</v>
      </c>
      <c r="F839" s="1">
        <f t="shared" si="958"/>
        <v>0</v>
      </c>
      <c r="G839" s="1">
        <f t="shared" si="958"/>
        <v>0</v>
      </c>
      <c r="H839" s="1">
        <f t="shared" si="958"/>
        <v>0</v>
      </c>
      <c r="I839" s="1">
        <f t="shared" si="958"/>
        <v>0</v>
      </c>
      <c r="J839" s="1">
        <f t="shared" si="958"/>
        <v>0</v>
      </c>
      <c r="K839" s="1">
        <f t="shared" si="958"/>
        <v>0.53605126710983808</v>
      </c>
      <c r="L839" s="1">
        <f t="shared" ref="L839" si="963">IFERROR(L798/L$792,0)*L$833</f>
        <v>1.0332714181035365</v>
      </c>
      <c r="N839" s="1"/>
    </row>
    <row r="840" spans="2:14" x14ac:dyDescent="0.35">
      <c r="B840" s="5" t="str">
        <f t="shared" si="951"/>
        <v>SPS1</v>
      </c>
      <c r="C840" s="5" t="str">
        <f t="shared" si="952"/>
        <v>CH</v>
      </c>
      <c r="D840" t="s">
        <v>2052</v>
      </c>
      <c r="E840" t="s">
        <v>8</v>
      </c>
      <c r="F840" s="1">
        <f t="shared" si="958"/>
        <v>0.77223820969065582</v>
      </c>
      <c r="G840" s="1">
        <f t="shared" si="958"/>
        <v>1.387127757967471</v>
      </c>
      <c r="H840" s="1">
        <f t="shared" si="958"/>
        <v>3.8582410801765921</v>
      </c>
      <c r="I840" s="1">
        <f t="shared" si="958"/>
        <v>5.060146157673949</v>
      </c>
      <c r="J840" s="1">
        <f t="shared" si="958"/>
        <v>5.4909856824559728</v>
      </c>
      <c r="K840" s="1">
        <f t="shared" si="958"/>
        <v>4.9472666191261601</v>
      </c>
      <c r="L840" s="1">
        <f t="shared" ref="L840" si="964">IFERROR(L799/L$792,0)*L$833</f>
        <v>4.4476834548333937</v>
      </c>
      <c r="N840" s="1"/>
    </row>
    <row r="841" spans="2:14" x14ac:dyDescent="0.35">
      <c r="B841" s="5" t="str">
        <f t="shared" si="951"/>
        <v>SPS1</v>
      </c>
      <c r="C841" s="5" t="str">
        <f t="shared" si="952"/>
        <v>CH</v>
      </c>
      <c r="D841" t="s">
        <v>2053</v>
      </c>
      <c r="E841" t="s">
        <v>8</v>
      </c>
      <c r="F841" s="1">
        <f t="shared" si="958"/>
        <v>0</v>
      </c>
      <c r="G841" s="1">
        <f t="shared" si="958"/>
        <v>0</v>
      </c>
      <c r="H841" s="1">
        <f t="shared" si="958"/>
        <v>0</v>
      </c>
      <c r="I841" s="1">
        <f t="shared" si="958"/>
        <v>0</v>
      </c>
      <c r="J841" s="1">
        <f t="shared" si="958"/>
        <v>0</v>
      </c>
      <c r="K841" s="1">
        <f t="shared" si="958"/>
        <v>1.1208729921895659</v>
      </c>
      <c r="L841" s="1">
        <f t="shared" ref="L841" si="965">IFERROR(L800/L$792,0)*L$833</f>
        <v>3.0719174371229014</v>
      </c>
      <c r="N841" s="1"/>
    </row>
    <row r="842" spans="2:14" x14ac:dyDescent="0.35">
      <c r="B842" s="5" t="str">
        <f t="shared" si="951"/>
        <v>SPS1</v>
      </c>
      <c r="C842" s="5" t="str">
        <f t="shared" si="952"/>
        <v>CH</v>
      </c>
      <c r="D842" t="s">
        <v>2054</v>
      </c>
      <c r="E842" t="s">
        <v>8</v>
      </c>
      <c r="F842" s="1">
        <f t="shared" si="958"/>
        <v>0</v>
      </c>
      <c r="G842" s="1">
        <f t="shared" si="958"/>
        <v>0</v>
      </c>
      <c r="H842" s="1">
        <f t="shared" si="958"/>
        <v>0</v>
      </c>
      <c r="I842" s="1">
        <f t="shared" si="958"/>
        <v>0</v>
      </c>
      <c r="J842" s="1">
        <f t="shared" si="958"/>
        <v>2.7983423285540278E-3</v>
      </c>
      <c r="K842" s="1">
        <f t="shared" si="958"/>
        <v>5.9223884318676472E-2</v>
      </c>
      <c r="L842" s="1">
        <f t="shared" ref="L842" si="966">IFERROR(L801/L$792,0)*L$833</f>
        <v>0.10138809200948629</v>
      </c>
      <c r="M842" s="1"/>
      <c r="N842" s="1"/>
    </row>
    <row r="843" spans="2:14" x14ac:dyDescent="0.35">
      <c r="B843" s="5" t="str">
        <f t="shared" si="951"/>
        <v>SPS1</v>
      </c>
      <c r="C843" s="5" t="str">
        <f t="shared" si="952"/>
        <v>CH</v>
      </c>
      <c r="D843" t="s">
        <v>2055</v>
      </c>
      <c r="E843" t="s">
        <v>8</v>
      </c>
      <c r="F843" s="1">
        <f>[1]Industry!B$63</f>
        <v>6.5824646464109744</v>
      </c>
      <c r="G843" s="1">
        <f>[1]Industry!C$63</f>
        <v>7.0678935623555006</v>
      </c>
      <c r="H843" s="1">
        <f>[1]Industry!D$63</f>
        <v>7.0905443365677856</v>
      </c>
      <c r="I843" s="1">
        <f>[1]Industry!E$63</f>
        <v>7.1283840021187768</v>
      </c>
      <c r="J843" s="1">
        <f>[2]Industry!F$63</f>
        <v>7.1660446990794062</v>
      </c>
      <c r="K843" s="1">
        <f>[2]Industry!G$63</f>
        <v>7.2037549698897054</v>
      </c>
      <c r="L843" s="1">
        <f>[2]Industry!H$63</f>
        <v>8.7048094863922021</v>
      </c>
      <c r="N843" s="1"/>
    </row>
    <row r="844" spans="2:14" x14ac:dyDescent="0.35">
      <c r="B844" s="5" t="str">
        <f t="shared" si="951"/>
        <v>SPS1</v>
      </c>
      <c r="C844" s="5" t="str">
        <f t="shared" si="952"/>
        <v>CH</v>
      </c>
      <c r="D844" t="s">
        <v>2056</v>
      </c>
      <c r="E844" t="s">
        <v>8</v>
      </c>
      <c r="F844" s="1">
        <f>F845</f>
        <v>5.3112538801372393</v>
      </c>
      <c r="G844" s="1">
        <f t="shared" ref="G844:L844" si="967">G845</f>
        <v>6.2669954666482779</v>
      </c>
      <c r="H844" s="1">
        <f t="shared" si="967"/>
        <v>6.0030768912076287</v>
      </c>
      <c r="I844" s="1">
        <f t="shared" si="967"/>
        <v>7.0120500285676695</v>
      </c>
      <c r="J844" s="1">
        <f t="shared" si="967"/>
        <v>7.7152939025494334</v>
      </c>
      <c r="K844" s="1">
        <f t="shared" si="967"/>
        <v>7.9689619959703775</v>
      </c>
      <c r="L844" s="1">
        <f t="shared" si="967"/>
        <v>9.2290402064229244</v>
      </c>
      <c r="N844" s="1"/>
    </row>
    <row r="845" spans="2:14" x14ac:dyDescent="0.35">
      <c r="B845" s="5" t="str">
        <f t="shared" si="951"/>
        <v>SPS1</v>
      </c>
      <c r="C845" s="5" t="str">
        <f t="shared" si="952"/>
        <v>CH</v>
      </c>
      <c r="D845" t="s">
        <v>2057</v>
      </c>
      <c r="E845" t="s">
        <v>8</v>
      </c>
      <c r="F845" s="1">
        <f>[1]Industry!B$64</f>
        <v>5.3112538801372393</v>
      </c>
      <c r="G845" s="1">
        <f>[1]Industry!C$64</f>
        <v>6.2669954666482779</v>
      </c>
      <c r="H845" s="1">
        <f>[1]Industry!D$64</f>
        <v>6.0030768912076287</v>
      </c>
      <c r="I845" s="1">
        <f>[1]Industry!E$64</f>
        <v>7.0120500285676695</v>
      </c>
      <c r="J845" s="1">
        <f>[2]Industry!F$64</f>
        <v>7.7152939025494334</v>
      </c>
      <c r="K845" s="1">
        <f>[2]Industry!G$64</f>
        <v>7.9689619959703775</v>
      </c>
      <c r="L845" s="1">
        <f>[2]Industry!H$64</f>
        <v>9.2290402064229244</v>
      </c>
      <c r="N845" s="1"/>
    </row>
    <row r="846" spans="2:14" x14ac:dyDescent="0.35">
      <c r="B846" s="5" t="str">
        <f t="shared" si="951"/>
        <v>SPS1</v>
      </c>
      <c r="C846" s="5" t="str">
        <f t="shared" si="952"/>
        <v>CH</v>
      </c>
      <c r="D846" t="s">
        <v>2058</v>
      </c>
      <c r="E846" t="s">
        <v>8</v>
      </c>
      <c r="F846" s="1">
        <f>F847</f>
        <v>0.46159904975162597</v>
      </c>
      <c r="G846" s="1">
        <f t="shared" ref="G846:L846" si="968">G847</f>
        <v>0.5446111002284405</v>
      </c>
      <c r="H846" s="1">
        <f t="shared" si="968"/>
        <v>0.57530150914458866</v>
      </c>
      <c r="I846" s="1">
        <f t="shared" si="968"/>
        <v>0.59338116082553971</v>
      </c>
      <c r="J846" s="1">
        <f t="shared" si="968"/>
        <v>0.54480481572638817</v>
      </c>
      <c r="K846" s="1">
        <f t="shared" si="968"/>
        <v>0.54480636721956943</v>
      </c>
      <c r="L846" s="1">
        <f t="shared" si="968"/>
        <v>0.54481110074958505</v>
      </c>
      <c r="N846" s="1"/>
    </row>
    <row r="847" spans="2:14" x14ac:dyDescent="0.35">
      <c r="B847" s="5" t="str">
        <f t="shared" si="951"/>
        <v>SPS1</v>
      </c>
      <c r="C847" s="5" t="str">
        <f t="shared" si="952"/>
        <v>CH</v>
      </c>
      <c r="D847" t="s">
        <v>2059</v>
      </c>
      <c r="E847" t="s">
        <v>8</v>
      </c>
      <c r="F847" s="1">
        <f>[1]Industry!B$65</f>
        <v>0.46159904975162597</v>
      </c>
      <c r="G847" s="1">
        <f>[1]Industry!C$65</f>
        <v>0.5446111002284405</v>
      </c>
      <c r="H847" s="1">
        <f>[1]Industry!D$65</f>
        <v>0.57530150914458866</v>
      </c>
      <c r="I847" s="1">
        <f>[1]Industry!E$65</f>
        <v>0.59338116082553971</v>
      </c>
      <c r="J847" s="1">
        <f>[2]Industry!F$65</f>
        <v>0.54480481572638817</v>
      </c>
      <c r="K847" s="1">
        <f>[2]Industry!G$65</f>
        <v>0.54480636721956943</v>
      </c>
      <c r="L847" s="1">
        <f>[2]Industry!H$65</f>
        <v>0.54481110074958505</v>
      </c>
      <c r="N847" s="1"/>
    </row>
    <row r="848" spans="2:14" x14ac:dyDescent="0.35">
      <c r="B848" s="5" t="str">
        <f t="shared" si="951"/>
        <v>SPS1</v>
      </c>
      <c r="C848" s="5" t="str">
        <f t="shared" si="952"/>
        <v>CH</v>
      </c>
      <c r="D848" t="s">
        <v>2060</v>
      </c>
      <c r="E848" t="s">
        <v>8</v>
      </c>
      <c r="F848" s="1">
        <f>F849</f>
        <v>4.1174169544843391</v>
      </c>
      <c r="G848" s="1">
        <f t="shared" ref="G848:L848" si="969">G849</f>
        <v>4.2667306877460165</v>
      </c>
      <c r="H848" s="1">
        <f t="shared" si="969"/>
        <v>5.7220937662547611</v>
      </c>
      <c r="I848" s="1">
        <f t="shared" si="969"/>
        <v>6.0522454199934543</v>
      </c>
      <c r="J848" s="1">
        <f t="shared" si="969"/>
        <v>5.6909998017327075</v>
      </c>
      <c r="K848" s="1">
        <f t="shared" si="969"/>
        <v>5.0415025670046552</v>
      </c>
      <c r="L848" s="1">
        <f t="shared" si="969"/>
        <v>3.2361391323779065</v>
      </c>
      <c r="N848" s="1"/>
    </row>
    <row r="849" spans="2:14" x14ac:dyDescent="0.35">
      <c r="B849" s="5" t="str">
        <f t="shared" si="951"/>
        <v>SPS1</v>
      </c>
      <c r="C849" s="5" t="str">
        <f t="shared" si="952"/>
        <v>CH</v>
      </c>
      <c r="D849" t="s">
        <v>2061</v>
      </c>
      <c r="E849" t="s">
        <v>8</v>
      </c>
      <c r="F849" s="1">
        <f>[1]Industry!B$66</f>
        <v>4.1174169544843391</v>
      </c>
      <c r="G849" s="1">
        <f>[1]Industry!C$66</f>
        <v>4.2667306877460165</v>
      </c>
      <c r="H849" s="1">
        <f>[1]Industry!D$66</f>
        <v>5.7220937662547611</v>
      </c>
      <c r="I849" s="1">
        <f>[1]Industry!E$66</f>
        <v>6.0522454199934543</v>
      </c>
      <c r="J849" s="1">
        <f>[2]Industry!F$66</f>
        <v>5.6909998017327075</v>
      </c>
      <c r="K849" s="1">
        <f>[2]Industry!G$66</f>
        <v>5.0415025670046552</v>
      </c>
      <c r="L849" s="1">
        <f>[2]Industry!H$66</f>
        <v>3.2361391323779065</v>
      </c>
      <c r="N849" s="1"/>
    </row>
    <row r="850" spans="2:14" x14ac:dyDescent="0.35">
      <c r="B850" s="5" t="str">
        <f t="shared" si="951"/>
        <v>SPS1</v>
      </c>
      <c r="C850" s="5" t="str">
        <f t="shared" si="952"/>
        <v>CH</v>
      </c>
      <c r="D850" t="s">
        <v>2062</v>
      </c>
      <c r="E850" t="s">
        <v>8</v>
      </c>
      <c r="F850" s="1">
        <f>F851</f>
        <v>6.8107582252723106E-2</v>
      </c>
      <c r="G850" s="1">
        <f t="shared" ref="G850:L850" si="970">G851</f>
        <v>8.5601774398449418E-2</v>
      </c>
      <c r="H850" s="1">
        <f t="shared" si="970"/>
        <v>0.10204303950376965</v>
      </c>
      <c r="I850" s="1">
        <f t="shared" si="970"/>
        <v>2.3313497198267528</v>
      </c>
      <c r="J850" s="1">
        <f t="shared" si="970"/>
        <v>0.20078389623332407</v>
      </c>
      <c r="K850" s="1">
        <f t="shared" si="970"/>
        <v>0.21585120668769051</v>
      </c>
      <c r="L850" s="1">
        <f t="shared" si="970"/>
        <v>0.15953850977105005</v>
      </c>
      <c r="N850" s="1"/>
    </row>
    <row r="851" spans="2:14" x14ac:dyDescent="0.35">
      <c r="B851" s="5" t="str">
        <f t="shared" si="951"/>
        <v>SPS1</v>
      </c>
      <c r="C851" s="5" t="str">
        <f t="shared" si="952"/>
        <v>CH</v>
      </c>
      <c r="D851" t="s">
        <v>2063</v>
      </c>
      <c r="E851" t="s">
        <v>8</v>
      </c>
      <c r="F851" s="1">
        <f>[1]Industry!B$67</f>
        <v>6.8107582252723106E-2</v>
      </c>
      <c r="G851" s="1">
        <f>[1]Industry!C$67</f>
        <v>8.5601774398449418E-2</v>
      </c>
      <c r="H851" s="1">
        <f>[1]Industry!D$67</f>
        <v>0.10204303950376965</v>
      </c>
      <c r="I851" s="1">
        <f>[1]Industry!E$67</f>
        <v>2.3313497198267528</v>
      </c>
      <c r="J851" s="1">
        <f>[2]Industry!F$67</f>
        <v>0.20078389623332407</v>
      </c>
      <c r="K851" s="1">
        <f>[2]Industry!G$67</f>
        <v>0.21585120668769051</v>
      </c>
      <c r="L851" s="1">
        <f>[2]Industry!H$67</f>
        <v>0.15953850977105005</v>
      </c>
      <c r="N851" s="1"/>
    </row>
    <row r="852" spans="2:14" x14ac:dyDescent="0.35">
      <c r="B852" s="5" t="str">
        <f t="shared" si="951"/>
        <v>SPS1</v>
      </c>
      <c r="C852" s="5" t="str">
        <f t="shared" si="952"/>
        <v>CH</v>
      </c>
      <c r="D852" t="s">
        <v>2064</v>
      </c>
      <c r="E852" t="s">
        <v>8</v>
      </c>
      <c r="F852" s="1">
        <f>F853</f>
        <v>0</v>
      </c>
      <c r="G852" s="1">
        <f t="shared" ref="G852:L852" si="971">G853</f>
        <v>0</v>
      </c>
      <c r="H852" s="1">
        <f t="shared" si="971"/>
        <v>0</v>
      </c>
      <c r="I852" s="1">
        <f t="shared" si="971"/>
        <v>0</v>
      </c>
      <c r="J852" s="1">
        <f t="shared" si="971"/>
        <v>7.8756856738948766</v>
      </c>
      <c r="K852" s="1">
        <f t="shared" si="971"/>
        <v>9.1365128084854348</v>
      </c>
      <c r="L852" s="1">
        <f t="shared" si="971"/>
        <v>9.1365193025439027</v>
      </c>
      <c r="N852" s="1"/>
    </row>
    <row r="853" spans="2:14" x14ac:dyDescent="0.35">
      <c r="B853" s="5" t="str">
        <f t="shared" si="951"/>
        <v>SPS1</v>
      </c>
      <c r="C853" s="5" t="str">
        <f t="shared" si="952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0</v>
      </c>
      <c r="J853" s="1">
        <f>[2]Industry!F$69</f>
        <v>7.8756856738948766</v>
      </c>
      <c r="K853" s="1">
        <f>[2]Industry!G$69</f>
        <v>9.1365128084854348</v>
      </c>
      <c r="L853" s="1">
        <f>[2]Industry!H$69</f>
        <v>9.1365193025439027</v>
      </c>
      <c r="N853" s="1"/>
    </row>
    <row r="854" spans="2:14" x14ac:dyDescent="0.35">
      <c r="B854" s="5" t="str">
        <f t="shared" si="951"/>
        <v>SPS1</v>
      </c>
      <c r="C854" s="5" t="str">
        <f t="shared" si="952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972">SUM(G855:G856)</f>
        <v>2.084147841936673</v>
      </c>
      <c r="H854" s="1">
        <f t="shared" si="972"/>
        <v>2.0840960164003799</v>
      </c>
      <c r="I854" s="1">
        <f t="shared" si="972"/>
        <v>2.1606887510302721</v>
      </c>
      <c r="J854" s="1">
        <f t="shared" si="972"/>
        <v>2.1228712535490639</v>
      </c>
      <c r="K854" s="1">
        <f t="shared" si="972"/>
        <v>6.7754279085566944</v>
      </c>
      <c r="L854" s="1">
        <f t="shared" ref="L854" si="973">SUM(L855:L856)</f>
        <v>6.8980990987745079</v>
      </c>
      <c r="N854" s="1"/>
    </row>
    <row r="855" spans="2:14" x14ac:dyDescent="0.35">
      <c r="B855" s="5" t="str">
        <f t="shared" si="951"/>
        <v>SPS1</v>
      </c>
      <c r="C855" s="5" t="str">
        <f t="shared" si="952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0.36221792661536223</v>
      </c>
      <c r="H855" s="1">
        <f>[1]Industry!D$6-H856</f>
        <v>0.36220891951043255</v>
      </c>
      <c r="I855" s="1">
        <f>[1]Industry!E$6-I856</f>
        <v>0.37838624600362936</v>
      </c>
      <c r="J855" s="1">
        <f>[2]Industry!F$6-J856</f>
        <v>0.36931361146751263</v>
      </c>
      <c r="K855" s="1">
        <f>[2]Industry!G$6-K856</f>
        <v>1.4389780255206848</v>
      </c>
      <c r="L855" s="1">
        <f>[2]Industry!H$6-L856</f>
        <v>1.4871655059465194</v>
      </c>
      <c r="N855" s="1"/>
    </row>
    <row r="856" spans="2:14" x14ac:dyDescent="0.35">
      <c r="B856" s="5" t="str">
        <f t="shared" si="951"/>
        <v>SPS1</v>
      </c>
      <c r="C856" s="5" t="str">
        <f t="shared" si="952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1.7219299153213108</v>
      </c>
      <c r="H856" s="1">
        <f>[1]Industry!D$70</f>
        <v>1.7218870968899473</v>
      </c>
      <c r="I856" s="1">
        <f>[1]Industry!E$70</f>
        <v>1.7823025050266428</v>
      </c>
      <c r="J856" s="1">
        <f>[2]Industry!F$70</f>
        <v>1.7535576420815513</v>
      </c>
      <c r="K856" s="1">
        <f>[2]Industry!G$70</f>
        <v>5.3364498830360096</v>
      </c>
      <c r="L856" s="1">
        <f>[2]Industry!H$70</f>
        <v>5.4109335928279885</v>
      </c>
      <c r="N856" s="1"/>
    </row>
    <row r="857" spans="2:14" x14ac:dyDescent="0.3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N857" s="1"/>
    </row>
    <row r="858" spans="2:14" x14ac:dyDescent="0.3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0.84261542941328316</v>
      </c>
      <c r="G858" s="4">
        <f t="shared" ref="G858:K858" si="974">IFERROR(G820/G765,"-")</f>
        <v>0.84306236513985411</v>
      </c>
      <c r="H858" s="4">
        <f t="shared" si="974"/>
        <v>0.84373276872970682</v>
      </c>
      <c r="I858" s="4">
        <f t="shared" si="974"/>
        <v>0.84485010804613025</v>
      </c>
      <c r="J858" s="4">
        <f t="shared" si="974"/>
        <v>0.84596744736255414</v>
      </c>
      <c r="K858" s="4">
        <f t="shared" si="974"/>
        <v>0.84708478667897569</v>
      </c>
      <c r="L858" s="4">
        <f t="shared" ref="L858" si="975">IFERROR(L820/L765,"-")</f>
        <v>0.84931946531182279</v>
      </c>
      <c r="N858" s="1"/>
    </row>
    <row r="859" spans="2:14" x14ac:dyDescent="0.35">
      <c r="B859" s="5" t="str">
        <f t="shared" ref="B859:B881" si="976">B858</f>
        <v>SPS1</v>
      </c>
      <c r="C859" s="5" t="str">
        <f t="shared" ref="C859:C881" si="977">C858</f>
        <v>CH</v>
      </c>
      <c r="D859" t="s">
        <v>2070</v>
      </c>
      <c r="E859" t="s">
        <v>240</v>
      </c>
      <c r="F859" s="4">
        <f t="shared" ref="F859:K859" si="978">IFERROR(F821/F766,"-")</f>
        <v>3.0809801822513294</v>
      </c>
      <c r="G859" s="4">
        <f t="shared" si="978"/>
        <v>3.1055374774069149</v>
      </c>
      <c r="H859" s="4">
        <f t="shared" si="978"/>
        <v>3.1423734201402915</v>
      </c>
      <c r="I859" s="4">
        <f t="shared" si="978"/>
        <v>3.2037666580292488</v>
      </c>
      <c r="J859" s="4">
        <f t="shared" si="978"/>
        <v>3.2651598959182087</v>
      </c>
      <c r="K859" s="4">
        <f t="shared" si="978"/>
        <v>3.3265531338071703</v>
      </c>
      <c r="L859" s="4">
        <f t="shared" ref="L859" si="979">IFERROR(L821/L766,"-")</f>
        <v>3.4493396095850866</v>
      </c>
      <c r="N859" s="1"/>
    </row>
    <row r="860" spans="2:14" x14ac:dyDescent="0.35">
      <c r="B860" s="5" t="str">
        <f t="shared" si="976"/>
        <v>SPS1</v>
      </c>
      <c r="C860" s="5" t="str">
        <f t="shared" si="977"/>
        <v>CH</v>
      </c>
      <c r="D860" t="s">
        <v>2071</v>
      </c>
      <c r="E860" t="s">
        <v>240</v>
      </c>
      <c r="F860" s="4">
        <f t="shared" ref="F860:K860" si="980">IFERROR(F822/F767,"-")</f>
        <v>0.99999999999999989</v>
      </c>
      <c r="G860" s="4">
        <f t="shared" si="980"/>
        <v>0.99999906163469399</v>
      </c>
      <c r="H860" s="4">
        <f t="shared" si="980"/>
        <v>0.99999912262705681</v>
      </c>
      <c r="I860" s="4">
        <f t="shared" si="980"/>
        <v>1.0000054848621223</v>
      </c>
      <c r="J860" s="4">
        <f t="shared" si="980"/>
        <v>1.0000008183382652</v>
      </c>
      <c r="K860" s="4">
        <f t="shared" si="980"/>
        <v>0.99999759391688647</v>
      </c>
      <c r="L860" s="4">
        <f t="shared" ref="L860" si="981">IFERROR(L822/L767,"-")</f>
        <v>0.96440547262726806</v>
      </c>
      <c r="N860" s="1"/>
    </row>
    <row r="861" spans="2:14" x14ac:dyDescent="0.35">
      <c r="B861" s="5" t="str">
        <f t="shared" si="976"/>
        <v>SPS1</v>
      </c>
      <c r="C861" s="5" t="str">
        <f t="shared" si="977"/>
        <v>CH</v>
      </c>
      <c r="D861" t="s">
        <v>2072</v>
      </c>
      <c r="E861" t="s">
        <v>240</v>
      </c>
      <c r="F861" s="4">
        <f>IFERROR(F824/F769,"-")</f>
        <v>0.77746213224363558</v>
      </c>
      <c r="G861" s="4">
        <f t="shared" ref="G861:K862" si="982">IFERROR(G824/G769,"-")</f>
        <v>0.77871988564932404</v>
      </c>
      <c r="H861" s="4">
        <f t="shared" si="982"/>
        <v>0.78060651575785645</v>
      </c>
      <c r="I861" s="4">
        <f t="shared" si="982"/>
        <v>0.78375089927207642</v>
      </c>
      <c r="J861" s="4">
        <f t="shared" si="982"/>
        <v>0.78689528278629839</v>
      </c>
      <c r="K861" s="4">
        <f t="shared" si="982"/>
        <v>0.79003966630051936</v>
      </c>
      <c r="L861" s="4">
        <f t="shared" ref="L861" si="983">IFERROR(L824/L769,"-")</f>
        <v>0.7963284333289613</v>
      </c>
      <c r="N861" s="1"/>
    </row>
    <row r="862" spans="2:14" x14ac:dyDescent="0.35">
      <c r="B862" s="5" t="str">
        <f t="shared" si="976"/>
        <v>SPS1</v>
      </c>
      <c r="C862" s="5" t="str">
        <f t="shared" si="977"/>
        <v>CH</v>
      </c>
      <c r="D862" t="s">
        <v>2073</v>
      </c>
      <c r="E862" t="s">
        <v>240</v>
      </c>
      <c r="F862" s="4">
        <f>IFERROR(F825/F770,"-")</f>
        <v>0.67612499999999953</v>
      </c>
      <c r="G862" s="4">
        <f t="shared" si="982"/>
        <v>0.67904999999999938</v>
      </c>
      <c r="H862" s="4">
        <f t="shared" si="982"/>
        <v>0.68343750000000036</v>
      </c>
      <c r="I862" s="4">
        <f t="shared" si="982"/>
        <v>0.69074999999999875</v>
      </c>
      <c r="J862" s="4">
        <f t="shared" si="982"/>
        <v>0.69806250000000081</v>
      </c>
      <c r="K862" s="4">
        <f t="shared" si="982"/>
        <v>0.70537499999999964</v>
      </c>
      <c r="L862" s="4" t="str">
        <f t="shared" ref="L862" si="984">IFERROR(L825/L770,"-")</f>
        <v>-</v>
      </c>
      <c r="N862" s="1"/>
    </row>
    <row r="863" spans="2:14" x14ac:dyDescent="0.35">
      <c r="B863" s="5" t="str">
        <f t="shared" si="976"/>
        <v>SPS1</v>
      </c>
      <c r="C863" s="5" t="str">
        <f t="shared" si="977"/>
        <v>CH</v>
      </c>
      <c r="D863" t="s">
        <v>2074</v>
      </c>
      <c r="E863" t="s">
        <v>240</v>
      </c>
      <c r="F863" s="4">
        <f>IFERROR(F827/F779,"-")</f>
        <v>0.80566116177430336</v>
      </c>
      <c r="G863" s="4">
        <f t="shared" ref="G863:K865" si="985">IFERROR(G827/G779,"-")</f>
        <v>0.8061004452224656</v>
      </c>
      <c r="H863" s="4">
        <f t="shared" si="985"/>
        <v>0.80608821485178184</v>
      </c>
      <c r="I863" s="4">
        <f t="shared" si="985"/>
        <v>0.80804567256343973</v>
      </c>
      <c r="J863" s="4">
        <f t="shared" si="985"/>
        <v>0.83393836941469013</v>
      </c>
      <c r="K863" s="4">
        <f t="shared" si="985"/>
        <v>0.83699743679171035</v>
      </c>
      <c r="L863" s="4">
        <f t="shared" ref="L863" si="986">IFERROR(L827/L779,"-")</f>
        <v>0.84050053045591899</v>
      </c>
      <c r="N863" s="1"/>
    </row>
    <row r="864" spans="2:14" x14ac:dyDescent="0.35">
      <c r="B864" s="5" t="str">
        <f t="shared" si="976"/>
        <v>SPS1</v>
      </c>
      <c r="C864" s="5" t="str">
        <f t="shared" si="977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985"/>
        <v>0</v>
      </c>
      <c r="H864" s="4">
        <f t="shared" si="985"/>
        <v>7.7895443764011123</v>
      </c>
      <c r="I864" s="4" t="str">
        <f t="shared" si="985"/>
        <v>-</v>
      </c>
      <c r="J864" s="4" t="str">
        <f t="shared" si="985"/>
        <v>-</v>
      </c>
      <c r="K864" s="4" t="str">
        <f t="shared" si="985"/>
        <v>-</v>
      </c>
      <c r="L864" s="4" t="str">
        <f t="shared" ref="L864" si="987">IFERROR(L828/L780,"-")</f>
        <v>-</v>
      </c>
      <c r="N864" s="1"/>
    </row>
    <row r="865" spans="2:14" x14ac:dyDescent="0.35">
      <c r="B865" s="5" t="str">
        <f t="shared" si="976"/>
        <v>SPS1</v>
      </c>
      <c r="C865" s="5" t="str">
        <f t="shared" si="977"/>
        <v>CH</v>
      </c>
      <c r="D865" t="s">
        <v>2076</v>
      </c>
      <c r="E865" t="s">
        <v>240</v>
      </c>
      <c r="F865" s="4">
        <f>IFERROR(F829/F781,"-")</f>
        <v>0.66669950225755537</v>
      </c>
      <c r="G865" s="4">
        <f t="shared" si="985"/>
        <v>0.69152741007847685</v>
      </c>
      <c r="H865" s="4">
        <f t="shared" si="985"/>
        <v>0.70688581817275475</v>
      </c>
      <c r="I865" s="4">
        <f t="shared" si="985"/>
        <v>0.71099999999999952</v>
      </c>
      <c r="J865" s="4">
        <f t="shared" si="985"/>
        <v>0.71099999999999919</v>
      </c>
      <c r="K865" s="4">
        <f t="shared" si="985"/>
        <v>0.71100000000000008</v>
      </c>
      <c r="L865" s="4">
        <f t="shared" ref="L865" si="988">IFERROR(L829/L781,"-")</f>
        <v>0.72</v>
      </c>
      <c r="N865" s="1"/>
    </row>
    <row r="866" spans="2:14" x14ac:dyDescent="0.35">
      <c r="B866" s="5" t="str">
        <f t="shared" si="976"/>
        <v>SPS1</v>
      </c>
      <c r="C866" s="5" t="str">
        <f t="shared" si="977"/>
        <v>CH</v>
      </c>
      <c r="D866" t="s">
        <v>2077</v>
      </c>
      <c r="E866" t="s">
        <v>240</v>
      </c>
      <c r="F866" s="4">
        <f>IFERROR(F831/F790,"-")</f>
        <v>0.66499999999999948</v>
      </c>
      <c r="G866" s="4">
        <f t="shared" ref="G866:K866" si="989">IFERROR(G831/G790,"-")</f>
        <v>0.66600000000000037</v>
      </c>
      <c r="H866" s="4">
        <f t="shared" si="989"/>
        <v>0.66749999999999987</v>
      </c>
      <c r="I866" s="4">
        <f t="shared" si="989"/>
        <v>0.67000000000000015</v>
      </c>
      <c r="J866" s="4">
        <f t="shared" si="989"/>
        <v>0.67249999999999988</v>
      </c>
      <c r="K866" s="4">
        <f t="shared" si="989"/>
        <v>0.67500000000000093</v>
      </c>
      <c r="L866" s="4" t="str">
        <f t="shared" ref="L866" si="990">IFERROR(L831/L790,"-")</f>
        <v>-</v>
      </c>
      <c r="N866" s="1"/>
    </row>
    <row r="867" spans="2:14" x14ac:dyDescent="0.35">
      <c r="B867" s="5" t="str">
        <f t="shared" si="976"/>
        <v>SPS1</v>
      </c>
      <c r="C867" s="5" t="str">
        <f t="shared" si="977"/>
        <v>CH</v>
      </c>
      <c r="D867" t="s">
        <v>2078</v>
      </c>
      <c r="E867" t="s">
        <v>240</v>
      </c>
      <c r="F867" s="4">
        <f>IFERROR(F834/F793,"-")</f>
        <v>1.1701510746223676</v>
      </c>
      <c r="G867" s="4">
        <f t="shared" ref="G867:K867" si="991">IFERROR(G834/G793,"-")</f>
        <v>0.98911936711276671</v>
      </c>
      <c r="H867" s="4">
        <f t="shared" si="991"/>
        <v>1.0387111898072838</v>
      </c>
      <c r="I867" s="4">
        <f t="shared" si="991"/>
        <v>0.9403314307098356</v>
      </c>
      <c r="J867" s="4">
        <f t="shared" si="991"/>
        <v>0.93490874614616659</v>
      </c>
      <c r="K867" s="4" t="str">
        <f t="shared" si="991"/>
        <v>-</v>
      </c>
      <c r="L867" s="4" t="str">
        <f t="shared" ref="L867" si="992">IFERROR(L834/L793,"-")</f>
        <v>-</v>
      </c>
      <c r="N867" s="1"/>
    </row>
    <row r="868" spans="2:14" x14ac:dyDescent="0.35">
      <c r="B868" s="5" t="str">
        <f t="shared" si="976"/>
        <v>SPS1</v>
      </c>
      <c r="C868" s="5" t="str">
        <f t="shared" si="977"/>
        <v>CH</v>
      </c>
      <c r="D868" t="s">
        <v>2079</v>
      </c>
      <c r="E868" t="s">
        <v>240</v>
      </c>
      <c r="F868" s="4">
        <f t="shared" ref="F868:K876" si="993">IFERROR(F835/F794,"-")</f>
        <v>1.1701510746223673</v>
      </c>
      <c r="G868" s="4">
        <f t="shared" si="993"/>
        <v>0.9891193671127666</v>
      </c>
      <c r="H868" s="4">
        <f t="shared" si="993"/>
        <v>1.0387111898072838</v>
      </c>
      <c r="I868" s="4">
        <f t="shared" si="993"/>
        <v>0.9403314307098356</v>
      </c>
      <c r="J868" s="4">
        <f t="shared" si="993"/>
        <v>0.93490874614616648</v>
      </c>
      <c r="K868" s="4">
        <f t="shared" si="993"/>
        <v>0.94172067110642876</v>
      </c>
      <c r="L868" s="4">
        <f t="shared" ref="L868" si="994">IFERROR(L835/L794,"-")</f>
        <v>0.94787079406133767</v>
      </c>
      <c r="N868" s="1"/>
    </row>
    <row r="869" spans="2:14" x14ac:dyDescent="0.35">
      <c r="B869" s="5" t="str">
        <f t="shared" si="976"/>
        <v>SPS1</v>
      </c>
      <c r="C869" s="5" t="str">
        <f t="shared" si="977"/>
        <v>CH</v>
      </c>
      <c r="D869" t="s">
        <v>2080</v>
      </c>
      <c r="E869" t="s">
        <v>240</v>
      </c>
      <c r="F869" s="4" t="str">
        <f t="shared" si="993"/>
        <v>-</v>
      </c>
      <c r="G869" s="4" t="str">
        <f t="shared" si="993"/>
        <v>-</v>
      </c>
      <c r="H869" s="4" t="str">
        <f t="shared" si="993"/>
        <v>-</v>
      </c>
      <c r="I869" s="4" t="str">
        <f t="shared" si="993"/>
        <v>-</v>
      </c>
      <c r="J869" s="4" t="str">
        <f t="shared" si="993"/>
        <v>-</v>
      </c>
      <c r="K869" s="4">
        <f t="shared" si="993"/>
        <v>0.94172067110642876</v>
      </c>
      <c r="L869" s="4">
        <f t="shared" ref="L869" si="995">IFERROR(L836/L795,"-")</f>
        <v>0.94787079406133767</v>
      </c>
      <c r="N869" s="1"/>
    </row>
    <row r="870" spans="2:14" x14ac:dyDescent="0.35">
      <c r="B870" s="5" t="str">
        <f t="shared" si="976"/>
        <v>SPS1</v>
      </c>
      <c r="C870" s="5" t="str">
        <f t="shared" si="977"/>
        <v>CH</v>
      </c>
      <c r="D870" t="s">
        <v>2081</v>
      </c>
      <c r="E870" t="s">
        <v>240</v>
      </c>
      <c r="F870" s="4" t="str">
        <f t="shared" si="993"/>
        <v>-</v>
      </c>
      <c r="G870" s="4" t="str">
        <f t="shared" si="993"/>
        <v>-</v>
      </c>
      <c r="H870" s="4" t="str">
        <f t="shared" si="993"/>
        <v>-</v>
      </c>
      <c r="I870" s="4" t="str">
        <f t="shared" si="993"/>
        <v>-</v>
      </c>
      <c r="J870" s="4">
        <f t="shared" si="993"/>
        <v>0.93490874614616648</v>
      </c>
      <c r="K870" s="4">
        <f t="shared" si="993"/>
        <v>0.94172067110642887</v>
      </c>
      <c r="L870" s="4">
        <f t="shared" ref="L870" si="996">IFERROR(L837/L796,"-")</f>
        <v>0.94787079406133767</v>
      </c>
      <c r="N870" s="1"/>
    </row>
    <row r="871" spans="2:14" x14ac:dyDescent="0.35">
      <c r="B871" s="5" t="str">
        <f t="shared" si="976"/>
        <v>SPS1</v>
      </c>
      <c r="C871" s="5" t="str">
        <f t="shared" si="977"/>
        <v>CH</v>
      </c>
      <c r="D871" t="s">
        <v>2082</v>
      </c>
      <c r="E871" t="s">
        <v>240</v>
      </c>
      <c r="F871" s="4">
        <f t="shared" si="993"/>
        <v>1.1701510746223673</v>
      </c>
      <c r="G871" s="4">
        <f t="shared" si="993"/>
        <v>0.98911936711276671</v>
      </c>
      <c r="H871" s="4">
        <f t="shared" si="993"/>
        <v>1.0387111898072836</v>
      </c>
      <c r="I871" s="4">
        <f t="shared" si="993"/>
        <v>0.94033143070983571</v>
      </c>
      <c r="J871" s="4">
        <f t="shared" si="993"/>
        <v>0.93490874614616659</v>
      </c>
      <c r="K871" s="4">
        <f t="shared" si="993"/>
        <v>0.94172067110642876</v>
      </c>
      <c r="L871" s="4">
        <f t="shared" ref="L871" si="997">IFERROR(L838/L797,"-")</f>
        <v>0.94787079406133767</v>
      </c>
      <c r="N871" s="1"/>
    </row>
    <row r="872" spans="2:14" x14ac:dyDescent="0.35">
      <c r="B872" s="5" t="str">
        <f t="shared" si="976"/>
        <v>SPS1</v>
      </c>
      <c r="C872" s="5" t="str">
        <f t="shared" si="977"/>
        <v>CH</v>
      </c>
      <c r="D872" t="s">
        <v>2083</v>
      </c>
      <c r="E872" t="s">
        <v>240</v>
      </c>
      <c r="F872" s="4" t="str">
        <f t="shared" si="993"/>
        <v>-</v>
      </c>
      <c r="G872" s="4" t="str">
        <f t="shared" si="993"/>
        <v>-</v>
      </c>
      <c r="H872" s="4" t="str">
        <f t="shared" si="993"/>
        <v>-</v>
      </c>
      <c r="I872" s="4" t="str">
        <f t="shared" si="993"/>
        <v>-</v>
      </c>
      <c r="J872" s="4" t="str">
        <f t="shared" si="993"/>
        <v>-</v>
      </c>
      <c r="K872" s="4">
        <f t="shared" si="993"/>
        <v>0.94172067110642865</v>
      </c>
      <c r="L872" s="4">
        <f t="shared" ref="L872" si="998">IFERROR(L839/L798,"-")</f>
        <v>0.94787079406133767</v>
      </c>
      <c r="N872" s="1"/>
    </row>
    <row r="873" spans="2:14" x14ac:dyDescent="0.35">
      <c r="B873" s="5" t="str">
        <f t="shared" si="976"/>
        <v>SPS1</v>
      </c>
      <c r="C873" s="5" t="str">
        <f t="shared" si="977"/>
        <v>CH</v>
      </c>
      <c r="D873" t="s">
        <v>2084</v>
      </c>
      <c r="E873" t="s">
        <v>240</v>
      </c>
      <c r="F873" s="4">
        <f t="shared" si="993"/>
        <v>1.1701510746223676</v>
      </c>
      <c r="G873" s="4">
        <f t="shared" si="993"/>
        <v>0.9891193671127666</v>
      </c>
      <c r="H873" s="4">
        <f t="shared" si="993"/>
        <v>1.0387111898072838</v>
      </c>
      <c r="I873" s="4">
        <f t="shared" si="993"/>
        <v>0.94033143070983571</v>
      </c>
      <c r="J873" s="4">
        <f t="shared" si="993"/>
        <v>0.93490874614616659</v>
      </c>
      <c r="K873" s="4">
        <f t="shared" si="993"/>
        <v>0.94172067110642876</v>
      </c>
      <c r="L873" s="4">
        <f t="shared" ref="L873" si="999">IFERROR(L840/L799,"-")</f>
        <v>0.94787079406133767</v>
      </c>
      <c r="N873" s="1"/>
    </row>
    <row r="874" spans="2:14" x14ac:dyDescent="0.35">
      <c r="B874" s="5" t="str">
        <f t="shared" si="976"/>
        <v>SPS1</v>
      </c>
      <c r="C874" s="5" t="str">
        <f t="shared" si="977"/>
        <v>CH</v>
      </c>
      <c r="D874" t="s">
        <v>2085</v>
      </c>
      <c r="E874" t="s">
        <v>240</v>
      </c>
      <c r="F874" s="4" t="str">
        <f t="shared" si="993"/>
        <v>-</v>
      </c>
      <c r="G874" s="4" t="str">
        <f t="shared" si="993"/>
        <v>-</v>
      </c>
      <c r="H874" s="4" t="str">
        <f t="shared" si="993"/>
        <v>-</v>
      </c>
      <c r="I874" s="4" t="str">
        <f t="shared" si="993"/>
        <v>-</v>
      </c>
      <c r="J874" s="4" t="str">
        <f t="shared" si="993"/>
        <v>-</v>
      </c>
      <c r="K874" s="4">
        <f t="shared" si="993"/>
        <v>0.94172067110642865</v>
      </c>
      <c r="L874" s="4">
        <f t="shared" ref="L874" si="1000">IFERROR(L841/L800,"-")</f>
        <v>0.94787079406133767</v>
      </c>
      <c r="N874" s="1"/>
    </row>
    <row r="875" spans="2:14" x14ac:dyDescent="0.35">
      <c r="B875" s="5" t="str">
        <f t="shared" si="976"/>
        <v>SPS1</v>
      </c>
      <c r="C875" s="5" t="str">
        <f t="shared" si="977"/>
        <v>CH</v>
      </c>
      <c r="D875" t="s">
        <v>2086</v>
      </c>
      <c r="E875" t="s">
        <v>240</v>
      </c>
      <c r="F875" s="4" t="str">
        <f t="shared" si="993"/>
        <v>-</v>
      </c>
      <c r="G875" s="4" t="str">
        <f t="shared" si="993"/>
        <v>-</v>
      </c>
      <c r="H875" s="4" t="str">
        <f t="shared" si="993"/>
        <v>-</v>
      </c>
      <c r="I875" s="4" t="str">
        <f t="shared" si="993"/>
        <v>-</v>
      </c>
      <c r="J875" s="4">
        <f t="shared" si="993"/>
        <v>0.93490874614616659</v>
      </c>
      <c r="K875" s="4">
        <f t="shared" si="993"/>
        <v>0.94172067110642865</v>
      </c>
      <c r="L875" s="4">
        <f t="shared" ref="L875" si="1001">IFERROR(L842/L801,"-")</f>
        <v>0.94787079406133778</v>
      </c>
      <c r="N875" s="1"/>
    </row>
    <row r="876" spans="2:14" x14ac:dyDescent="0.35">
      <c r="B876" s="5" t="str">
        <f t="shared" si="976"/>
        <v>SPS1</v>
      </c>
      <c r="C876" s="5" t="str">
        <f t="shared" si="977"/>
        <v>CH</v>
      </c>
      <c r="D876" t="s">
        <v>2087</v>
      </c>
      <c r="E876" t="s">
        <v>240</v>
      </c>
      <c r="F876" s="4">
        <f t="shared" si="993"/>
        <v>0.92447626236575009</v>
      </c>
      <c r="G876" s="4">
        <f t="shared" si="993"/>
        <v>0.92645636412827248</v>
      </c>
      <c r="H876" s="4">
        <f t="shared" si="993"/>
        <v>0.92942651677205412</v>
      </c>
      <c r="I876" s="4">
        <f t="shared" si="993"/>
        <v>0.93437677117835827</v>
      </c>
      <c r="J876" s="4">
        <f t="shared" si="993"/>
        <v>0.93932702558466219</v>
      </c>
      <c r="K876" s="4">
        <f>IFERROR(K843/K802,"-")</f>
        <v>0.94427727999096667</v>
      </c>
      <c r="L876" s="4">
        <f>IFERROR(L843/L802,"-")</f>
        <v>0.94999999999999973</v>
      </c>
      <c r="N876" s="1"/>
    </row>
    <row r="877" spans="2:14" x14ac:dyDescent="0.35">
      <c r="B877" s="5" t="str">
        <f t="shared" si="976"/>
        <v>SPS1</v>
      </c>
      <c r="C877" s="5" t="str">
        <f t="shared" si="977"/>
        <v>CH</v>
      </c>
      <c r="D877" t="s">
        <v>2088</v>
      </c>
      <c r="E877" t="s">
        <v>240</v>
      </c>
      <c r="F877" s="4">
        <f>IFERROR(F845/F804,"-")</f>
        <v>0.59000000000000008</v>
      </c>
      <c r="G877" s="4">
        <f t="shared" ref="G877:K877" si="1002">IFERROR(G845/G804,"-")</f>
        <v>0.59066666666666656</v>
      </c>
      <c r="H877" s="4">
        <f t="shared" si="1002"/>
        <v>0.59166666666666645</v>
      </c>
      <c r="I877" s="4">
        <f t="shared" si="1002"/>
        <v>0.5933333333333326</v>
      </c>
      <c r="J877" s="4">
        <f t="shared" si="1002"/>
        <v>0.59500000000000053</v>
      </c>
      <c r="K877" s="4">
        <f t="shared" si="1002"/>
        <v>0.59666666666666757</v>
      </c>
      <c r="L877" s="4">
        <f t="shared" ref="L877" si="1003">IFERROR(L845/L804,"-")</f>
        <v>0.59999999999999976</v>
      </c>
      <c r="N877" s="1"/>
    </row>
    <row r="878" spans="2:14" x14ac:dyDescent="0.35">
      <c r="B878" s="5" t="str">
        <f t="shared" si="976"/>
        <v>SPS1</v>
      </c>
      <c r="C878" s="5" t="str">
        <f t="shared" si="977"/>
        <v>CH</v>
      </c>
      <c r="D878" t="s">
        <v>2089</v>
      </c>
      <c r="E878" t="s">
        <v>240</v>
      </c>
      <c r="F878" s="4">
        <f>IFERROR(F847/F806,"-")</f>
        <v>0.73750000000000016</v>
      </c>
      <c r="G878" s="4">
        <f t="shared" ref="G878:K878" si="1004">IFERROR(G847/G806,"-")</f>
        <v>0.73833333333333329</v>
      </c>
      <c r="H878" s="4">
        <f t="shared" si="1004"/>
        <v>0.73958333333333381</v>
      </c>
      <c r="I878" s="4">
        <f t="shared" si="1004"/>
        <v>0.74166666666666747</v>
      </c>
      <c r="J878" s="4">
        <f t="shared" si="1004"/>
        <v>0.74375000000000036</v>
      </c>
      <c r="K878" s="4">
        <f t="shared" si="1004"/>
        <v>0.74583333333333279</v>
      </c>
      <c r="L878" s="4">
        <f t="shared" ref="L878" si="1005">IFERROR(L847/L806,"-")</f>
        <v>0.74999999999999967</v>
      </c>
      <c r="N878" s="1"/>
    </row>
    <row r="879" spans="2:14" x14ac:dyDescent="0.35">
      <c r="B879" s="5" t="str">
        <f t="shared" si="976"/>
        <v>SPS1</v>
      </c>
      <c r="C879" s="5" t="str">
        <f t="shared" si="977"/>
        <v>CH</v>
      </c>
      <c r="D879" t="s">
        <v>2090</v>
      </c>
      <c r="E879" t="s">
        <v>240</v>
      </c>
      <c r="F879" s="4">
        <f>IFERROR(F849/F808,"-")</f>
        <v>0.52800000000000014</v>
      </c>
      <c r="G879" s="4">
        <f t="shared" ref="G879:K879" si="1006">IFERROR(G849/G808,"-")</f>
        <v>0.52800000000000002</v>
      </c>
      <c r="H879" s="4">
        <f t="shared" si="1006"/>
        <v>0.52800000000000002</v>
      </c>
      <c r="I879" s="4">
        <f t="shared" si="1006"/>
        <v>0.52800000000000036</v>
      </c>
      <c r="J879" s="4">
        <f t="shared" si="1006"/>
        <v>0.52799999999999969</v>
      </c>
      <c r="K879" s="4">
        <f t="shared" si="1006"/>
        <v>0.52800000000000047</v>
      </c>
      <c r="L879" s="4">
        <f t="shared" ref="L879" si="1007">IFERROR(L849/L808,"-")</f>
        <v>0.54400000000000026</v>
      </c>
      <c r="N879" s="1"/>
    </row>
    <row r="880" spans="2:14" x14ac:dyDescent="0.35">
      <c r="B880" s="5" t="str">
        <f t="shared" si="976"/>
        <v>SPS1</v>
      </c>
      <c r="C880" s="5" t="str">
        <f t="shared" si="977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08">IFERROR(G851/G812,"-")</f>
        <v>1</v>
      </c>
      <c r="H880" s="4">
        <f t="shared" si="1008"/>
        <v>1</v>
      </c>
      <c r="I880" s="4">
        <f t="shared" si="1008"/>
        <v>1</v>
      </c>
      <c r="J880" s="4">
        <f t="shared" si="1008"/>
        <v>1</v>
      </c>
      <c r="K880" s="4">
        <f t="shared" si="1008"/>
        <v>1</v>
      </c>
      <c r="L880" s="4">
        <f t="shared" ref="L880" si="1009">IFERROR(L851/L812,"-")</f>
        <v>1</v>
      </c>
      <c r="N880" s="1"/>
    </row>
    <row r="881" spans="2:14" x14ac:dyDescent="0.35">
      <c r="B881" s="5" t="str">
        <f t="shared" si="976"/>
        <v>SPS1</v>
      </c>
      <c r="C881" s="5" t="str">
        <f t="shared" si="977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10">IFERROR(G853/G814,"-")</f>
        <v>-</v>
      </c>
      <c r="H881" s="4" t="str">
        <f t="shared" si="1010"/>
        <v>-</v>
      </c>
      <c r="I881" s="4" t="str">
        <f t="shared" si="1010"/>
        <v>-</v>
      </c>
      <c r="J881" s="4">
        <f t="shared" si="1010"/>
        <v>0.78279638800107387</v>
      </c>
      <c r="K881" s="4">
        <f t="shared" si="1010"/>
        <v>0.79707709513979219</v>
      </c>
      <c r="L881" s="4">
        <f t="shared" ref="L881" si="1011">IFERROR(L853/L814,"-")</f>
        <v>0.80943214843589684</v>
      </c>
      <c r="N881" s="1"/>
    </row>
    <row r="882" spans="2:14" x14ac:dyDescent="0.3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12">F883+F887+F894+F905+F913+F915+F917+F919+F923</f>
        <v>140.10259811175644</v>
      </c>
      <c r="G882" s="17">
        <f t="shared" si="1012"/>
        <v>136.76646895044979</v>
      </c>
      <c r="H882" s="17">
        <f t="shared" si="1012"/>
        <v>132.76306201141824</v>
      </c>
      <c r="I882" s="17">
        <f t="shared" si="1012"/>
        <v>121.47084718927252</v>
      </c>
      <c r="J882" s="17">
        <f t="shared" si="1012"/>
        <v>115.16723124958439</v>
      </c>
      <c r="K882" s="17">
        <f t="shared" si="1012"/>
        <v>108.55453113660793</v>
      </c>
      <c r="L882" s="17">
        <f t="shared" ref="L882" si="1013">L883+L887+L894+L905+L913+L915+L917+L919+L923</f>
        <v>95.19326171136268</v>
      </c>
      <c r="N882" s="1"/>
    </row>
    <row r="883" spans="2:14" x14ac:dyDescent="0.3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60.950448759542525</v>
      </c>
      <c r="G883" s="1">
        <f>[1]Services!C$11</f>
        <v>60.772458648175679</v>
      </c>
      <c r="H883" s="1">
        <f>[1]Services!D$11</f>
        <v>61.257814825617999</v>
      </c>
      <c r="I883" s="1">
        <f>[1]Services!E$11</f>
        <v>58.408792766706213</v>
      </c>
      <c r="J883" s="1">
        <f>[2]Services!F$11</f>
        <v>57.942702003982163</v>
      </c>
      <c r="K883" s="1">
        <f>[2]Services!G$11</f>
        <v>57.038141675572668</v>
      </c>
      <c r="L883" s="1">
        <f>[2]Services!H$11</f>
        <v>53.355906948917948</v>
      </c>
      <c r="N883" s="1"/>
    </row>
    <row r="884" spans="2:14" x14ac:dyDescent="0.3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2.6238847409468149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0.64527196001545362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1.1044682177838305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0.61480768134112684</v>
      </c>
      <c r="J884" s="1" cm="1">
        <f t="array" ref="J884">SUMPRODUCT(([2]OUT_FinalEnergyCons!$B$4:$B$10000="Var_Fin")*1, ISNUMBER(SEARCH("SCOM_ELC",[2]OUT_FinalEnergyCons!$C$4:$C$10000))*1, (ISNUMBER(SEARCH("SCOM-SHELCBR",[2]OUT_FinalEnergyCons!$A$4:$A$10000)))*1,[2]OUT_FinalEnergyCons!H$4:H$10000)</f>
        <v>0.53076584679245198</v>
      </c>
      <c r="K884" s="1" cm="1">
        <f t="array" ref="K884">SUMPRODUCT(([2]OUT_FinalEnergyCons!$B$4:$B$10000="Var_Fin")*1, ISNUMBER(SEARCH("SCOM_ELC",[2]OUT_FinalEnergyCons!$C$4:$C$10000))*1, (ISNUMBER(SEARCH("SCOM-SHELCBR",[2]OUT_FinalEnergyCons!$A$4:$A$10000)))*1,[2]OUT_FinalEnergyCons!I$4:I$10000)</f>
        <v>0.42925279534874017</v>
      </c>
      <c r="L884" s="1" cm="1">
        <f t="array" ref="L884">SUMPRODUCT(([2]OUT_FinalEnergyCons!$B$4:$B$10000="Var_Fin")*1, ISNUMBER(SEARCH("SCOM_ELC",[2]OUT_FinalEnergyCons!$C$4:$C$10000))*1, (ISNUMBER(SEARCH("SCOM-SHELCBR",[2]OUT_FinalEnergyCons!$A$4:$A$10000)))*1,[2]OUT_FinalEnergyCons!J$4:J$10000)</f>
        <v>0.29820072428169281</v>
      </c>
      <c r="N884" s="1"/>
    </row>
    <row r="885" spans="2:14" x14ac:dyDescent="0.35">
      <c r="B885" s="5" t="str">
        <f t="shared" ref="B885:B924" si="1014">B884</f>
        <v>SPS1</v>
      </c>
      <c r="C885" s="5" t="str">
        <f t="shared" ref="C885:C924" si="1015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1.3317894436832673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1.4252639343739246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1.6815575406656758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2.593608142969277</v>
      </c>
      <c r="J885" s="1" cm="1">
        <f t="array" ref="J885">SUMPRODUCT(([2]OUT_FinalEnergyCons!$B$4:$B$10000="Var_Fin")*1, ISNUMBER(SEARCH("SCOM_ELC",[2]OUT_FinalEnergyCons!$C$4:$C$10000))*1,(ISNUMBER(SEARCH("SCOM-SHELCHP",[2]OUT_FinalEnergyCons!$A$4:$A$10000)))*1,[2]OUT_FinalEnergyCons!H$4:H$10000)</f>
        <v>3.436761463963943</v>
      </c>
      <c r="K885" s="1" cm="1">
        <f t="array" ref="K885">SUMPRODUCT(([2]OUT_FinalEnergyCons!$B$4:$B$10000="Var_Fin")*1, ISNUMBER(SEARCH("SCOM_ELC",[2]OUT_FinalEnergyCons!$C$4:$C$10000))*1,(ISNUMBER(SEARCH("SCOM-SHELCHP",[2]OUT_FinalEnergyCons!$A$4:$A$10000)))*1,[2]OUT_FinalEnergyCons!I$4:I$10000)</f>
        <v>4.4364618672739446</v>
      </c>
      <c r="L885" s="1" cm="1">
        <f t="array" ref="L885">SUMPRODUCT(([2]OUT_FinalEnergyCons!$B$4:$B$10000="Var_Fin")*1, ISNUMBER(SEARCH("SCOM_ELC",[2]OUT_FinalEnergyCons!$C$4:$C$10000))*1,(ISNUMBER(SEARCH("SCOM-SHELCHP",[2]OUT_FinalEnergyCons!$A$4:$A$10000)))*1,[2]OUT_FinalEnergyCons!J$4:J$10000)</f>
        <v>4.7969768754863367</v>
      </c>
      <c r="N885" s="1"/>
    </row>
    <row r="886" spans="2:14" x14ac:dyDescent="0.35">
      <c r="B886" s="5" t="str">
        <f t="shared" si="1014"/>
        <v>SPS1</v>
      </c>
      <c r="C886" s="5" t="str">
        <f t="shared" si="1015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58.701922753786299</v>
      </c>
      <c r="H886" s="1">
        <f>[1]Services!D$11-[1]Services!D$28</f>
        <v>58.471789067168494</v>
      </c>
      <c r="I886" s="1">
        <f>[1]Services!E$11-[1]Services!E$28</f>
        <v>55.200376942395806</v>
      </c>
      <c r="J886" s="1">
        <f>[2]Services!F$11-[2]Services!F$28</f>
        <v>53.975174693225767</v>
      </c>
      <c r="K886" s="1">
        <f>[2]Services!G$11-[2]Services!G$28</f>
        <v>52.172427012949981</v>
      </c>
      <c r="L886" s="1">
        <f>[2]Services!H$11-[2]Services!H$28</f>
        <v>48.260729349149919</v>
      </c>
      <c r="N886" s="1"/>
    </row>
    <row r="887" spans="2:14" x14ac:dyDescent="0.35">
      <c r="B887" s="5" t="str">
        <f t="shared" si="1014"/>
        <v>SPS1</v>
      </c>
      <c r="C887" s="5" t="str">
        <f t="shared" si="1015"/>
        <v>CH</v>
      </c>
      <c r="D887" t="s">
        <v>499</v>
      </c>
      <c r="E887" t="s">
        <v>8</v>
      </c>
      <c r="F887" s="1">
        <f>F888</f>
        <v>30.256679168903222</v>
      </c>
      <c r="G887" s="1">
        <f t="shared" ref="G887:L887" si="1016">G888</f>
        <v>25.799210065042509</v>
      </c>
      <c r="H887" s="1">
        <f t="shared" si="1016"/>
        <v>26.114252197428314</v>
      </c>
      <c r="I887" s="1">
        <f t="shared" si="1016"/>
        <v>15.489299762393747</v>
      </c>
      <c r="J887" s="1">
        <f t="shared" si="1016"/>
        <v>11.151098101020022</v>
      </c>
      <c r="K887" s="1">
        <f t="shared" si="1016"/>
        <v>5.4347401948675742</v>
      </c>
      <c r="L887" s="1">
        <f t="shared" si="1016"/>
        <v>0.42234150431951567</v>
      </c>
      <c r="N887" s="1"/>
    </row>
    <row r="888" spans="2:14" x14ac:dyDescent="0.35">
      <c r="B888" s="5" t="str">
        <f t="shared" si="1014"/>
        <v>SPS1</v>
      </c>
      <c r="C888" s="5" t="str">
        <f t="shared" si="1015"/>
        <v>CH</v>
      </c>
      <c r="D888" t="s">
        <v>500</v>
      </c>
      <c r="E888" t="s">
        <v>8</v>
      </c>
      <c r="F888" s="1">
        <f>SUM(F891,F893)</f>
        <v>30.256679168903222</v>
      </c>
      <c r="G888" s="1">
        <f t="shared" ref="G888:K888" si="1017">SUM(G891,G893)</f>
        <v>25.799210065042509</v>
      </c>
      <c r="H888" s="1">
        <f t="shared" si="1017"/>
        <v>26.114252197428314</v>
      </c>
      <c r="I888" s="1">
        <f t="shared" si="1017"/>
        <v>15.489299762393747</v>
      </c>
      <c r="J888" s="1">
        <f t="shared" si="1017"/>
        <v>11.151098101020022</v>
      </c>
      <c r="K888" s="1">
        <f t="shared" si="1017"/>
        <v>5.4347401948675742</v>
      </c>
      <c r="L888" s="1">
        <f t="shared" ref="L888" si="1018">SUM(L891,L893)</f>
        <v>0.42234150431951567</v>
      </c>
      <c r="N888" s="1"/>
    </row>
    <row r="889" spans="2:14" x14ac:dyDescent="0.3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30.256679168903222</v>
      </c>
      <c r="G889" s="1">
        <f t="shared" ref="G889:L889" si="1019">G890</f>
        <v>25.799210065042509</v>
      </c>
      <c r="H889" s="1">
        <f t="shared" si="1019"/>
        <v>26.113314941272144</v>
      </c>
      <c r="I889" s="1">
        <f t="shared" si="1019"/>
        <v>15.481939363223526</v>
      </c>
      <c r="J889" s="1">
        <f t="shared" si="1019"/>
        <v>11.150568518180059</v>
      </c>
      <c r="K889" s="1">
        <f t="shared" si="1019"/>
        <v>5.4343867612359684</v>
      </c>
      <c r="L889" s="1">
        <f t="shared" si="1019"/>
        <v>4.2200765453353306E-6</v>
      </c>
      <c r="N889" s="1"/>
    </row>
    <row r="890" spans="2:14" x14ac:dyDescent="0.35">
      <c r="B890" s="5" t="str">
        <f t="shared" si="1014"/>
        <v>SPS1</v>
      </c>
      <c r="C890" s="5" t="str">
        <f t="shared" si="1015"/>
        <v>CH</v>
      </c>
      <c r="D890" t="s">
        <v>528</v>
      </c>
      <c r="E890" t="s">
        <v>8</v>
      </c>
      <c r="F890" s="1">
        <f>[1]Services!B$12</f>
        <v>30.256679168903222</v>
      </c>
      <c r="G890" s="1">
        <f>[1]Services!C$12</f>
        <v>25.799210065042509</v>
      </c>
      <c r="H890" s="1">
        <f>[1]Services!D$12</f>
        <v>26.113314941272144</v>
      </c>
      <c r="I890" s="1">
        <f>[1]Services!E$12</f>
        <v>15.481939363223526</v>
      </c>
      <c r="J890" s="1">
        <f>[2]Services!F$12</f>
        <v>11.150568518180059</v>
      </c>
      <c r="K890" s="1">
        <f>[2]Services!G$12</f>
        <v>5.4343867612359684</v>
      </c>
      <c r="L890" s="1">
        <f>[2]Services!H$12</f>
        <v>4.2200765453353306E-6</v>
      </c>
      <c r="N890" s="1"/>
    </row>
    <row r="891" spans="2:14" x14ac:dyDescent="0.35">
      <c r="B891" s="5" t="str">
        <f>B890</f>
        <v>SPS1</v>
      </c>
      <c r="C891" s="5" t="str">
        <f t="shared" si="1015"/>
        <v>CH</v>
      </c>
      <c r="D891" t="s">
        <v>529</v>
      </c>
      <c r="E891" t="s">
        <v>8</v>
      </c>
      <c r="F891" s="1">
        <f>F890</f>
        <v>30.256679168903222</v>
      </c>
      <c r="G891" s="1">
        <f t="shared" ref="G891:K891" si="1020">G890</f>
        <v>25.799210065042509</v>
      </c>
      <c r="H891" s="1">
        <f t="shared" si="1020"/>
        <v>26.113314941272144</v>
      </c>
      <c r="I891" s="1">
        <f t="shared" si="1020"/>
        <v>15.481939363223526</v>
      </c>
      <c r="J891" s="1">
        <f t="shared" si="1020"/>
        <v>11.150568518180059</v>
      </c>
      <c r="K891" s="1">
        <f t="shared" si="1020"/>
        <v>5.4343867612359684</v>
      </c>
      <c r="L891" s="1">
        <f t="shared" ref="L891" si="1021">L890</f>
        <v>4.2200765453353306E-6</v>
      </c>
      <c r="N891" s="1"/>
    </row>
    <row r="892" spans="2:14" x14ac:dyDescent="0.3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L892" si="1022">G893</f>
        <v>0</v>
      </c>
      <c r="H892">
        <f t="shared" si="1022"/>
        <v>9.3725615617091672E-4</v>
      </c>
      <c r="I892">
        <f t="shared" si="1022"/>
        <v>7.3603991702199485E-3</v>
      </c>
      <c r="J892">
        <f t="shared" si="1022"/>
        <v>5.2958283996308207E-4</v>
      </c>
      <c r="K892">
        <f t="shared" si="1022"/>
        <v>3.5343363160591379E-4</v>
      </c>
      <c r="L892">
        <f t="shared" si="1022"/>
        <v>0.42233728424297035</v>
      </c>
      <c r="N892" s="1"/>
    </row>
    <row r="893" spans="2:14" x14ac:dyDescent="0.35">
      <c r="B893" s="5" t="str">
        <f t="shared" si="1014"/>
        <v>SPS1</v>
      </c>
      <c r="C893" s="5" t="str">
        <f t="shared" si="1015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9.3725615617091672E-4</v>
      </c>
      <c r="I893">
        <f>[1]Services!E$13</f>
        <v>7.3603991702199485E-3</v>
      </c>
      <c r="J893">
        <f>[2]Services!F$13</f>
        <v>5.2958283996308207E-4</v>
      </c>
      <c r="K893">
        <f>[2]Services!G$13</f>
        <v>3.5343363160591379E-4</v>
      </c>
      <c r="L893">
        <f>[2]Services!H$13</f>
        <v>0.42233728424297035</v>
      </c>
      <c r="N893" s="1"/>
    </row>
    <row r="894" spans="2:14" x14ac:dyDescent="0.35">
      <c r="B894" s="5" t="str">
        <f t="shared" si="1014"/>
        <v>SPS1</v>
      </c>
      <c r="C894" s="5" t="str">
        <f t="shared" si="1015"/>
        <v>CH</v>
      </c>
      <c r="D894" t="s">
        <v>501</v>
      </c>
      <c r="E894" t="s">
        <v>8</v>
      </c>
      <c r="F894" s="1">
        <f>SUM(F895:F897)</f>
        <v>26.95115646417451</v>
      </c>
      <c r="G894" s="1">
        <f t="shared" ref="G894:K894" si="1023">SUM(G895:G897)</f>
        <v>28.283571641452646</v>
      </c>
      <c r="H894" s="1">
        <f t="shared" si="1023"/>
        <v>25.206358997463987</v>
      </c>
      <c r="I894" s="1">
        <f t="shared" si="1023"/>
        <v>23.38523821010757</v>
      </c>
      <c r="J894" s="1">
        <f t="shared" si="1023"/>
        <v>19.658689660576417</v>
      </c>
      <c r="K894" s="1">
        <f t="shared" si="1023"/>
        <v>16.48236657777943</v>
      </c>
      <c r="L894" s="1">
        <f t="shared" ref="L894" si="1024">SUM(L895:L897)</f>
        <v>12.162003913997175</v>
      </c>
      <c r="N894" s="1"/>
    </row>
    <row r="895" spans="2:14" x14ac:dyDescent="0.35">
      <c r="B895" s="5" t="str">
        <f t="shared" si="1014"/>
        <v>SPS1</v>
      </c>
      <c r="C895" s="5" t="str">
        <f t="shared" si="1015"/>
        <v>CH</v>
      </c>
      <c r="D895" t="s">
        <v>681</v>
      </c>
      <c r="E895" t="s">
        <v>8</v>
      </c>
      <c r="F895" s="1">
        <f>SUM([1]Services!B$14:B$15)-F896</f>
        <v>25.548774405374235</v>
      </c>
      <c r="G895" s="1">
        <f>SUM([1]Services!C$14:C$15)</f>
        <v>26.746259085957988</v>
      </c>
      <c r="H895" s="1">
        <f>SUM([1]Services!D$14:D$15)</f>
        <v>23.970212817789154</v>
      </c>
      <c r="I895" s="1">
        <f>SUM([1]Services!E$14:E$15)</f>
        <v>20.084651660268161</v>
      </c>
      <c r="J895" s="1">
        <f>SUM([2]Services!F$14:F$15)</f>
        <v>15.460692172612454</v>
      </c>
      <c r="K895" s="1">
        <f>SUM([2]Services!G$14:G$15)</f>
        <v>11.237394039554642</v>
      </c>
      <c r="L895" s="1">
        <f>SUM([2]Services!H$14:H$15)</f>
        <v>7.2042017906026992</v>
      </c>
      <c r="N895" s="1"/>
    </row>
    <row r="896" spans="2:14" x14ac:dyDescent="0.35">
      <c r="B896" s="5" t="str">
        <f t="shared" ref="B896" si="1025">B895</f>
        <v>SPS1</v>
      </c>
      <c r="C896" s="5" t="str">
        <f t="shared" ref="C896" si="1026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1.2361461796748339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3.3005865498394074</v>
      </c>
      <c r="J896" s="1" cm="1">
        <f t="array" ref="J896">SUMPRODUCT(([2]OUT_FinalEnergyCons!$B$4:$B$10000="Var_Fin")*1, ([2]OUT_FinalEnergyCons!$C$4:$C$10000="SNGA")*1,(ISNUMBER(SEARCH("SCOM-SHngahp",[2]OUT_FinalEnergyCons!$A$4:$A$10000)))*1,[2]OUT_FinalEnergyCons!H$4:H$10000)</f>
        <v>4.1979974879639643</v>
      </c>
      <c r="K896" s="1" cm="1">
        <f t="array" ref="K896">SUMPRODUCT(([2]OUT_FinalEnergyCons!$B$4:$B$10000="Var_Fin")*1, ([2]OUT_FinalEnergyCons!$C$4:$C$10000="SNGA")*1,(ISNUMBER(SEARCH("SCOM-SHngahp",[2]OUT_FinalEnergyCons!$A$4:$A$10000)))*1,[2]OUT_FinalEnergyCons!I$4:I$10000)</f>
        <v>5.244972538224788</v>
      </c>
      <c r="L896" s="1" cm="1">
        <f t="array" ref="L896">SUMPRODUCT(([2]OUT_FinalEnergyCons!$B$4:$B$10000="Var_Fin")*1, ([2]OUT_FinalEnergyCons!$C$4:$C$10000="SNGA")*1,(ISNUMBER(SEARCH("SCOM-SHngahp",[2]OUT_FinalEnergyCons!$A$4:$A$10000)))*1,[2]OUT_FinalEnergyCons!J$4:J$10000)</f>
        <v>4.9578021233944769</v>
      </c>
      <c r="N896" s="1"/>
    </row>
    <row r="897" spans="2:14" x14ac:dyDescent="0.3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1.402382058800276</v>
      </c>
      <c r="G897" s="1">
        <f>[1]Services!C$16</f>
        <v>1.5373125554946594</v>
      </c>
      <c r="H897" s="1">
        <f>[1]Services!D$16</f>
        <v>0</v>
      </c>
      <c r="I897" s="1">
        <f>[1]Services!E$16</f>
        <v>0</v>
      </c>
      <c r="J897" s="1">
        <f>[2]Services!F$16</f>
        <v>0</v>
      </c>
      <c r="K897" s="1">
        <f>[2]Services!G$16</f>
        <v>0</v>
      </c>
      <c r="L897" s="1">
        <f>[2]Services!H$16</f>
        <v>0</v>
      </c>
      <c r="N897" s="1"/>
    </row>
    <row r="898" spans="2:14" x14ac:dyDescent="0.35">
      <c r="B898" s="5" t="str">
        <f t="shared" si="1014"/>
        <v>SPS1</v>
      </c>
      <c r="C898" s="5" t="str">
        <f t="shared" si="1015"/>
        <v>CH</v>
      </c>
      <c r="D898" t="s">
        <v>966</v>
      </c>
      <c r="E898" t="s">
        <v>8</v>
      </c>
      <c r="F898" s="1">
        <f>[1]Services!B$14</f>
        <v>25.270451645074157</v>
      </c>
      <c r="G898" s="1">
        <f>[1]Services!C$14</f>
        <v>25.064134787876768</v>
      </c>
      <c r="H898" s="1">
        <f>[1]Services!D$14</f>
        <v>23.281682762432812</v>
      </c>
      <c r="I898" s="1">
        <f>[1]Services!E$14</f>
        <v>19.366832890143371</v>
      </c>
      <c r="J898" s="1">
        <f>[2]Services!F$14</f>
        <v>14.268350734104002</v>
      </c>
      <c r="K898" s="1">
        <f>[2]Services!G$14</f>
        <v>9.6169856542563448</v>
      </c>
      <c r="L898" s="1">
        <f>[2]Services!H$14</f>
        <v>5.1545189710275912</v>
      </c>
      <c r="N898" s="1"/>
    </row>
    <row r="899" spans="2:14" x14ac:dyDescent="0.35">
      <c r="B899" s="5" t="str">
        <f t="shared" si="1014"/>
        <v>SPS1</v>
      </c>
      <c r="C899" s="5" t="str">
        <f t="shared" si="1015"/>
        <v>CH</v>
      </c>
      <c r="D899" t="s">
        <v>682</v>
      </c>
      <c r="E899" t="s">
        <v>8</v>
      </c>
      <c r="F899" s="1">
        <f>[1]Services!B$14*IFERROR(F895/SUM(F895:F896),0)</f>
        <v>25.270451645074157</v>
      </c>
      <c r="G899" s="1">
        <f>[1]Services!C$14*IFERROR(G895/SUM(G895:G896),0)</f>
        <v>25.064134787876768</v>
      </c>
      <c r="H899" s="1">
        <f>[1]Services!D$14*IFERROR(H895/SUM(H895:H896),0)</f>
        <v>22.139924716136708</v>
      </c>
      <c r="I899" s="1">
        <f>[1]Services!E$14*IFERROR(I895/SUM(I895:I896),0)</f>
        <v>16.633403041112953</v>
      </c>
      <c r="J899" s="1">
        <f>[2]Services!F$14*IFERROR(J895/SUM(J895:J896),0)</f>
        <v>11.221428402384307</v>
      </c>
      <c r="K899" s="1">
        <f>[2]Services!G$14*IFERROR(K895/SUM(K895:K896),0)</f>
        <v>6.5566954089782383</v>
      </c>
      <c r="L899" s="1">
        <f>[2]Services!H$14*IFERROR(L895/SUM(L895:L896),0)</f>
        <v>3.0532957449582003</v>
      </c>
      <c r="N899" s="1"/>
    </row>
    <row r="900" spans="2:14" x14ac:dyDescent="0.35">
      <c r="B900" s="5" t="str">
        <f>B899</f>
        <v>SPS1</v>
      </c>
      <c r="C900" s="5" t="str">
        <f t="shared" ref="C900" si="1027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28">G898-G899</f>
        <v>0</v>
      </c>
      <c r="H900" s="1">
        <f t="shared" si="1028"/>
        <v>1.1417580462961041</v>
      </c>
      <c r="I900" s="1">
        <f t="shared" si="1028"/>
        <v>2.7334298490304185</v>
      </c>
      <c r="J900" s="1">
        <f t="shared" si="1028"/>
        <v>3.0469223317196956</v>
      </c>
      <c r="K900" s="1">
        <f t="shared" si="1028"/>
        <v>3.0602902452781064</v>
      </c>
      <c r="L900" s="1">
        <f t="shared" ref="L900" si="1029">L898-L899</f>
        <v>2.1012232260693908</v>
      </c>
      <c r="N900" s="1"/>
    </row>
    <row r="901" spans="2:14" x14ac:dyDescent="0.3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1.6807048191003551</v>
      </c>
      <c r="G901" s="1">
        <f>[1]Services!C$15+G904</f>
        <v>3.2194368535758811</v>
      </c>
      <c r="H901" s="1">
        <f>[1]Services!D$15+H904</f>
        <v>0.68853005535634126</v>
      </c>
      <c r="I901" s="1">
        <f>[1]Services!E$15+I904</f>
        <v>0.71781877012478923</v>
      </c>
      <c r="J901" s="1">
        <f>[2]Services!F$15+J904</f>
        <v>1.1923414385084512</v>
      </c>
      <c r="K901" s="1">
        <f>[2]Services!G$15+K904</f>
        <v>1.6204083852982982</v>
      </c>
      <c r="L901" s="1">
        <f>[2]Services!H$15+L904</f>
        <v>2.0496828195751085</v>
      </c>
      <c r="N901" s="1"/>
    </row>
    <row r="902" spans="2:14" x14ac:dyDescent="0.35">
      <c r="B902" s="5" t="str">
        <f t="shared" si="1014"/>
        <v>SPS1</v>
      </c>
      <c r="C902" s="5" t="str">
        <f t="shared" si="1015"/>
        <v>CH</v>
      </c>
      <c r="D902" t="s">
        <v>683</v>
      </c>
      <c r="E902" t="s">
        <v>8</v>
      </c>
      <c r="F902" s="1">
        <f>[1]Services!B$15*F895/SUM(F895:F896)</f>
        <v>0.27832276030007902</v>
      </c>
      <c r="G902" s="1">
        <f>[1]Services!C$15*G895/SUM(G895:G896)</f>
        <v>1.6821242980812219</v>
      </c>
      <c r="H902" s="1">
        <f>[1]Services!D$15*H895/SUM(H895:H896)</f>
        <v>0.65476382209727846</v>
      </c>
      <c r="I902" s="1">
        <f>[1]Services!E$15*I895/SUM(I895:I896)</f>
        <v>0.61650601219563883</v>
      </c>
      <c r="J902" s="1">
        <f>[2]Services!F$15*J895/SUM(J895:J896)</f>
        <v>0.93772394110262203</v>
      </c>
      <c r="K902" s="1">
        <f>[2]Services!G$15*K895/SUM(K895:K896)</f>
        <v>1.1047665664191695</v>
      </c>
      <c r="L902" s="1">
        <f>[2]Services!H$15*L895/SUM(L895:L896)</f>
        <v>1.2141361525098762</v>
      </c>
      <c r="N902" s="1"/>
    </row>
    <row r="903" spans="2:14" x14ac:dyDescent="0.35">
      <c r="B903" s="5" t="str">
        <f>B902</f>
        <v>SPS1</v>
      </c>
      <c r="C903" s="5" t="str">
        <f t="shared" ref="C903" si="1030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3.3766233259062715E-2</v>
      </c>
      <c r="I903" s="1">
        <f>[1]Services!E$15*I896/SUM(I895:I896)</f>
        <v>0.10131275792915032</v>
      </c>
      <c r="J903" s="1">
        <f>[2]Services!F$15*J896/SUM(J895:J896)</f>
        <v>0.25461749740582923</v>
      </c>
      <c r="K903" s="1">
        <f>[2]Services!G$15*K896/SUM(K895:K896)</f>
        <v>0.51564181887912874</v>
      </c>
      <c r="L903" s="1">
        <f>[2]Services!H$15*L896/SUM(L895:L896)</f>
        <v>0.8355466670652324</v>
      </c>
      <c r="N903" s="1"/>
    </row>
    <row r="904" spans="2:14" x14ac:dyDescent="0.3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1.402382058800276</v>
      </c>
      <c r="G904" s="1">
        <f>[1]Services!C$16</f>
        <v>1.5373125554946594</v>
      </c>
      <c r="H904" s="1">
        <f>[1]Services!D$16</f>
        <v>0</v>
      </c>
      <c r="I904" s="1">
        <f>[1]Services!E$16</f>
        <v>0</v>
      </c>
      <c r="J904" s="1">
        <f>[2]Services!F$16</f>
        <v>0</v>
      </c>
      <c r="K904" s="1">
        <f>[2]Services!G$16</f>
        <v>0</v>
      </c>
      <c r="L904" s="1">
        <f>[2]Services!H$16</f>
        <v>0</v>
      </c>
      <c r="N904" s="1"/>
    </row>
    <row r="905" spans="2:14" x14ac:dyDescent="0.3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7.7270878126393789</v>
      </c>
      <c r="G905" s="1">
        <f>[1]Services!C$17</f>
        <v>8.3699013825085071</v>
      </c>
      <c r="H905" s="1">
        <f>[1]Services!D$17</f>
        <v>5.9482898181497221</v>
      </c>
      <c r="I905" s="1">
        <f>[1]Services!E$17</f>
        <v>7.6471325057742057</v>
      </c>
      <c r="J905" s="1">
        <f>[2]Services!F$17</f>
        <v>8.3305128583547994</v>
      </c>
      <c r="K905" s="1">
        <f>[2]Services!G$17</f>
        <v>9.2532925490753133</v>
      </c>
      <c r="L905" s="1">
        <f>[2]Services!H$17</f>
        <v>8.9440161566935714</v>
      </c>
      <c r="N905" s="1"/>
    </row>
    <row r="906" spans="2:14" x14ac:dyDescent="0.35">
      <c r="B906" s="5" t="str">
        <f t="shared" si="1014"/>
        <v>SPS1</v>
      </c>
      <c r="C906" s="5" t="str">
        <f t="shared" si="1015"/>
        <v>CH</v>
      </c>
      <c r="D906" t="s">
        <v>969</v>
      </c>
      <c r="E906" t="s">
        <v>8</v>
      </c>
      <c r="F906" s="1">
        <f>[1]Services!B$51/0.99</f>
        <v>2.1170162823110847</v>
      </c>
      <c r="G906" s="1">
        <f>[1]Services!C$51/0.99</f>
        <v>2.2931519529473565</v>
      </c>
      <c r="H906" s="1">
        <f>[1]Services!D$51/0.99</f>
        <v>0</v>
      </c>
      <c r="I906" s="1">
        <f>[1]Services!E$51/0.99</f>
        <v>0</v>
      </c>
      <c r="J906" s="1">
        <f>[2]Services!F$51/0.99</f>
        <v>0</v>
      </c>
      <c r="K906" s="1">
        <f>[2]Services!G$51/0.99</f>
        <v>0</v>
      </c>
      <c r="L906" s="1">
        <f>[2]Services!H$51/0.99</f>
        <v>0</v>
      </c>
      <c r="N906" s="1"/>
    </row>
    <row r="907" spans="2:14" x14ac:dyDescent="0.35">
      <c r="B907" s="5" t="str">
        <f t="shared" si="1014"/>
        <v>SPS1</v>
      </c>
      <c r="C907" s="5" t="str">
        <f t="shared" si="1015"/>
        <v>CH</v>
      </c>
      <c r="D907" t="s">
        <v>507</v>
      </c>
      <c r="E907" t="s">
        <v>8</v>
      </c>
      <c r="F907" s="1">
        <f>IF(F906-SUM(F908:F911)&lt;0,0,F906-SUM(F908:F911))</f>
        <v>1.4242417796526472</v>
      </c>
      <c r="G907" s="1">
        <f t="shared" ref="G907:L907" si="1031">IF(G906-SUM(G908:G911)&lt;0,0,G906-SUM(G908:G911))</f>
        <v>1.553951195986748</v>
      </c>
      <c r="H907" s="1">
        <f t="shared" si="1031"/>
        <v>0</v>
      </c>
      <c r="I907" s="1">
        <f t="shared" si="1031"/>
        <v>0</v>
      </c>
      <c r="J907" s="1">
        <f t="shared" si="1031"/>
        <v>0</v>
      </c>
      <c r="K907" s="1">
        <f t="shared" si="1031"/>
        <v>0</v>
      </c>
      <c r="L907" s="1">
        <f t="shared" si="1031"/>
        <v>0</v>
      </c>
      <c r="N907" s="1"/>
    </row>
    <row r="908" spans="2:14" x14ac:dyDescent="0.35">
      <c r="B908" s="5" t="str">
        <f t="shared" si="1014"/>
        <v>SPS1</v>
      </c>
      <c r="C908" s="5" t="str">
        <f t="shared" si="1015"/>
        <v>CH</v>
      </c>
      <c r="D908" t="s">
        <v>503</v>
      </c>
      <c r="E908" t="s">
        <v>8</v>
      </c>
      <c r="F908" s="1">
        <f t="shared" ref="F908:L908" si="1032">F249*F906/SUM(F248:F250)</f>
        <v>0.69277450265843765</v>
      </c>
      <c r="G908" s="1">
        <f t="shared" si="1032"/>
        <v>0.7392007569606085</v>
      </c>
      <c r="H908" s="1">
        <f t="shared" si="1032"/>
        <v>0</v>
      </c>
      <c r="I908" s="1">
        <f t="shared" si="1032"/>
        <v>0</v>
      </c>
      <c r="J908" s="1">
        <f t="shared" si="1032"/>
        <v>0</v>
      </c>
      <c r="K908" s="1">
        <f t="shared" si="1032"/>
        <v>0</v>
      </c>
      <c r="L908" s="1">
        <f t="shared" si="1032"/>
        <v>0</v>
      </c>
      <c r="N908" s="1"/>
    </row>
    <row r="909" spans="2:14" x14ac:dyDescent="0.35">
      <c r="B909" s="5" t="str">
        <f t="shared" si="1014"/>
        <v>SPS1</v>
      </c>
      <c r="C909" s="5" t="str">
        <f t="shared" si="1015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33">H250*H906/SUM(H248:H250)</f>
        <v>0</v>
      </c>
      <c r="I909" s="1">
        <f t="shared" si="1033"/>
        <v>0</v>
      </c>
      <c r="J909" s="1">
        <f t="shared" si="1033"/>
        <v>0</v>
      </c>
      <c r="K909" s="1">
        <f t="shared" si="1033"/>
        <v>0</v>
      </c>
      <c r="L909" s="1">
        <f t="shared" ref="L909" si="1034">L250*L906/SUM(L248:L250)</f>
        <v>0</v>
      </c>
      <c r="N909" s="1"/>
    </row>
    <row r="910" spans="2:14" x14ac:dyDescent="0.35">
      <c r="B910" s="5" t="str">
        <f t="shared" si="1014"/>
        <v>SPS1</v>
      </c>
      <c r="C910" s="5" t="str">
        <f t="shared" si="1015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35">G287*G906/SUM(G248:G250)</f>
        <v>0</v>
      </c>
      <c r="H910" s="1">
        <f t="shared" si="1035"/>
        <v>0</v>
      </c>
      <c r="I910" s="1">
        <f t="shared" si="1035"/>
        <v>0</v>
      </c>
      <c r="J910" s="1">
        <f t="shared" si="1035"/>
        <v>0</v>
      </c>
      <c r="K910" s="1">
        <f t="shared" si="1035"/>
        <v>0</v>
      </c>
      <c r="L910" s="1">
        <f t="shared" ref="L910" si="1036">L287*L906/SUM(L248:L250)</f>
        <v>0</v>
      </c>
      <c r="N910" s="1"/>
    </row>
    <row r="911" spans="2:14" x14ac:dyDescent="0.35">
      <c r="B911" s="5" t="str">
        <f t="shared" si="1014"/>
        <v>SPS1</v>
      </c>
      <c r="C911" s="5" t="str">
        <f t="shared" si="1015"/>
        <v>CH</v>
      </c>
      <c r="D911" t="s">
        <v>506</v>
      </c>
      <c r="E911" t="s">
        <v>8</v>
      </c>
      <c r="F911" s="1">
        <f t="shared" ref="F911:K911" si="1037">F290</f>
        <v>0</v>
      </c>
      <c r="G911" s="1">
        <f t="shared" si="1037"/>
        <v>0</v>
      </c>
      <c r="H911" s="1">
        <f t="shared" si="1037"/>
        <v>0</v>
      </c>
      <c r="I911" s="1">
        <f t="shared" si="1037"/>
        <v>3.125742423827519E-2</v>
      </c>
      <c r="J911" s="1">
        <f t="shared" si="1037"/>
        <v>2.0299830329338587E-3</v>
      </c>
      <c r="K911" s="1">
        <f t="shared" si="1037"/>
        <v>5.8080339828793202E-3</v>
      </c>
      <c r="L911" s="1">
        <f t="shared" ref="L911" si="1038">L290</f>
        <v>3.305064017802237E-3</v>
      </c>
      <c r="N911" s="1"/>
    </row>
    <row r="912" spans="2:14" x14ac:dyDescent="0.35">
      <c r="B912" s="5" t="str">
        <f t="shared" si="1014"/>
        <v>SPS1</v>
      </c>
      <c r="C912" s="5" t="str">
        <f t="shared" si="1015"/>
        <v>CH</v>
      </c>
      <c r="D912" t="s">
        <v>970</v>
      </c>
      <c r="E912" t="s">
        <v>8</v>
      </c>
      <c r="F912" s="1">
        <f>F905-F906</f>
        <v>5.6100715303282946</v>
      </c>
      <c r="G912" s="1">
        <f t="shared" ref="G912:K912" si="1039">G905-G906</f>
        <v>6.0767494295611506</v>
      </c>
      <c r="H912" s="1">
        <f t="shared" si="1039"/>
        <v>5.9482898181497221</v>
      </c>
      <c r="I912" s="1">
        <f t="shared" si="1039"/>
        <v>7.6471325057742057</v>
      </c>
      <c r="J912" s="1">
        <f t="shared" si="1039"/>
        <v>8.3305128583547994</v>
      </c>
      <c r="K912" s="1">
        <f t="shared" si="1039"/>
        <v>9.2532925490753133</v>
      </c>
      <c r="L912" s="1">
        <f t="shared" ref="L912" si="1040">L905-L906</f>
        <v>8.9440161566935714</v>
      </c>
      <c r="N912" s="1"/>
    </row>
    <row r="913" spans="2:14" x14ac:dyDescent="0.35">
      <c r="B913" s="5" t="str">
        <f t="shared" si="1014"/>
        <v>SPS1</v>
      </c>
      <c r="C913" s="5" t="str">
        <f t="shared" si="1015"/>
        <v>CH</v>
      </c>
      <c r="D913" t="s">
        <v>971</v>
      </c>
      <c r="E913" t="s">
        <v>8</v>
      </c>
      <c r="F913" s="1">
        <f>F914</f>
        <v>8.5744660242739226</v>
      </c>
      <c r="G913" s="1">
        <f t="shared" ref="G913:L913" si="1041">G914</f>
        <v>7.2610711900694813</v>
      </c>
      <c r="H913" s="1">
        <f t="shared" si="1041"/>
        <v>10.069284452655683</v>
      </c>
      <c r="I913" s="1">
        <f t="shared" si="1041"/>
        <v>9.6060666162982002</v>
      </c>
      <c r="J913" s="1">
        <f t="shared" si="1041"/>
        <v>8.4536607663669674</v>
      </c>
      <c r="K913" s="1">
        <f t="shared" si="1041"/>
        <v>7.1452759078946855</v>
      </c>
      <c r="L913" s="1">
        <f t="shared" si="1041"/>
        <v>4.7599509692934525</v>
      </c>
      <c r="N913" s="1"/>
    </row>
    <row r="914" spans="2:14" x14ac:dyDescent="0.35">
      <c r="B914" s="5" t="str">
        <f t="shared" si="1014"/>
        <v>SPS1</v>
      </c>
      <c r="C914" s="5" t="str">
        <f t="shared" si="1015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8.5744660242739226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7.2610711900694813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10.069284452655683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9.6060666162982002</v>
      </c>
      <c r="J914" s="1" cm="1">
        <f t="array" ref="J914">SUMPRODUCT(([2]OUT_FinalEnergyCons!$B$4:$B$10000="Var_Fin")*1, ISNUMBER(SEARCH("WOD",[2]OUT_FinalEnergyCons!$C$4:$C$10000))*1,(ISNUMBER(SEARCH("SCOM-SHWODBR",[2]OUT_FinalEnergyCons!$A$4:$A$10000)))*1,[2]OUT_FinalEnergyCons!H$4:H$10000)</f>
        <v>8.4536607663669674</v>
      </c>
      <c r="K914" s="1" cm="1">
        <f t="array" ref="K914">SUMPRODUCT(([2]OUT_FinalEnergyCons!$B$4:$B$10000="Var_Fin")*1, ISNUMBER(SEARCH("WOD",[2]OUT_FinalEnergyCons!$C$4:$C$10000))*1,(ISNUMBER(SEARCH("SCOM-SHWODBR",[2]OUT_FinalEnergyCons!$A$4:$A$10000)))*1,[2]OUT_FinalEnergyCons!I$4:I$10000)</f>
        <v>7.1452759078946855</v>
      </c>
      <c r="L914" s="1" cm="1">
        <f t="array" ref="L914">SUMPRODUCT(([2]OUT_FinalEnergyCons!$B$4:$B$10000="Var_Fin")*1, ISNUMBER(SEARCH("WOD",[2]OUT_FinalEnergyCons!$C$4:$C$10000))*1,(ISNUMBER(SEARCH("SCOM-SHWODBR",[2]OUT_FinalEnergyCons!$A$4:$A$10000)))*1,[2]OUT_FinalEnergyCons!J$4:J$10000)</f>
        <v>4.7599509692934525</v>
      </c>
      <c r="N914" s="1"/>
    </row>
    <row r="915" spans="2:14" x14ac:dyDescent="0.35">
      <c r="B915" s="5" t="str">
        <f t="shared" si="1014"/>
        <v>SPS1</v>
      </c>
      <c r="C915" s="5" t="str">
        <f t="shared" si="1015"/>
        <v>CH</v>
      </c>
      <c r="D915" t="s">
        <v>973</v>
      </c>
      <c r="E915" t="s">
        <v>8</v>
      </c>
      <c r="F915" s="1">
        <f>F916</f>
        <v>2.085722942349133</v>
      </c>
      <c r="G915" s="1">
        <f t="shared" ref="G915:L915" si="1042">G916</f>
        <v>2.4001397450892603</v>
      </c>
      <c r="H915" s="1">
        <f t="shared" si="1042"/>
        <v>0.55263559063612044</v>
      </c>
      <c r="I915" s="1">
        <f t="shared" si="1042"/>
        <v>0.71187208479320641</v>
      </c>
      <c r="J915" s="1">
        <f t="shared" si="1042"/>
        <v>0.82399819145901121</v>
      </c>
      <c r="K915" s="1">
        <f t="shared" si="1042"/>
        <v>1.049303880367797</v>
      </c>
      <c r="L915" s="1">
        <f t="shared" si="1042"/>
        <v>1.0769693757972589</v>
      </c>
      <c r="N915" s="1"/>
    </row>
    <row r="916" spans="2:14" x14ac:dyDescent="0.35">
      <c r="B916" s="5" t="str">
        <f t="shared" si="1014"/>
        <v>SPS1</v>
      </c>
      <c r="C916" s="5" t="str">
        <f t="shared" si="1015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2.085722942349133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2.4001397450892603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0.55263559063612044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0.71187208479320641</v>
      </c>
      <c r="J916" s="1" cm="1">
        <f t="array" ref="J916">SUMPRODUCT(([2]OUT_FinalEnergyCons!$B$4:$B$10000="Var_Fin")*1,ISNUMBER(SEARCH("SPLT",[2]OUT_FinalEnergyCons!$C$4:$C$10000))*1, (ISNUMBER(SEARCH("SCOM-SHPLTBR",[2]OUT_FinalEnergyCons!$A$4:$A$10000)))*1,[2]OUT_FinalEnergyCons!H$4:H$10000)</f>
        <v>0.82399819145901121</v>
      </c>
      <c r="K916" s="1" cm="1">
        <f t="array" ref="K916">SUMPRODUCT(([2]OUT_FinalEnergyCons!$B$4:$B$10000="Var_Fin")*1,ISNUMBER(SEARCH("SPLT",[2]OUT_FinalEnergyCons!$C$4:$C$10000))*1, (ISNUMBER(SEARCH("SCOM-SHPLTBR",[2]OUT_FinalEnergyCons!$A$4:$A$10000)))*1,[2]OUT_FinalEnergyCons!I$4:I$10000)</f>
        <v>1.049303880367797</v>
      </c>
      <c r="L916" s="1" cm="1">
        <f t="array" ref="L916">SUMPRODUCT(([2]OUT_FinalEnergyCons!$B$4:$B$10000="Var_Fin")*1,ISNUMBER(SEARCH("SPLT",[2]OUT_FinalEnergyCons!$C$4:$C$10000))*1, (ISNUMBER(SEARCH("SCOM-SHPLTBR",[2]OUT_FinalEnergyCons!$A$4:$A$10000)))*1,[2]OUT_FinalEnergyCons!J$4:J$10000)</f>
        <v>1.0769693757972589</v>
      </c>
      <c r="N916" s="1"/>
    </row>
    <row r="917" spans="2:14" x14ac:dyDescent="0.35">
      <c r="B917" s="5" t="str">
        <f t="shared" si="1014"/>
        <v>SPS1</v>
      </c>
      <c r="C917" s="5" t="str">
        <f t="shared" si="1015"/>
        <v>CH</v>
      </c>
      <c r="D917" t="s">
        <v>975</v>
      </c>
      <c r="E917" t="s">
        <v>8</v>
      </c>
      <c r="F917" s="1">
        <f>F918</f>
        <v>0.62710016377056388</v>
      </c>
      <c r="G917" s="1">
        <f t="shared" ref="G917:L917" si="1043">G918</f>
        <v>0.68752506511414369</v>
      </c>
      <c r="H917" s="1">
        <f t="shared" si="1043"/>
        <v>0.55479707708111603</v>
      </c>
      <c r="I917" s="1">
        <f t="shared" si="1043"/>
        <v>0.60815181420141473</v>
      </c>
      <c r="J917" s="1">
        <f t="shared" si="1043"/>
        <v>0.66055031787157714</v>
      </c>
      <c r="K917" s="1">
        <f t="shared" si="1043"/>
        <v>0.73653508444957427</v>
      </c>
      <c r="L917" s="1">
        <f t="shared" si="1043"/>
        <v>0.77782081985134044</v>
      </c>
      <c r="N917" s="1"/>
    </row>
    <row r="918" spans="2:14" x14ac:dyDescent="0.35">
      <c r="B918" s="5" t="str">
        <f t="shared" si="1014"/>
        <v>SPS1</v>
      </c>
      <c r="C918" s="5" t="str">
        <f t="shared" si="1015"/>
        <v>CH</v>
      </c>
      <c r="D918" t="s">
        <v>976</v>
      </c>
      <c r="E918" t="s">
        <v>8</v>
      </c>
      <c r="F918" s="1">
        <f>[1]Services!B$19</f>
        <v>0.62710016377056388</v>
      </c>
      <c r="G918" s="1">
        <f>[1]Services!C$19</f>
        <v>0.68752506511414369</v>
      </c>
      <c r="H918" s="1">
        <f>[1]Services!D$19</f>
        <v>0.55479707708111603</v>
      </c>
      <c r="I918" s="1">
        <f>[1]Services!E$19</f>
        <v>0.60815181420141473</v>
      </c>
      <c r="J918" s="1">
        <f>[2]Services!F$19</f>
        <v>0.66055031787157714</v>
      </c>
      <c r="K918" s="1">
        <f>[2]Services!G$19</f>
        <v>0.73653508444957427</v>
      </c>
      <c r="L918" s="1">
        <f>[2]Services!H$19</f>
        <v>0.77782081985134044</v>
      </c>
      <c r="N918" s="1"/>
    </row>
    <row r="919" spans="2:14" x14ac:dyDescent="0.35">
      <c r="B919" s="5" t="str">
        <f t="shared" si="1014"/>
        <v>SPS1</v>
      </c>
      <c r="C919" s="5" t="str">
        <f t="shared" si="1015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3.5412022876040387E-2</v>
      </c>
      <c r="J919" s="1">
        <f>[2]Services!F$20</f>
        <v>1.9583241365380183E-3</v>
      </c>
      <c r="K919" s="1">
        <f>[2]Services!G$20</f>
        <v>4.4792914345275214E-3</v>
      </c>
      <c r="L919" s="1">
        <f>[2]Services!H$20</f>
        <v>2.1562756521034442E-3</v>
      </c>
      <c r="N919" s="1"/>
    </row>
    <row r="920" spans="2:14" x14ac:dyDescent="0.35">
      <c r="B920" s="5" t="str">
        <f t="shared" si="1014"/>
        <v>SPS1</v>
      </c>
      <c r="C920" s="5" t="str">
        <f t="shared" si="1015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044">G919-G921</f>
        <v>0</v>
      </c>
      <c r="H920" s="1">
        <f t="shared" si="1044"/>
        <v>0</v>
      </c>
      <c r="I920" s="1">
        <f t="shared" si="1044"/>
        <v>0</v>
      </c>
      <c r="J920" s="1">
        <f t="shared" si="1044"/>
        <v>0</v>
      </c>
      <c r="K920" s="1">
        <f t="shared" si="1044"/>
        <v>0</v>
      </c>
      <c r="L920" s="1">
        <f t="shared" ref="L920" si="1045">L919-L921</f>
        <v>0</v>
      </c>
      <c r="N920" s="1"/>
    </row>
    <row r="921" spans="2:14" x14ac:dyDescent="0.35">
      <c r="B921" s="5" t="str">
        <f t="shared" si="1014"/>
        <v>SPS1</v>
      </c>
      <c r="C921" s="5" t="str">
        <f t="shared" si="1015"/>
        <v>CH</v>
      </c>
      <c r="D921" t="s">
        <v>747</v>
      </c>
      <c r="E921" t="s">
        <v>8</v>
      </c>
      <c r="F921" s="1">
        <f>F922</f>
        <v>0</v>
      </c>
      <c r="G921" s="1">
        <f t="shared" ref="G921:L921" si="1046">G922</f>
        <v>0</v>
      </c>
      <c r="H921" s="1">
        <f t="shared" si="1046"/>
        <v>0</v>
      </c>
      <c r="I921" s="1">
        <f t="shared" si="1046"/>
        <v>3.5412022876040387E-2</v>
      </c>
      <c r="J921" s="1">
        <f t="shared" si="1046"/>
        <v>1.9583241365380183E-3</v>
      </c>
      <c r="K921" s="1">
        <f t="shared" si="1046"/>
        <v>4.4792914345275214E-3</v>
      </c>
      <c r="L921" s="1">
        <f t="shared" si="1046"/>
        <v>2.1562756521034442E-3</v>
      </c>
      <c r="N921" s="1"/>
    </row>
    <row r="922" spans="2:14" x14ac:dyDescent="0.3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3.5412022876040387E-2</v>
      </c>
      <c r="J922" s="1">
        <f>[2]Services!F$20</f>
        <v>1.9583241365380183E-3</v>
      </c>
      <c r="K922" s="1">
        <f>[2]Services!G$20</f>
        <v>4.4792914345275214E-3</v>
      </c>
      <c r="L922" s="1">
        <f>[2]Services!H$20</f>
        <v>2.1562756521034442E-3</v>
      </c>
      <c r="N922" s="1"/>
    </row>
    <row r="923" spans="2:14" x14ac:dyDescent="0.35">
      <c r="B923" s="5" t="str">
        <f t="shared" si="1014"/>
        <v>SPS1</v>
      </c>
      <c r="C923" s="5" t="str">
        <f t="shared" si="1015"/>
        <v>CH</v>
      </c>
      <c r="D923" t="s">
        <v>979</v>
      </c>
      <c r="E923" t="s">
        <v>8</v>
      </c>
      <c r="F923" s="1">
        <f>F924</f>
        <v>2.9299367761031867</v>
      </c>
      <c r="G923" s="1">
        <f t="shared" ref="G923:L923" si="1047">G924</f>
        <v>3.1925912129975891</v>
      </c>
      <c r="H923" s="1">
        <f t="shared" si="1047"/>
        <v>3.0596290523853114</v>
      </c>
      <c r="I923" s="1">
        <f t="shared" si="1047"/>
        <v>5.5788814061219156</v>
      </c>
      <c r="J923" s="1">
        <f t="shared" si="1047"/>
        <v>8.1440610258168924</v>
      </c>
      <c r="K923" s="1">
        <f t="shared" si="1047"/>
        <v>11.410395975166375</v>
      </c>
      <c r="L923" s="1">
        <f t="shared" si="1047"/>
        <v>13.692095746840298</v>
      </c>
      <c r="N923" s="1"/>
    </row>
    <row r="924" spans="2:14" x14ac:dyDescent="0.35">
      <c r="B924" s="5" t="str">
        <f t="shared" si="1014"/>
        <v>SPS1</v>
      </c>
      <c r="C924" s="5" t="str">
        <f t="shared" si="1015"/>
        <v>CH</v>
      </c>
      <c r="D924" t="s">
        <v>980</v>
      </c>
      <c r="E924" t="s">
        <v>8</v>
      </c>
      <c r="F924" s="1">
        <f>[1]Services!B$21-F925</f>
        <v>2.9299367761031867</v>
      </c>
      <c r="G924" s="1">
        <f>[1]Services!C$21-G925</f>
        <v>3.1925912129975891</v>
      </c>
      <c r="H924" s="1">
        <f>[1]Services!D$21-H925</f>
        <v>3.0596290523853114</v>
      </c>
      <c r="I924" s="1">
        <f>[1]Services!E$21-I925</f>
        <v>5.5788814061219156</v>
      </c>
      <c r="J924" s="1">
        <f>[2]Services!F$21-J925</f>
        <v>8.1440610258168924</v>
      </c>
      <c r="K924" s="1">
        <f>[2]Services!G$21-K925</f>
        <v>11.410395975166375</v>
      </c>
      <c r="L924" s="1">
        <f>[2]Services!H$21-L925</f>
        <v>13.692095746840298</v>
      </c>
      <c r="N924" s="1"/>
    </row>
    <row r="925" spans="2:14" x14ac:dyDescent="0.35">
      <c r="B925" s="5" t="str">
        <f t="shared" ref="B925" si="1048">B924</f>
        <v>SPS1</v>
      </c>
      <c r="C925" s="5" t="str">
        <f t="shared" ref="C925" si="1049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1.1357205945886539</v>
      </c>
      <c r="I925" s="1">
        <f>[1]Services!E$50-I896</f>
        <v>3.3214134028358466</v>
      </c>
      <c r="J925" s="1">
        <f>[2]Services!F$50-J896</f>
        <v>4.4355113766038654</v>
      </c>
      <c r="K925" s="1">
        <f>[2]Services!G$50-K896</f>
        <v>5.8226840422506339</v>
      </c>
      <c r="L925" s="1">
        <f>[2]Services!H$50-L896</f>
        <v>6.4213331674288758</v>
      </c>
      <c r="N925" s="1"/>
    </row>
    <row r="926" spans="2:14" x14ac:dyDescent="0.3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73.239765675392817</v>
      </c>
      <c r="G926" s="17">
        <f>[1]Services!C$59</f>
        <v>78.579259856419995</v>
      </c>
      <c r="H926" s="17">
        <f>[1]Services!D$59</f>
        <v>62.63212379098114</v>
      </c>
      <c r="I926" s="17">
        <f>[1]Services!E$59</f>
        <v>60.945023171262029</v>
      </c>
      <c r="J926" s="17">
        <f>[2]Services!F$59</f>
        <v>60.169517990585135</v>
      </c>
      <c r="K926" s="17">
        <f>[2]Services!G$59</f>
        <v>59.908816699778377</v>
      </c>
      <c r="L926" s="17">
        <f>[2]Services!H$59</f>
        <v>58.417701362997803</v>
      </c>
      <c r="N926" s="1"/>
    </row>
    <row r="927" spans="2:14" x14ac:dyDescent="0.3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63.650795620812865</v>
      </c>
      <c r="G927" s="1">
        <f t="shared" ref="G927:K927" si="1050">SUM(G928:G930)</f>
        <v>63.91020174457195</v>
      </c>
      <c r="H927" s="1">
        <f t="shared" si="1050"/>
        <v>63.734963420372502</v>
      </c>
      <c r="I927" s="1">
        <f t="shared" si="1050"/>
        <v>63.676882580382255</v>
      </c>
      <c r="J927" s="1">
        <f t="shared" si="1050"/>
        <v>65.82180110069659</v>
      </c>
      <c r="K927" s="1">
        <f t="shared" si="1050"/>
        <v>68.237580273051591</v>
      </c>
      <c r="L927" s="1">
        <f t="shared" ref="L927" si="1051">SUM(L928:L930)</f>
        <v>66.907967904823337</v>
      </c>
      <c r="N927" s="1"/>
    </row>
    <row r="928" spans="2:14" x14ac:dyDescent="0.3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2.3942948261139705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0.59042384341414011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0.52198776015302872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0.30401608889524623</v>
      </c>
      <c r="J928" s="1" cm="1">
        <f t="array" ref="J928">SUMPRODUCT(([2]OUT_FinalEnergyCons!$B$4:$B$10000="Var_FOut")*1, ISNUMBER(SEARCH("SCOM-SHAELC",[2]OUT_FinalEnergyCons!$C$4:$C$10000))*1, (ISNUMBER(SEARCH("SCOM-SHELCBR",[2]OUT_FinalEnergyCons!$A$4:$A$10000)))*1,[2]OUT_FinalEnergyCons!H$4:H$10000)</f>
        <v>0.26580391768998241</v>
      </c>
      <c r="K928" s="1" cm="1">
        <f t="array" ref="K928">SUMPRODUCT(([2]OUT_FinalEnergyCons!$B$4:$B$10000="Var_FOut")*1, ISNUMBER(SEARCH("SCOM-SHAELC",[2]OUT_FinalEnergyCons!$C$4:$C$10000))*1, (ISNUMBER(SEARCH("SCOM-SHELCBR",[2]OUT_FinalEnergyCons!$A$4:$A$10000)))*1,[2]OUT_FinalEnergyCons!I$4:I$10000)</f>
        <v>0.21829541766127675</v>
      </c>
      <c r="L928" s="1" cm="1">
        <f t="array" ref="L928">SUMPRODUCT(([2]OUT_FinalEnergyCons!$B$4:$B$10000="Var_FOut")*1, ISNUMBER(SEARCH("SCOM-SHAELC",[2]OUT_FinalEnergyCons!$C$4:$C$10000))*1, (ISNUMBER(SEARCH("SCOM-SHELCBR",[2]OUT_FinalEnergyCons!$A$4:$A$10000)))*1,[2]OUT_FinalEnergyCons!J$4:J$10000)</f>
        <v>0.15816593334679035</v>
      </c>
      <c r="N928" s="1"/>
    </row>
    <row r="929" spans="2:14" x14ac:dyDescent="0.35">
      <c r="B929" s="5" t="str">
        <f t="shared" ref="B929:B932" si="1052">B928</f>
        <v>SPS1</v>
      </c>
      <c r="C929" s="5" t="str">
        <f t="shared" ref="C929:C932" si="1053">C928</f>
        <v>CH</v>
      </c>
      <c r="D929" t="s">
        <v>729</v>
      </c>
      <c r="E929" t="s">
        <v>8</v>
      </c>
      <c r="F929" s="1">
        <f>[1]Services!B$47</f>
        <v>4.2617262197864543</v>
      </c>
      <c r="G929" s="1">
        <f>[1]Services!C$47</f>
        <v>4.6178551473715137</v>
      </c>
      <c r="H929" s="1">
        <f>[1]Services!D$47</f>
        <v>4.7411865930509869</v>
      </c>
      <c r="I929" s="1">
        <f>[1]Services!E$47</f>
        <v>8.1724895490911926</v>
      </c>
      <c r="J929" s="1">
        <f>[2]Services!F$47</f>
        <v>11.580822489780838</v>
      </c>
      <c r="K929" s="1">
        <f>[2]Services!G$47</f>
        <v>15.846857842440322</v>
      </c>
      <c r="L929" s="1">
        <f>[2]Services!H$47</f>
        <v>18.489072622326635</v>
      </c>
      <c r="N929" s="1"/>
    </row>
    <row r="930" spans="2:14" x14ac:dyDescent="0.35">
      <c r="B930" s="5" t="str">
        <f t="shared" si="1052"/>
        <v>SPS1</v>
      </c>
      <c r="C930" s="5" t="str">
        <f t="shared" si="1053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58.701922753786299</v>
      </c>
      <c r="H930" s="1">
        <f>[1]Services!D$3-([1]Services!D$6-[1]Services!D$58)</f>
        <v>58.471789067168487</v>
      </c>
      <c r="I930" s="1">
        <f>[1]Services!E$3-([1]Services!E$6-[1]Services!E$58)</f>
        <v>55.20037694239582</v>
      </c>
      <c r="J930" s="1">
        <f>[2]Services!F$3-([2]Services!F$6-[2]Services!F$58)</f>
        <v>53.975174693225767</v>
      </c>
      <c r="K930" s="1">
        <f>[2]Services!G$3-([2]Services!G$6-[2]Services!G$58)</f>
        <v>52.172427012949989</v>
      </c>
      <c r="L930" s="1">
        <f>[2]Services!H$3-([2]Services!H$6-[2]Services!H$58)</f>
        <v>48.260729349149912</v>
      </c>
      <c r="N930" s="1"/>
    </row>
    <row r="931" spans="2:14" x14ac:dyDescent="0.35">
      <c r="B931" s="5" t="str">
        <f t="shared" si="1052"/>
        <v>SPS1</v>
      </c>
      <c r="C931" s="5" t="str">
        <f t="shared" si="1053"/>
        <v>CH</v>
      </c>
      <c r="D931" t="s">
        <v>1040</v>
      </c>
      <c r="E931" t="s">
        <v>8</v>
      </c>
      <c r="F931" s="1">
        <f>F932</f>
        <v>24.84310667054552</v>
      </c>
      <c r="G931" s="1">
        <f t="shared" ref="G931:L931" si="1054">G932</f>
        <v>21.225121811907183</v>
      </c>
      <c r="H931" s="1">
        <f t="shared" si="1054"/>
        <v>20.675718559819455</v>
      </c>
      <c r="I931" s="1">
        <f t="shared" si="1054"/>
        <v>12.681970222599137</v>
      </c>
      <c r="J931" s="1">
        <f t="shared" si="1054"/>
        <v>9.1300379123505788</v>
      </c>
      <c r="K931" s="1">
        <f t="shared" si="1054"/>
        <v>4.449730741618863</v>
      </c>
      <c r="L931" s="1">
        <f t="shared" si="1054"/>
        <v>0.34579499807679331</v>
      </c>
      <c r="N931" s="1"/>
    </row>
    <row r="932" spans="2:14" x14ac:dyDescent="0.35">
      <c r="B932" s="5" t="str">
        <f t="shared" si="1052"/>
        <v>SPS1</v>
      </c>
      <c r="C932" s="5" t="str">
        <f t="shared" si="1053"/>
        <v>CH</v>
      </c>
      <c r="D932" t="s">
        <v>1041</v>
      </c>
      <c r="E932" t="s">
        <v>8</v>
      </c>
      <c r="F932" s="1">
        <f>[1]Services!B$48</f>
        <v>24.84310667054552</v>
      </c>
      <c r="G932" s="1">
        <f>[1]Services!C$48</f>
        <v>21.225121811907183</v>
      </c>
      <c r="H932" s="1">
        <f>[1]Services!D$48</f>
        <v>20.675718559819455</v>
      </c>
      <c r="I932" s="1">
        <f>[1]Services!E$48</f>
        <v>12.681970222599137</v>
      </c>
      <c r="J932" s="1">
        <f>[2]Services!F$48</f>
        <v>9.1300379123505788</v>
      </c>
      <c r="K932" s="1">
        <f>[2]Services!G$48</f>
        <v>4.449730741618863</v>
      </c>
      <c r="L932" s="1">
        <f>[2]Services!H$48</f>
        <v>0.34579499807679331</v>
      </c>
      <c r="N932" s="1"/>
    </row>
    <row r="933" spans="2:14" x14ac:dyDescent="0.3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25.412954675071884</v>
      </c>
      <c r="G933" s="1">
        <f t="shared" ref="G933:K933" si="1055">SUM(G934:G936)</f>
        <v>26.664429741224374</v>
      </c>
      <c r="H933" s="1">
        <f t="shared" si="1055"/>
        <v>21.77089350556809</v>
      </c>
      <c r="I933" s="1">
        <f t="shared" si="1055"/>
        <v>21.202019984368842</v>
      </c>
      <c r="J933" s="1">
        <f t="shared" si="1055"/>
        <v>18.39831101724285</v>
      </c>
      <c r="K933" s="1">
        <f t="shared" si="1055"/>
        <v>16.266090098569215</v>
      </c>
      <c r="L933" s="1">
        <f t="shared" ref="L933" si="1056">SUM(L934:L936)</f>
        <v>13.328303533655976</v>
      </c>
      <c r="N933" s="1"/>
    </row>
    <row r="934" spans="2:14" x14ac:dyDescent="0.35">
      <c r="B934" s="5" t="str">
        <f t="shared" ref="B934:B953" si="1057">B933</f>
        <v>SPS1</v>
      </c>
      <c r="C934" s="5" t="str">
        <f t="shared" ref="C934:C953" si="1058">C933</f>
        <v>CH</v>
      </c>
      <c r="D934" t="s">
        <v>1043</v>
      </c>
      <c r="E934" t="s">
        <v>8</v>
      </c>
      <c r="F934" s="1">
        <f>[1]Services!B$49</f>
        <v>24.189797043386285</v>
      </c>
      <c r="G934" s="1">
        <f>[1]Services!C$49</f>
        <v>25.32358573032193</v>
      </c>
      <c r="H934" s="1">
        <f>[1]Services!D$49</f>
        <v>19.399026731304602</v>
      </c>
      <c r="I934" s="1">
        <f>[1]Services!E$49</f>
        <v>14.580020031693589</v>
      </c>
      <c r="J934" s="1">
        <f>[2]Services!F$49</f>
        <v>9.7648021526750206</v>
      </c>
      <c r="K934" s="1">
        <f>[2]Services!G$49</f>
        <v>5.1984335180937942</v>
      </c>
      <c r="L934" s="1">
        <f>[2]Services!H$49</f>
        <v>1.9491682428326229</v>
      </c>
      <c r="N934" s="1"/>
    </row>
    <row r="935" spans="2:14" x14ac:dyDescent="0.35">
      <c r="B935" s="5" t="str">
        <f t="shared" ref="B935" si="1059">B934</f>
        <v>SPS1</v>
      </c>
      <c r="C935" s="5" t="str">
        <f t="shared" ref="C935" si="1060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2.3718667742634878</v>
      </c>
      <c r="I935" s="1">
        <f>[1]Services!E$50</f>
        <v>6.621999952675254</v>
      </c>
      <c r="J935" s="1">
        <f>[2]Services!F$50</f>
        <v>8.6335088645678297</v>
      </c>
      <c r="K935" s="1">
        <f>[2]Services!G$50</f>
        <v>11.067656580475422</v>
      </c>
      <c r="L935" s="1">
        <f>[2]Services!H$50</f>
        <v>11.379135290823353</v>
      </c>
      <c r="N935" s="1"/>
    </row>
    <row r="936" spans="2:14" x14ac:dyDescent="0.3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1.2231576316855999</v>
      </c>
      <c r="G936" s="1">
        <f>[1]Services!C$56</f>
        <v>1.3408440109024429</v>
      </c>
      <c r="H936" s="1">
        <f>[1]Services!D$56</f>
        <v>0</v>
      </c>
      <c r="I936" s="1">
        <f>[1]Services!E$56</f>
        <v>0</v>
      </c>
      <c r="J936" s="1">
        <f>[2]Services!F$56</f>
        <v>0</v>
      </c>
      <c r="K936" s="1">
        <f>[2]Services!G$56</f>
        <v>0</v>
      </c>
      <c r="L936" s="1">
        <f>[2]Services!H$56</f>
        <v>0</v>
      </c>
      <c r="N936" s="1"/>
    </row>
    <row r="937" spans="2:14" x14ac:dyDescent="0.35">
      <c r="B937" s="5" t="str">
        <f t="shared" si="1057"/>
        <v>SPS1</v>
      </c>
      <c r="C937" s="5" t="str">
        <f t="shared" si="1058"/>
        <v>CH</v>
      </c>
      <c r="D937" t="s">
        <v>983</v>
      </c>
      <c r="E937" t="s">
        <v>8</v>
      </c>
      <c r="F937" s="1">
        <f>F938+F944</f>
        <v>7.6498169345129821</v>
      </c>
      <c r="G937" s="1">
        <f t="shared" ref="G937:K937" si="1061">G938+G944</f>
        <v>8.2862023686834299</v>
      </c>
      <c r="H937" s="1">
        <f t="shared" si="1061"/>
        <v>4.8845488682816356</v>
      </c>
      <c r="I937" s="1">
        <f t="shared" si="1061"/>
        <v>6.306409427354704</v>
      </c>
      <c r="J937" s="1">
        <f t="shared" si="1061"/>
        <v>6.8699770515235112</v>
      </c>
      <c r="K937" s="1">
        <f t="shared" si="1061"/>
        <v>7.630971651334244</v>
      </c>
      <c r="L937" s="1">
        <f t="shared" ref="L937" si="1062">L938+L944</f>
        <v>7.375918720696288</v>
      </c>
      <c r="N937" s="1"/>
    </row>
    <row r="938" spans="2:14" x14ac:dyDescent="0.35">
      <c r="B938" s="5" t="str">
        <f t="shared" si="1057"/>
        <v>SPS1</v>
      </c>
      <c r="C938" s="5" t="str">
        <f t="shared" si="1058"/>
        <v>CH</v>
      </c>
      <c r="D938" t="s">
        <v>984</v>
      </c>
      <c r="E938" t="s">
        <v>8</v>
      </c>
      <c r="F938" s="1">
        <f>[1]Services!B$51</f>
        <v>2.0958461194879741</v>
      </c>
      <c r="G938" s="1">
        <f>[1]Services!C$51</f>
        <v>2.270220433417883</v>
      </c>
      <c r="H938" s="1">
        <f>[1]Services!D$51</f>
        <v>0</v>
      </c>
      <c r="I938" s="1">
        <f>[1]Services!E$51</f>
        <v>0</v>
      </c>
      <c r="J938" s="1">
        <f>[2]Services!F$51</f>
        <v>0</v>
      </c>
      <c r="K938" s="1">
        <f>[2]Services!G$51</f>
        <v>0</v>
      </c>
      <c r="L938" s="1">
        <f>[2]Services!H$51</f>
        <v>0</v>
      </c>
      <c r="N938" s="1"/>
    </row>
    <row r="939" spans="2:14" x14ac:dyDescent="0.35">
      <c r="B939" s="5" t="str">
        <f t="shared" si="1057"/>
        <v>SPS1</v>
      </c>
      <c r="C939" s="5" t="str">
        <f t="shared" si="1058"/>
        <v>CH</v>
      </c>
      <c r="D939" t="s">
        <v>692</v>
      </c>
      <c r="E939" t="s">
        <v>8</v>
      </c>
      <c r="F939" s="1">
        <f>IFERROR(F907/F$906,0)*F$938</f>
        <v>1.4099993618561208</v>
      </c>
      <c r="G939" s="1">
        <f t="shared" ref="G939:K939" si="1063">IFERROR(G907/G$906,0)*G$938</f>
        <v>1.5384116840268807</v>
      </c>
      <c r="H939" s="1">
        <f t="shared" si="1063"/>
        <v>0</v>
      </c>
      <c r="I939" s="1">
        <f t="shared" si="1063"/>
        <v>0</v>
      </c>
      <c r="J939" s="1">
        <f t="shared" si="1063"/>
        <v>0</v>
      </c>
      <c r="K939" s="1">
        <f t="shared" si="1063"/>
        <v>0</v>
      </c>
      <c r="L939" s="1">
        <f t="shared" ref="L939" si="1064">IFERROR(L907/L$906,0)*L$938</f>
        <v>0</v>
      </c>
      <c r="N939" s="1"/>
    </row>
    <row r="940" spans="2:14" x14ac:dyDescent="0.35">
      <c r="B940" s="5" t="str">
        <f t="shared" si="1057"/>
        <v>SPS1</v>
      </c>
      <c r="C940" s="5" t="str">
        <f t="shared" si="1058"/>
        <v>CH</v>
      </c>
      <c r="D940" t="s">
        <v>693</v>
      </c>
      <c r="E940" t="s">
        <v>8</v>
      </c>
      <c r="F940" s="1">
        <f>IFERROR(F908/F$906,0)*F$938</f>
        <v>0.68584675763185332</v>
      </c>
      <c r="G940" s="1">
        <f t="shared" ref="G940:K943" si="1065">IFERROR(G908/G$906,0)*G$938</f>
        <v>0.73180874939100238</v>
      </c>
      <c r="H940" s="1">
        <f t="shared" si="1065"/>
        <v>0</v>
      </c>
      <c r="I940" s="1">
        <f t="shared" si="1065"/>
        <v>0</v>
      </c>
      <c r="J940" s="1">
        <f t="shared" si="1065"/>
        <v>0</v>
      </c>
      <c r="K940" s="1">
        <f t="shared" si="1065"/>
        <v>0</v>
      </c>
      <c r="L940" s="1">
        <f t="shared" ref="L940" si="1066">IFERROR(L908/L$906,0)*L$938</f>
        <v>0</v>
      </c>
      <c r="N940" s="1"/>
    </row>
    <row r="941" spans="2:14" x14ac:dyDescent="0.35">
      <c r="B941" s="5" t="str">
        <f t="shared" si="1057"/>
        <v>SPS1</v>
      </c>
      <c r="C941" s="5" t="str">
        <f t="shared" si="1058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065"/>
        <v>0</v>
      </c>
      <c r="H941" s="1">
        <f t="shared" si="1065"/>
        <v>0</v>
      </c>
      <c r="I941" s="1">
        <f t="shared" si="1065"/>
        <v>0</v>
      </c>
      <c r="J941" s="1">
        <f t="shared" si="1065"/>
        <v>0</v>
      </c>
      <c r="K941" s="1">
        <f t="shared" si="1065"/>
        <v>0</v>
      </c>
      <c r="L941" s="1">
        <f t="shared" ref="L941" si="1067">IFERROR(L909/L$906,0)*L$938</f>
        <v>0</v>
      </c>
      <c r="N941" s="1"/>
    </row>
    <row r="942" spans="2:14" x14ac:dyDescent="0.35">
      <c r="B942" s="5" t="str">
        <f t="shared" si="1057"/>
        <v>SPS1</v>
      </c>
      <c r="C942" s="5" t="str">
        <f t="shared" si="1058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065"/>
        <v>0</v>
      </c>
      <c r="H942" s="1">
        <f t="shared" si="1065"/>
        <v>0</v>
      </c>
      <c r="I942" s="1">
        <f t="shared" si="1065"/>
        <v>0</v>
      </c>
      <c r="J942" s="1">
        <f t="shared" si="1065"/>
        <v>0</v>
      </c>
      <c r="K942" s="1">
        <f t="shared" si="1065"/>
        <v>0</v>
      </c>
      <c r="L942" s="1">
        <f t="shared" ref="L942" si="1068">IFERROR(L910/L$906,0)*L$938</f>
        <v>0</v>
      </c>
      <c r="N942" s="1"/>
    </row>
    <row r="943" spans="2:14" x14ac:dyDescent="0.35">
      <c r="B943" s="5" t="str">
        <f t="shared" si="1057"/>
        <v>SPS1</v>
      </c>
      <c r="C943" s="5" t="str">
        <f t="shared" si="1058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065"/>
        <v>0</v>
      </c>
      <c r="H943" s="1">
        <f t="shared" si="1065"/>
        <v>0</v>
      </c>
      <c r="I943" s="1">
        <f t="shared" si="1065"/>
        <v>0</v>
      </c>
      <c r="J943" s="1">
        <f t="shared" si="1065"/>
        <v>0</v>
      </c>
      <c r="K943" s="1">
        <f t="shared" si="1065"/>
        <v>0</v>
      </c>
      <c r="L943" s="1">
        <f t="shared" ref="L943" si="1069">IFERROR(L911/L$906,0)*L$938</f>
        <v>0</v>
      </c>
      <c r="N943" s="1"/>
    </row>
    <row r="944" spans="2:14" x14ac:dyDescent="0.35">
      <c r="B944" s="5" t="str">
        <f t="shared" si="1057"/>
        <v>SPS1</v>
      </c>
      <c r="C944" s="5" t="str">
        <f t="shared" si="1058"/>
        <v>CH</v>
      </c>
      <c r="D944" t="s">
        <v>985</v>
      </c>
      <c r="E944" t="s">
        <v>8</v>
      </c>
      <c r="F944" s="1">
        <f>[1]Services!B$52</f>
        <v>5.553970815025008</v>
      </c>
      <c r="G944" s="1">
        <f>[1]Services!C$52</f>
        <v>6.0159819352655468</v>
      </c>
      <c r="H944" s="1">
        <f>[1]Services!D$52</f>
        <v>4.8845488682816356</v>
      </c>
      <c r="I944" s="1">
        <f>[1]Services!E$52</f>
        <v>6.306409427354704</v>
      </c>
      <c r="J944" s="1">
        <f>[2]Services!F$52</f>
        <v>6.8699770515235112</v>
      </c>
      <c r="K944" s="1">
        <f>[2]Services!G$52</f>
        <v>7.630971651334244</v>
      </c>
      <c r="L944" s="1">
        <f>[2]Services!H$52</f>
        <v>7.375918720696288</v>
      </c>
      <c r="N944" s="1"/>
    </row>
    <row r="945" spans="2:14" x14ac:dyDescent="0.35">
      <c r="B945" s="5" t="str">
        <f t="shared" si="1057"/>
        <v>SPS1</v>
      </c>
      <c r="C945" s="5" t="str">
        <f t="shared" si="1058"/>
        <v>CH</v>
      </c>
      <c r="D945" t="s">
        <v>986</v>
      </c>
      <c r="E945" t="s">
        <v>8</v>
      </c>
      <c r="F945" s="1">
        <f>F946</f>
        <v>6.1736155374772199</v>
      </c>
      <c r="G945" s="1">
        <f t="shared" ref="G945:L945" si="1070">G946</f>
        <v>5.2279712568500267</v>
      </c>
      <c r="H945" s="1">
        <f t="shared" si="1070"/>
        <v>6.7954740716128024</v>
      </c>
      <c r="I945" s="1">
        <f t="shared" si="1070"/>
        <v>6.5084223188485115</v>
      </c>
      <c r="J945" s="1">
        <f t="shared" si="1070"/>
        <v>5.7276299036326481</v>
      </c>
      <c r="K945" s="1">
        <f t="shared" si="1070"/>
        <v>4.8630174472014165</v>
      </c>
      <c r="L945" s="1">
        <f t="shared" si="1070"/>
        <v>3.3475290117803804</v>
      </c>
      <c r="N945" s="1"/>
    </row>
    <row r="946" spans="2:14" x14ac:dyDescent="0.35">
      <c r="B946" s="5" t="str">
        <f t="shared" si="1057"/>
        <v>SPS1</v>
      </c>
      <c r="C946" s="5" t="str">
        <f t="shared" si="1058"/>
        <v>CH</v>
      </c>
      <c r="D946" t="s">
        <v>987</v>
      </c>
      <c r="E946" t="s">
        <v>8</v>
      </c>
      <c r="F946" s="1">
        <f>[1]Services!B$53</f>
        <v>6.1736155374772199</v>
      </c>
      <c r="G946" s="1">
        <f>[1]Services!C$53</f>
        <v>5.2279712568500267</v>
      </c>
      <c r="H946" s="1">
        <f>[1]Services!D$53</f>
        <v>6.7954740716128024</v>
      </c>
      <c r="I946" s="1">
        <f>[1]Services!E$53</f>
        <v>6.5084223188485115</v>
      </c>
      <c r="J946" s="1">
        <f>[2]Services!F$53</f>
        <v>5.7276299036326481</v>
      </c>
      <c r="K946" s="1">
        <f>[2]Services!G$53</f>
        <v>4.8630174472014165</v>
      </c>
      <c r="L946" s="1">
        <f>[2]Services!H$53</f>
        <v>3.3475290117803804</v>
      </c>
      <c r="N946" s="1"/>
    </row>
    <row r="947" spans="2:14" x14ac:dyDescent="0.35">
      <c r="B947" s="5" t="str">
        <f t="shared" si="1057"/>
        <v>SPS1</v>
      </c>
      <c r="C947" s="5" t="str">
        <f t="shared" si="1058"/>
        <v>CH</v>
      </c>
      <c r="D947" t="s">
        <v>988</v>
      </c>
      <c r="E947" t="s">
        <v>8</v>
      </c>
      <c r="F947" s="1">
        <f>F948</f>
        <v>1.8771506481142195</v>
      </c>
      <c r="G947" s="1">
        <f t="shared" ref="G947:L947" si="1071">G948</f>
        <v>2.1601257705803349</v>
      </c>
      <c r="H947" s="1">
        <f t="shared" si="1071"/>
        <v>0.36389940041924101</v>
      </c>
      <c r="I947" s="1">
        <f t="shared" si="1071"/>
        <v>0.47075826318942304</v>
      </c>
      <c r="J947" s="1">
        <f t="shared" si="1071"/>
        <v>0.5506454800835362</v>
      </c>
      <c r="K947" s="1">
        <f t="shared" si="1071"/>
        <v>0.71173507512877876</v>
      </c>
      <c r="L947" s="1">
        <f t="shared" si="1071"/>
        <v>0.73428263939063332</v>
      </c>
      <c r="N947" s="1"/>
    </row>
    <row r="948" spans="2:14" x14ac:dyDescent="0.35">
      <c r="B948" s="5" t="str">
        <f t="shared" si="1057"/>
        <v>SPS1</v>
      </c>
      <c r="C948" s="5" t="str">
        <f t="shared" si="1058"/>
        <v>CH</v>
      </c>
      <c r="D948" t="s">
        <v>989</v>
      </c>
      <c r="E948" t="s">
        <v>8</v>
      </c>
      <c r="F948" s="1">
        <f>[1]Services!B$54</f>
        <v>1.8771506481142195</v>
      </c>
      <c r="G948" s="1">
        <f>[1]Services!C$54</f>
        <v>2.1601257705803349</v>
      </c>
      <c r="H948" s="1">
        <f>[1]Services!D$54</f>
        <v>0.36389940041924101</v>
      </c>
      <c r="I948" s="1">
        <f>[1]Services!E$54</f>
        <v>0.47075826318942304</v>
      </c>
      <c r="J948" s="1">
        <f>[2]Services!F$54</f>
        <v>0.5506454800835362</v>
      </c>
      <c r="K948" s="1">
        <f>[2]Services!G$54</f>
        <v>0.71173507512877876</v>
      </c>
      <c r="L948" s="1">
        <f>[2]Services!H$54</f>
        <v>0.73428263939063332</v>
      </c>
      <c r="N948" s="1"/>
    </row>
    <row r="949" spans="2:14" x14ac:dyDescent="0.35">
      <c r="B949" s="5" t="str">
        <f t="shared" si="1057"/>
        <v>SPS1</v>
      </c>
      <c r="C949" s="5" t="str">
        <f t="shared" si="1058"/>
        <v>CH</v>
      </c>
      <c r="D949" t="s">
        <v>990</v>
      </c>
      <c r="E949" t="s">
        <v>8</v>
      </c>
      <c r="F949" s="1">
        <f>F950</f>
        <v>0.62710016377056388</v>
      </c>
      <c r="G949" s="1">
        <f t="shared" ref="G949:L949" si="1072">G950</f>
        <v>0.68752506511414369</v>
      </c>
      <c r="H949" s="1">
        <f t="shared" si="1072"/>
        <v>0.55479707708111603</v>
      </c>
      <c r="I949" s="1">
        <f t="shared" si="1072"/>
        <v>0.60815181420141473</v>
      </c>
      <c r="J949" s="1">
        <f t="shared" si="1072"/>
        <v>0.66055031787157714</v>
      </c>
      <c r="K949" s="1">
        <f t="shared" si="1072"/>
        <v>0.73653508444957427</v>
      </c>
      <c r="L949" s="1">
        <f t="shared" si="1072"/>
        <v>0.77782081985134044</v>
      </c>
      <c r="N949" s="1"/>
    </row>
    <row r="950" spans="2:14" x14ac:dyDescent="0.35">
      <c r="B950" s="5" t="str">
        <f t="shared" si="1057"/>
        <v>SPS1</v>
      </c>
      <c r="C950" s="5" t="str">
        <f t="shared" si="1058"/>
        <v>CH</v>
      </c>
      <c r="D950" t="s">
        <v>991</v>
      </c>
      <c r="E950" t="s">
        <v>8</v>
      </c>
      <c r="F950" s="1">
        <f>[1]Services!B$55</f>
        <v>0.62710016377056388</v>
      </c>
      <c r="G950" s="1">
        <f>[1]Services!C$55</f>
        <v>0.68752506511414369</v>
      </c>
      <c r="H950" s="1">
        <f>[1]Services!D$55</f>
        <v>0.55479707708111603</v>
      </c>
      <c r="I950" s="1">
        <f>[1]Services!E$55</f>
        <v>0.60815181420141473</v>
      </c>
      <c r="J950" s="1">
        <f>[2]Services!F$55</f>
        <v>0.66055031787157714</v>
      </c>
      <c r="K950" s="1">
        <f>[2]Services!G$55</f>
        <v>0.73653508444957427</v>
      </c>
      <c r="L950" s="1">
        <f>[2]Services!H$55</f>
        <v>0.77782081985134044</v>
      </c>
      <c r="N950" s="1"/>
    </row>
    <row r="951" spans="2:14" x14ac:dyDescent="0.35">
      <c r="B951" s="5" t="str">
        <f t="shared" si="1057"/>
        <v>SPS1</v>
      </c>
      <c r="C951" s="5" t="str">
        <f t="shared" si="1058"/>
        <v>CH</v>
      </c>
      <c r="D951" t="s">
        <v>992</v>
      </c>
      <c r="E951" t="s">
        <v>8</v>
      </c>
      <c r="F951" s="1">
        <f>F952</f>
        <v>0</v>
      </c>
      <c r="G951" s="1">
        <f t="shared" ref="G951:L951" si="1073">G952</f>
        <v>0</v>
      </c>
      <c r="H951" s="1">
        <f t="shared" si="1073"/>
        <v>0</v>
      </c>
      <c r="I951" s="1">
        <f t="shared" si="1073"/>
        <v>0</v>
      </c>
      <c r="J951" s="1">
        <f t="shared" si="1073"/>
        <v>0</v>
      </c>
      <c r="K951" s="1">
        <f t="shared" si="1073"/>
        <v>0</v>
      </c>
      <c r="L951" s="1">
        <f t="shared" si="1073"/>
        <v>0</v>
      </c>
      <c r="N951" s="1"/>
    </row>
    <row r="952" spans="2:14" x14ac:dyDescent="0.35">
      <c r="B952" s="5" t="str">
        <f t="shared" si="1057"/>
        <v>SPS1</v>
      </c>
      <c r="C952" s="5" t="str">
        <f t="shared" si="1058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</v>
      </c>
      <c r="J952" s="1">
        <f>[2]Services!F$57</f>
        <v>0</v>
      </c>
      <c r="K952" s="1">
        <f>[2]Services!G$57</f>
        <v>0</v>
      </c>
      <c r="L952" s="1">
        <f>[2]Services!H$57</f>
        <v>0</v>
      </c>
      <c r="N952" s="1"/>
    </row>
    <row r="953" spans="2:14" x14ac:dyDescent="0.35">
      <c r="B953" s="5" t="str">
        <f t="shared" si="1057"/>
        <v>SPS1</v>
      </c>
      <c r="C953" s="5" t="str">
        <f t="shared" si="1058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9.1196048512748433</v>
      </c>
      <c r="H953" s="1">
        <f>[1]Services!D$58</f>
        <v>2.3236179549947895</v>
      </c>
      <c r="I953" s="1">
        <f>[1]Services!E$58</f>
        <v>4.6907855027135685</v>
      </c>
      <c r="J953" s="1">
        <f>[2]Services!F$58</f>
        <v>6.9857399004096115</v>
      </c>
      <c r="K953" s="1">
        <f>[2]Services!G$58</f>
        <v>9.1855833413746932</v>
      </c>
      <c r="L953" s="1">
        <f>[2]Services!H$58</f>
        <v>13.860813083872962</v>
      </c>
      <c r="N953" s="1"/>
    </row>
    <row r="954" spans="2:14" x14ac:dyDescent="0.3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N954" s="1"/>
    </row>
    <row r="955" spans="2:14" x14ac:dyDescent="0.35">
      <c r="B955" s="5" t="str">
        <f t="shared" ref="B955:B971" si="1074">B954</f>
        <v>SPS1</v>
      </c>
      <c r="C955" s="5" t="str">
        <f t="shared" ref="C955:C971" si="1075">C954</f>
        <v>CH</v>
      </c>
      <c r="D955" t="s">
        <v>761</v>
      </c>
      <c r="E955" t="s">
        <v>240</v>
      </c>
      <c r="F955" s="4">
        <f t="shared" ref="F955:K957" si="1076">IFERROR(F928/F884,"-")</f>
        <v>0.91250000000000075</v>
      </c>
      <c r="G955" s="4">
        <f t="shared" si="1076"/>
        <v>0.91500000000000004</v>
      </c>
      <c r="H955" s="4">
        <f t="shared" si="1076"/>
        <v>0.47261455943062147</v>
      </c>
      <c r="I955" s="4">
        <f t="shared" si="1076"/>
        <v>0.4944897373957215</v>
      </c>
      <c r="J955" s="4">
        <f t="shared" si="1076"/>
        <v>0.50079318271192574</v>
      </c>
      <c r="K955" s="4">
        <f t="shared" si="1076"/>
        <v>0.50854745741125762</v>
      </c>
      <c r="L955" s="4">
        <f t="shared" ref="L955" si="1077">IFERROR(L928/L884,"-")</f>
        <v>0.53040090270666218</v>
      </c>
      <c r="N955" s="1"/>
    </row>
    <row r="956" spans="2:14" x14ac:dyDescent="0.35">
      <c r="B956" s="5" t="str">
        <f t="shared" si="1074"/>
        <v>SPS1</v>
      </c>
      <c r="C956" s="5" t="str">
        <f t="shared" si="1075"/>
        <v>CH</v>
      </c>
      <c r="D956" t="s">
        <v>730</v>
      </c>
      <c r="E956" t="s">
        <v>240</v>
      </c>
      <c r="F956" s="4">
        <f t="shared" si="1076"/>
        <v>3.1999999999999988</v>
      </c>
      <c r="G956" s="4">
        <f t="shared" si="1076"/>
        <v>3.2399999999999984</v>
      </c>
      <c r="H956" s="4">
        <f t="shared" si="1076"/>
        <v>2.8195208777536691</v>
      </c>
      <c r="I956" s="4">
        <f t="shared" si="1076"/>
        <v>3.1510116789404301</v>
      </c>
      <c r="J956" s="4">
        <f t="shared" si="1076"/>
        <v>3.3696905098626124</v>
      </c>
      <c r="K956" s="4">
        <f t="shared" si="1076"/>
        <v>3.5719585373507736</v>
      </c>
      <c r="L956" s="4">
        <f t="shared" ref="L956" si="1078">IFERROR(L929/L885,"-")</f>
        <v>3.8543176467683384</v>
      </c>
      <c r="N956" s="1"/>
    </row>
    <row r="957" spans="2:14" x14ac:dyDescent="0.35">
      <c r="B957" s="5" t="str">
        <f t="shared" si="1074"/>
        <v>SPS1</v>
      </c>
      <c r="C957" s="5" t="str">
        <f t="shared" si="1075"/>
        <v>CH</v>
      </c>
      <c r="D957" t="s">
        <v>699</v>
      </c>
      <c r="E957" t="s">
        <v>240</v>
      </c>
      <c r="F957" s="4">
        <f t="shared" si="1076"/>
        <v>1</v>
      </c>
      <c r="G957" s="4">
        <f t="shared" si="1076"/>
        <v>1</v>
      </c>
      <c r="H957" s="4">
        <f t="shared" si="1076"/>
        <v>0.99999999999999989</v>
      </c>
      <c r="I957" s="4">
        <f t="shared" si="1076"/>
        <v>1.0000000000000002</v>
      </c>
      <c r="J957" s="4">
        <f t="shared" si="1076"/>
        <v>1</v>
      </c>
      <c r="K957" s="4">
        <f t="shared" si="1076"/>
        <v>1.0000000000000002</v>
      </c>
      <c r="L957" s="4">
        <f t="shared" ref="L957" si="1079">IFERROR(L930/L886,"-")</f>
        <v>0.99999999999999989</v>
      </c>
      <c r="N957" s="1"/>
    </row>
    <row r="958" spans="2:14" x14ac:dyDescent="0.35">
      <c r="B958" s="5" t="str">
        <f t="shared" si="1074"/>
        <v>SPS1</v>
      </c>
      <c r="C958" s="5" t="str">
        <f t="shared" si="1075"/>
        <v>CH</v>
      </c>
      <c r="D958" t="s">
        <v>700</v>
      </c>
      <c r="E958" t="s">
        <v>240</v>
      </c>
      <c r="F958" s="4">
        <f t="shared" ref="F958:K958" si="1080">IFERROR(F932/F888,"-")</f>
        <v>0.82107843137254843</v>
      </c>
      <c r="G958" s="4">
        <f t="shared" si="1080"/>
        <v>0.82270432925645509</v>
      </c>
      <c r="H958" s="4">
        <f t="shared" si="1080"/>
        <v>0.79174078597033548</v>
      </c>
      <c r="I958" s="4">
        <f t="shared" si="1080"/>
        <v>0.81875684615449917</v>
      </c>
      <c r="J958" s="4">
        <f t="shared" si="1080"/>
        <v>0.81875684615449928</v>
      </c>
      <c r="K958" s="4">
        <f t="shared" si="1080"/>
        <v>0.81875684615449906</v>
      </c>
      <c r="L958" s="4">
        <f t="shared" ref="L958" si="1081">IFERROR(L932/L888,"-")</f>
        <v>0.81875684615449884</v>
      </c>
      <c r="N958" s="1"/>
    </row>
    <row r="959" spans="2:14" x14ac:dyDescent="0.35">
      <c r="B959" s="5" t="str">
        <f t="shared" si="1074"/>
        <v>SPS1</v>
      </c>
      <c r="C959" s="5" t="str">
        <f t="shared" si="1075"/>
        <v>CH</v>
      </c>
      <c r="D959" t="s">
        <v>701</v>
      </c>
      <c r="E959" t="s">
        <v>240</v>
      </c>
      <c r="F959" s="4">
        <f t="shared" ref="F959:K961" si="1082">IFERROR(F934/F895,"-")</f>
        <v>0.94680851063829952</v>
      </c>
      <c r="G959" s="4">
        <f t="shared" si="1082"/>
        <v>0.94680851063829807</v>
      </c>
      <c r="H959" s="4">
        <f t="shared" si="1082"/>
        <v>0.80929722563447115</v>
      </c>
      <c r="I959" s="4">
        <f t="shared" si="1082"/>
        <v>0.72592844916180754</v>
      </c>
      <c r="J959" s="4">
        <f t="shared" si="1082"/>
        <v>0.63158893817009643</v>
      </c>
      <c r="K959" s="4">
        <f t="shared" si="1082"/>
        <v>0.46260133797887337</v>
      </c>
      <c r="L959" s="4">
        <f t="shared" ref="L959" si="1083">IFERROR(L934/L895,"-")</f>
        <v>0.27055991759908166</v>
      </c>
      <c r="N959" s="1"/>
    </row>
    <row r="960" spans="2:14" x14ac:dyDescent="0.35">
      <c r="B960" s="5" t="str">
        <f t="shared" si="1074"/>
        <v>SPS1</v>
      </c>
      <c r="C960" s="5" t="str">
        <f t="shared" si="1075"/>
        <v>CH</v>
      </c>
      <c r="D960" t="s">
        <v>731</v>
      </c>
      <c r="E960" t="s">
        <v>240</v>
      </c>
      <c r="F960" s="4" t="str">
        <f t="shared" si="1082"/>
        <v>-</v>
      </c>
      <c r="G960" s="4" t="str">
        <f t="shared" si="1082"/>
        <v>-</v>
      </c>
      <c r="H960" s="4">
        <f t="shared" si="1082"/>
        <v>1.9187591348519988</v>
      </c>
      <c r="I960" s="4">
        <f t="shared" si="1082"/>
        <v>2.0063100460121102</v>
      </c>
      <c r="J960" s="4">
        <f t="shared" si="1082"/>
        <v>2.0565779015639896</v>
      </c>
      <c r="K960" s="4">
        <f t="shared" si="1082"/>
        <v>2.1101457633601601</v>
      </c>
      <c r="L960" s="4">
        <f t="shared" ref="L960" si="1084">IFERROR(L935/L896,"-")</f>
        <v>2.2951975507712192</v>
      </c>
      <c r="N960" s="1"/>
    </row>
    <row r="961" spans="2:14" x14ac:dyDescent="0.35">
      <c r="B961" s="5" t="str">
        <f t="shared" si="1074"/>
        <v>SPS1</v>
      </c>
      <c r="C961" s="5" t="str">
        <f t="shared" si="1075"/>
        <v>CH</v>
      </c>
      <c r="D961" t="s">
        <v>702</v>
      </c>
      <c r="E961" t="s">
        <v>240</v>
      </c>
      <c r="F961" s="4">
        <f t="shared" si="1082"/>
        <v>0.87219999999999942</v>
      </c>
      <c r="G961" s="4">
        <f t="shared" si="1082"/>
        <v>0.87220000000000064</v>
      </c>
      <c r="H961" s="4" t="str">
        <f t="shared" si="1082"/>
        <v>-</v>
      </c>
      <c r="I961" s="4" t="str">
        <f t="shared" si="1082"/>
        <v>-</v>
      </c>
      <c r="J961" s="4" t="str">
        <f t="shared" si="1082"/>
        <v>-</v>
      </c>
      <c r="K961" s="4" t="str">
        <f t="shared" si="1082"/>
        <v>-</v>
      </c>
      <c r="L961" s="4" t="str">
        <f t="shared" ref="L961" si="1085">IFERROR(L936/L897,"-")</f>
        <v>-</v>
      </c>
      <c r="N961" s="1"/>
    </row>
    <row r="962" spans="2:14" x14ac:dyDescent="0.3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086">IFERROR(F939/F907,"-")</f>
        <v>0.9900000000000001</v>
      </c>
      <c r="G962" s="4">
        <f t="shared" si="1086"/>
        <v>0.9900000000000001</v>
      </c>
      <c r="H962" s="4" t="str">
        <f t="shared" si="1086"/>
        <v>-</v>
      </c>
      <c r="I962" s="4" t="str">
        <f t="shared" si="1086"/>
        <v>-</v>
      </c>
      <c r="J962" s="4" t="str">
        <f t="shared" si="1086"/>
        <v>-</v>
      </c>
      <c r="K962" s="4" t="str">
        <f t="shared" si="1086"/>
        <v>-</v>
      </c>
      <c r="L962" s="4" t="str">
        <f t="shared" ref="L962" si="1087">IFERROR(L939/L907,"-")</f>
        <v>-</v>
      </c>
      <c r="N962" s="1"/>
    </row>
    <row r="963" spans="2:14" x14ac:dyDescent="0.35">
      <c r="B963" s="5" t="str">
        <f t="shared" si="1074"/>
        <v>SPS1</v>
      </c>
      <c r="C963" s="5" t="str">
        <f t="shared" si="1075"/>
        <v>CH</v>
      </c>
      <c r="D963" t="s">
        <v>704</v>
      </c>
      <c r="E963" t="s">
        <v>240</v>
      </c>
      <c r="F963" s="4">
        <f t="shared" si="1086"/>
        <v>0.9900000000000001</v>
      </c>
      <c r="G963" s="4">
        <f t="shared" si="1086"/>
        <v>0.99</v>
      </c>
      <c r="H963" s="4" t="str">
        <f t="shared" si="1086"/>
        <v>-</v>
      </c>
      <c r="I963" s="4" t="str">
        <f t="shared" si="1086"/>
        <v>-</v>
      </c>
      <c r="J963" s="4" t="str">
        <f t="shared" si="1086"/>
        <v>-</v>
      </c>
      <c r="K963" s="4" t="str">
        <f t="shared" si="1086"/>
        <v>-</v>
      </c>
      <c r="L963" s="4" t="str">
        <f t="shared" ref="L963" si="1088">IFERROR(L940/L908,"-")</f>
        <v>-</v>
      </c>
      <c r="N963" s="1"/>
    </row>
    <row r="964" spans="2:14" x14ac:dyDescent="0.35">
      <c r="B964" s="5" t="str">
        <f t="shared" si="1074"/>
        <v>SPS1</v>
      </c>
      <c r="C964" s="5" t="str">
        <f t="shared" si="1075"/>
        <v>CH</v>
      </c>
      <c r="D964" t="s">
        <v>705</v>
      </c>
      <c r="E964" t="s">
        <v>240</v>
      </c>
      <c r="F964" s="4" t="str">
        <f t="shared" si="1086"/>
        <v>-</v>
      </c>
      <c r="G964" s="4" t="str">
        <f t="shared" si="1086"/>
        <v>-</v>
      </c>
      <c r="H964" s="4" t="str">
        <f t="shared" si="1086"/>
        <v>-</v>
      </c>
      <c r="I964" s="4" t="str">
        <f t="shared" si="1086"/>
        <v>-</v>
      </c>
      <c r="J964" s="4" t="str">
        <f t="shared" si="1086"/>
        <v>-</v>
      </c>
      <c r="K964" s="4" t="str">
        <f t="shared" si="1086"/>
        <v>-</v>
      </c>
      <c r="L964" s="4" t="str">
        <f t="shared" ref="L964" si="1089">IFERROR(L941/L909,"-")</f>
        <v>-</v>
      </c>
      <c r="N964" s="1"/>
    </row>
    <row r="965" spans="2:14" x14ac:dyDescent="0.35">
      <c r="B965" s="5" t="str">
        <f t="shared" si="1074"/>
        <v>SPS1</v>
      </c>
      <c r="C965" s="5" t="str">
        <f t="shared" si="1075"/>
        <v>CH</v>
      </c>
      <c r="D965" t="s">
        <v>706</v>
      </c>
      <c r="E965" t="s">
        <v>240</v>
      </c>
      <c r="F965" s="4" t="str">
        <f t="shared" si="1086"/>
        <v>-</v>
      </c>
      <c r="G965" s="4" t="str">
        <f t="shared" si="1086"/>
        <v>-</v>
      </c>
      <c r="H965" s="4" t="str">
        <f t="shared" si="1086"/>
        <v>-</v>
      </c>
      <c r="I965" s="4" t="str">
        <f t="shared" si="1086"/>
        <v>-</v>
      </c>
      <c r="J965" s="4" t="str">
        <f t="shared" si="1086"/>
        <v>-</v>
      </c>
      <c r="K965" s="4" t="str">
        <f t="shared" si="1086"/>
        <v>-</v>
      </c>
      <c r="L965" s="4" t="str">
        <f t="shared" ref="L965" si="1090">IFERROR(L942/L910,"-")</f>
        <v>-</v>
      </c>
      <c r="N965" s="1"/>
    </row>
    <row r="966" spans="2:14" x14ac:dyDescent="0.35">
      <c r="B966" s="5" t="str">
        <f t="shared" si="1074"/>
        <v>SPS1</v>
      </c>
      <c r="C966" s="5" t="str">
        <f t="shared" si="1075"/>
        <v>CH</v>
      </c>
      <c r="D966" t="s">
        <v>707</v>
      </c>
      <c r="E966" t="s">
        <v>240</v>
      </c>
      <c r="F966" s="4" t="str">
        <f t="shared" si="1086"/>
        <v>-</v>
      </c>
      <c r="G966" s="4" t="str">
        <f t="shared" si="1086"/>
        <v>-</v>
      </c>
      <c r="H966" s="4" t="str">
        <f t="shared" si="1086"/>
        <v>-</v>
      </c>
      <c r="I966" s="4">
        <f t="shared" si="1086"/>
        <v>0</v>
      </c>
      <c r="J966" s="4">
        <f t="shared" si="1086"/>
        <v>0</v>
      </c>
      <c r="K966" s="4">
        <f t="shared" si="1086"/>
        <v>0</v>
      </c>
      <c r="L966" s="4">
        <f t="shared" ref="L966" si="1091">IFERROR(L943/L911,"-")</f>
        <v>0</v>
      </c>
      <c r="N966" s="1"/>
    </row>
    <row r="967" spans="2:14" x14ac:dyDescent="0.35">
      <c r="B967" s="5" t="str">
        <f t="shared" si="1074"/>
        <v>SPS1</v>
      </c>
      <c r="C967" s="5" t="str">
        <f t="shared" si="1075"/>
        <v>CH</v>
      </c>
      <c r="D967" t="s">
        <v>995</v>
      </c>
      <c r="E967" t="s">
        <v>240</v>
      </c>
      <c r="F967" s="4">
        <f t="shared" si="1086"/>
        <v>0.98999999999999932</v>
      </c>
      <c r="G967" s="4">
        <f t="shared" si="1086"/>
        <v>0.99000000000000132</v>
      </c>
      <c r="H967" s="4">
        <f t="shared" si="1086"/>
        <v>0.82116860771942446</v>
      </c>
      <c r="I967" s="4">
        <f t="shared" si="1086"/>
        <v>0.82467636366871544</v>
      </c>
      <c r="J967" s="4">
        <f t="shared" si="1086"/>
        <v>0.82467636366871522</v>
      </c>
      <c r="K967" s="4">
        <f t="shared" si="1086"/>
        <v>0.824676363668715</v>
      </c>
      <c r="L967" s="4">
        <f t="shared" ref="L967" si="1092">IFERROR(L944/L912,"-")</f>
        <v>0.82467636366871477</v>
      </c>
      <c r="N967" s="1"/>
    </row>
    <row r="968" spans="2:14" x14ac:dyDescent="0.35">
      <c r="B968" s="5" t="str">
        <f t="shared" si="1074"/>
        <v>SPS1</v>
      </c>
      <c r="C968" s="5" t="str">
        <f t="shared" si="1075"/>
        <v>CH</v>
      </c>
      <c r="D968" t="s">
        <v>996</v>
      </c>
      <c r="E968" t="s">
        <v>240</v>
      </c>
      <c r="F968" s="4">
        <f t="shared" ref="F968:K968" si="1093">IFERROR(F946/F913,"-")</f>
        <v>0.71999999999999953</v>
      </c>
      <c r="G968" s="4">
        <f t="shared" si="1093"/>
        <v>0.72</v>
      </c>
      <c r="H968" s="4">
        <f t="shared" si="1093"/>
        <v>0.67487159624540716</v>
      </c>
      <c r="I968" s="4">
        <f t="shared" si="1093"/>
        <v>0.67753249886961553</v>
      </c>
      <c r="J968" s="4">
        <f t="shared" si="1093"/>
        <v>0.67753249886961642</v>
      </c>
      <c r="K968" s="4">
        <f t="shared" si="1093"/>
        <v>0.68059197571760066</v>
      </c>
      <c r="L968" s="4">
        <f t="shared" ref="L968" si="1094">IFERROR(L946/L913,"-")</f>
        <v>0.70326964151004134</v>
      </c>
      <c r="N968" s="1"/>
    </row>
    <row r="969" spans="2:14" x14ac:dyDescent="0.35">
      <c r="B969" s="5" t="str">
        <f t="shared" si="1074"/>
        <v>SPS1</v>
      </c>
      <c r="C969" s="5" t="str">
        <f t="shared" si="1075"/>
        <v>CH</v>
      </c>
      <c r="D969" t="s">
        <v>997</v>
      </c>
      <c r="E969" t="s">
        <v>240</v>
      </c>
      <c r="F969" s="4">
        <f t="shared" ref="F969:K969" si="1095">IFERROR(F948/F916,"-")</f>
        <v>0.89999999999999991</v>
      </c>
      <c r="G969" s="4">
        <f t="shared" si="1095"/>
        <v>0.90000000000000024</v>
      </c>
      <c r="H969" s="4">
        <f t="shared" si="1095"/>
        <v>0.65847984926263714</v>
      </c>
      <c r="I969" s="4">
        <f t="shared" si="1095"/>
        <v>0.66129614188506192</v>
      </c>
      <c r="J969" s="4">
        <f t="shared" si="1095"/>
        <v>0.66826054449043948</v>
      </c>
      <c r="K969" s="4">
        <f t="shared" si="1095"/>
        <v>0.67829261708181698</v>
      </c>
      <c r="L969" s="4">
        <f t="shared" ref="L969" si="1096">IFERROR(L948/L916,"-")</f>
        <v>0.68180456742055318</v>
      </c>
      <c r="N969" s="1"/>
    </row>
    <row r="970" spans="2:14" x14ac:dyDescent="0.35">
      <c r="B970" s="5" t="str">
        <f t="shared" si="1074"/>
        <v>SPS1</v>
      </c>
      <c r="C970" s="5" t="str">
        <f t="shared" si="1075"/>
        <v>CH</v>
      </c>
      <c r="D970" t="s">
        <v>998</v>
      </c>
      <c r="E970" t="s">
        <v>240</v>
      </c>
      <c r="F970" s="4">
        <f t="shared" ref="F970:K970" si="1097">IFERROR(F950/F918,"-")</f>
        <v>1</v>
      </c>
      <c r="G970" s="4">
        <f t="shared" si="1097"/>
        <v>1</v>
      </c>
      <c r="H970" s="4">
        <f t="shared" si="1097"/>
        <v>1</v>
      </c>
      <c r="I970" s="4">
        <f t="shared" si="1097"/>
        <v>1</v>
      </c>
      <c r="J970" s="4">
        <f t="shared" si="1097"/>
        <v>1</v>
      </c>
      <c r="K970" s="4">
        <f t="shared" si="1097"/>
        <v>1</v>
      </c>
      <c r="L970" s="4">
        <f t="shared" ref="L970" si="1098">IFERROR(L950/L918,"-")</f>
        <v>1</v>
      </c>
      <c r="N970" s="1"/>
    </row>
    <row r="971" spans="2:14" x14ac:dyDescent="0.35">
      <c r="B971" s="5" t="str">
        <f t="shared" si="1074"/>
        <v>SPS1</v>
      </c>
      <c r="C971" s="5" t="str">
        <f t="shared" si="1075"/>
        <v>CH</v>
      </c>
      <c r="D971" t="s">
        <v>999</v>
      </c>
      <c r="E971" t="s">
        <v>240</v>
      </c>
      <c r="F971" s="4" t="str">
        <f t="shared" ref="F971:K971" si="1099">IFERROR(F952/F922,"-")</f>
        <v>-</v>
      </c>
      <c r="G971" s="4" t="str">
        <f t="shared" si="1099"/>
        <v>-</v>
      </c>
      <c r="H971" s="4" t="str">
        <f t="shared" si="1099"/>
        <v>-</v>
      </c>
      <c r="I971" s="4">
        <f t="shared" si="1099"/>
        <v>0</v>
      </c>
      <c r="J971" s="4">
        <f t="shared" si="1099"/>
        <v>0</v>
      </c>
      <c r="K971" s="4">
        <f t="shared" si="1099"/>
        <v>0</v>
      </c>
      <c r="L971" s="4">
        <f t="shared" ref="L971" si="1100">IFERROR(L952/L922,"-")</f>
        <v>0</v>
      </c>
      <c r="N971" s="1"/>
    </row>
    <row r="972" spans="2:14" x14ac:dyDescent="0.3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219.63038989360444</v>
      </c>
      <c r="G972" s="3">
        <f>[1]Residential!C$26</f>
        <v>218.95224995715466</v>
      </c>
      <c r="H972" s="3">
        <f>[1]Residential!D$26</f>
        <v>219.68116153295054</v>
      </c>
      <c r="I972" s="3">
        <f>[1]Residential!E$26</f>
        <v>200.42837558919013</v>
      </c>
      <c r="J972" s="3">
        <f>[2]Residential!F$26</f>
        <v>190.67208449627424</v>
      </c>
      <c r="K972" s="3">
        <f>[2]Residential!G$26</f>
        <v>181.89066268049254</v>
      </c>
      <c r="L972" s="3">
        <f>[2]Residential!H$26</f>
        <v>164.22534471544674</v>
      </c>
      <c r="N972" s="1"/>
    </row>
    <row r="973" spans="2:14" x14ac:dyDescent="0.3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69.47152815723193</v>
      </c>
      <c r="G973" s="1">
        <f>[1]Residential!C$15</f>
        <v>70.027173866662793</v>
      </c>
      <c r="H973" s="1">
        <f>[1]Residential!D$15</f>
        <v>69.810715902254827</v>
      </c>
      <c r="I973" s="1">
        <f>[1]Residential!E$15</f>
        <v>67.72791955081351</v>
      </c>
      <c r="J973" s="1">
        <f>[2]Residential!F$15</f>
        <v>67.873429457080761</v>
      </c>
      <c r="K973" s="1">
        <f>[2]Residential!G$15</f>
        <v>67.905763552450253</v>
      </c>
      <c r="L973" s="1">
        <f>[2]Residential!H$15</f>
        <v>62.866157734121785</v>
      </c>
      <c r="N973" s="1"/>
    </row>
    <row r="974" spans="2:14" x14ac:dyDescent="0.3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15.334068507343424</v>
      </c>
      <c r="G974" s="1">
        <f t="shared" ref="G974:K974" si="1101">SUM(G975:G976)</f>
        <v>15.080545233078304</v>
      </c>
      <c r="H974" s="1">
        <f t="shared" si="1101"/>
        <v>11.616144837946356</v>
      </c>
      <c r="I974" s="1">
        <f t="shared" si="1101"/>
        <v>13.106523137016126</v>
      </c>
      <c r="J974" s="1">
        <f t="shared" si="1101"/>
        <v>13.890247510935525</v>
      </c>
      <c r="K974" s="1">
        <f t="shared" si="1101"/>
        <v>14.923510564205836</v>
      </c>
      <c r="L974" s="1">
        <f t="shared" ref="L974" si="1102">SUM(L975:L976)</f>
        <v>13.472529713056915</v>
      </c>
      <c r="N974" s="1"/>
    </row>
    <row r="975" spans="2:14" x14ac:dyDescent="0.35">
      <c r="B975" s="5" t="str">
        <f>B974</f>
        <v>SPS1</v>
      </c>
      <c r="C975" s="5" t="str">
        <f t="shared" ref="C975" si="1103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9.3774394628635314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8.2904275599261368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0.90374634333638082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0.22914972928692831</v>
      </c>
      <c r="J975" s="1" cm="1">
        <f t="array" ref="J975">SUMPRODUCT(([2]OUT_FinalEnergyCons!$B$4:$B$10000="Var_Fin")*1,ISNUMBER(SEARCH("R*_ELC",[2]OUT_FinalEnergyCons!$C$4:$C$10000))*1, (ISNUMBER(SEARCH("RH*-SHELCBR",[2]OUT_FinalEnergyCons!$A$4:$A$10000)))*1,[2]OUT_FinalEnergyCons!H$4:H$10000)</f>
        <v>3.2309340463940892E-2</v>
      </c>
      <c r="K975" s="1" cm="1">
        <f t="array" ref="K975">SUMPRODUCT(([2]OUT_FinalEnergyCons!$B$4:$B$10000="Var_Fin")*1,ISNUMBER(SEARCH("R*_ELC",[2]OUT_FinalEnergyCons!$C$4:$C$10000))*1, (ISNUMBER(SEARCH("RH*-SHELCBR",[2]OUT_FinalEnergyCons!$A$4:$A$10000)))*1,[2]OUT_FinalEnergyCons!I$4:I$10000)</f>
        <v>2.0928670347377505E-2</v>
      </c>
      <c r="L975" s="1" cm="1">
        <f t="array" ref="L975">SUMPRODUCT(([2]OUT_FinalEnergyCons!$B$4:$B$10000="Var_Fin")*1,ISNUMBER(SEARCH("R*_ELC",[2]OUT_FinalEnergyCons!$C$4:$C$10000))*1, (ISNUMBER(SEARCH("RH*-SHELCBR",[2]OUT_FinalEnergyCons!$A$4:$A$10000)))*1,[2]OUT_FinalEnergyCons!J$4:J$10000)</f>
        <v>1.7713637722498798E-2</v>
      </c>
      <c r="N975" s="1"/>
    </row>
    <row r="976" spans="2:14" x14ac:dyDescent="0.35">
      <c r="B976" s="5" t="str">
        <f t="shared" ref="B976:B980" si="1104">B975</f>
        <v>SPS1</v>
      </c>
      <c r="C976" s="5" t="str">
        <f t="shared" ref="C976:C980" si="1105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5.9566290444798931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6.7901176731521682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10.712398494609975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12.877373407729197</v>
      </c>
      <c r="J976" s="1" cm="1">
        <f t="array" ref="J976">SUMPRODUCT(([2]OUT_FinalEnergyCons!$B$4:$B$10000="Var_Fin")*1,ISNUMBER(SEARCH("R*_ELC",[2]OUT_FinalEnergyCons!$C$4:$C$10000))*1, (ISNUMBER(SEARCH("RH*-SHELCHP",[2]OUT_FinalEnergyCons!$A$4:$A$10000)))*1,[2]OUT_FinalEnergyCons!H$4:H$10000)</f>
        <v>13.857938170471584</v>
      </c>
      <c r="K976" s="1" cm="1">
        <f t="array" ref="K976">SUMPRODUCT(([2]OUT_FinalEnergyCons!$B$4:$B$10000="Var_Fin")*1,ISNUMBER(SEARCH("R*_ELC",[2]OUT_FinalEnergyCons!$C$4:$C$10000))*1, (ISNUMBER(SEARCH("RH*-SHELCHP",[2]OUT_FinalEnergyCons!$A$4:$A$10000)))*1,[2]OUT_FinalEnergyCons!I$4:I$10000)</f>
        <v>14.902581893858459</v>
      </c>
      <c r="L976" s="1" cm="1">
        <f t="array" ref="L976">SUMPRODUCT(([2]OUT_FinalEnergyCons!$B$4:$B$10000="Var_Fin")*1,ISNUMBER(SEARCH("R*_ELC",[2]OUT_FinalEnergyCons!$C$4:$C$10000))*1, (ISNUMBER(SEARCH("RH*-SHELCHP",[2]OUT_FinalEnergyCons!$A$4:$A$10000)))*1,[2]OUT_FinalEnergyCons!J$4:J$10000)</f>
        <v>13.454816075334415</v>
      </c>
      <c r="N976" s="1"/>
    </row>
    <row r="977" spans="2:14" x14ac:dyDescent="0.35">
      <c r="B977" s="5" t="str">
        <f t="shared" si="1104"/>
        <v>SPS1</v>
      </c>
      <c r="C977" s="5" t="str">
        <f t="shared" si="1105"/>
        <v>CH</v>
      </c>
      <c r="D977" t="s">
        <v>1002</v>
      </c>
      <c r="E977" t="s">
        <v>8</v>
      </c>
      <c r="F977" s="1">
        <f>SUM(F978:F979)</f>
        <v>9.5605052033487077</v>
      </c>
      <c r="G977" s="1">
        <f t="shared" ref="G977:K977" si="1106">SUM(G978:G979)</f>
        <v>10.085416610964417</v>
      </c>
      <c r="H977" s="1">
        <f t="shared" si="1106"/>
        <v>8.6711367125047367</v>
      </c>
      <c r="I977" s="1">
        <f t="shared" si="1106"/>
        <v>7.7012756178446233</v>
      </c>
      <c r="J977" s="1">
        <f t="shared" si="1106"/>
        <v>8.0801858546890131</v>
      </c>
      <c r="K977" s="1">
        <f t="shared" si="1106"/>
        <v>8.5872855885939394</v>
      </c>
      <c r="L977" s="1">
        <f t="shared" ref="L977" si="1107">SUM(L978:L979)</f>
        <v>8.5982193877003841</v>
      </c>
      <c r="N977" s="1"/>
    </row>
    <row r="978" spans="2:14" x14ac:dyDescent="0.35">
      <c r="B978" s="5" t="str">
        <f t="shared" si="1104"/>
        <v>SPS1</v>
      </c>
      <c r="C978" s="5" t="str">
        <f t="shared" si="1105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8.4114432546920828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8.7989361459092343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6.0594201068162699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4.1402415107855282</v>
      </c>
      <c r="J978" s="1" cm="1">
        <f t="array" ref="J978">SUMPRODUCT(([2]OUT_FinalEnergyCons!$B$4:$B$10000="Var_Fin")*1,ISNUMBER(SEARCH("R*_ELC",[2]OUT_FinalEnergyCons!$C$4:$C$10000))*1, (ISNUMBER(SEARCH("RH*-wHELCBR",[2]OUT_FinalEnergyCons!$A$4:$A$10000)))*1,[2]OUT_FinalEnergyCons!H$4:H$10000)</f>
        <v>3.748429048892675</v>
      </c>
      <c r="K978" s="1" cm="1">
        <f t="array" ref="K978">SUMPRODUCT(([2]OUT_FinalEnergyCons!$B$4:$B$10000="Var_Fin")*1,ISNUMBER(SEARCH("R*_ELC",[2]OUT_FinalEnergyCons!$C$4:$C$10000))*1, (ISNUMBER(SEARCH("RH*-wHELCBR",[2]OUT_FinalEnergyCons!$A$4:$A$10000)))*1,[2]OUT_FinalEnergyCons!I$4:I$10000)</f>
        <v>3.4107559381551122</v>
      </c>
      <c r="L978" s="1" cm="1">
        <f t="array" ref="L978">SUMPRODUCT(([2]OUT_FinalEnergyCons!$B$4:$B$10000="Var_Fin")*1,ISNUMBER(SEARCH("R*_ELC",[2]OUT_FinalEnergyCons!$C$4:$C$10000))*1, (ISNUMBER(SEARCH("RH*-wHELCBR",[2]OUT_FinalEnergyCons!$A$4:$A$10000)))*1,[2]OUT_FinalEnergyCons!J$4:J$10000)</f>
        <v>2.9944272283150104</v>
      </c>
      <c r="N978" s="1"/>
    </row>
    <row r="979" spans="2:14" x14ac:dyDescent="0.35">
      <c r="B979" s="5" t="str">
        <f t="shared" si="1104"/>
        <v>SPS1</v>
      </c>
      <c r="C979" s="5" t="str">
        <f t="shared" si="1105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1.1490619486566245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1.2864804650551829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2.611716605688466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3.5610341070590952</v>
      </c>
      <c r="J979" s="1" cm="1">
        <f t="array" ref="J979">SUMPRODUCT(([2]OUT_FinalEnergyCons!$B$4:$B$10000="Var_Fin")*1,ISNUMBER(SEARCH("R*_ELC",[2]OUT_FinalEnergyCons!$C$4:$C$10000))*1, (ISNUMBER(SEARCH("RH*-wHELCHP",[2]OUT_FinalEnergyCons!$A$4:$A$10000)))*1,[2]OUT_FinalEnergyCons!H$4:H$10000)</f>
        <v>4.3317568057963376</v>
      </c>
      <c r="K979" s="1" cm="1">
        <f t="array" ref="K979">SUMPRODUCT(([2]OUT_FinalEnergyCons!$B$4:$B$10000="Var_Fin")*1,ISNUMBER(SEARCH("R*_ELC",[2]OUT_FinalEnergyCons!$C$4:$C$10000))*1, (ISNUMBER(SEARCH("RH*-wHELCHP",[2]OUT_FinalEnergyCons!$A$4:$A$10000)))*1,[2]OUT_FinalEnergyCons!I$4:I$10000)</f>
        <v>5.1765296504388276</v>
      </c>
      <c r="L979" s="1" cm="1">
        <f t="array" ref="L979">SUMPRODUCT(([2]OUT_FinalEnergyCons!$B$4:$B$10000="Var_Fin")*1,ISNUMBER(SEARCH("R*_ELC",[2]OUT_FinalEnergyCons!$C$4:$C$10000))*1, (ISNUMBER(SEARCH("RH*-wHELCHP",[2]OUT_FinalEnergyCons!$A$4:$A$10000)))*1,[2]OUT_FinalEnergyCons!J$4:J$10000)</f>
        <v>5.6037921593853737</v>
      </c>
      <c r="N979" s="1"/>
    </row>
    <row r="980" spans="2:14" x14ac:dyDescent="0.35">
      <c r="B980" s="5" t="str">
        <f t="shared" si="1104"/>
        <v>SPS1</v>
      </c>
      <c r="C980" s="5" t="str">
        <f t="shared" si="1105"/>
        <v>CH</v>
      </c>
      <c r="D980" t="s">
        <v>1003</v>
      </c>
      <c r="E980" t="s">
        <v>8</v>
      </c>
      <c r="F980" s="1">
        <f>[1]Residential!B$3-([1]Residential!B$10-[1]Residential!B$244)</f>
        <v>44.576954446539794</v>
      </c>
      <c r="G980" s="1">
        <f>[1]Residential!C$3-([1]Residential!C$10-[1]Residential!C$244)</f>
        <v>44.86121202262008</v>
      </c>
      <c r="H980" s="1">
        <f>[1]Residential!D$3-([1]Residential!D$10-[1]Residential!D$244)</f>
        <v>49.523434351803729</v>
      </c>
      <c r="I980" s="1">
        <f>[1]Residential!E$3-([1]Residential!E$10-[1]Residential!E$244)</f>
        <v>46.920120795952762</v>
      </c>
      <c r="J980" s="1">
        <f>[2]Residential!F$3-([2]Residential!F$10-[2]Residential!F$244)</f>
        <v>45.902996091456217</v>
      </c>
      <c r="K980" s="1">
        <f>[2]Residential!G$3-([2]Residential!G$10-[2]Residential!G$244)</f>
        <v>44.394967399650483</v>
      </c>
      <c r="L980" s="1">
        <f>[2]Residential!H$3-([2]Residential!H$10-[2]Residential!H$244)</f>
        <v>40.795408633364488</v>
      </c>
      <c r="N980" s="1"/>
    </row>
    <row r="981" spans="2:14" x14ac:dyDescent="0.3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60.232445624915954</v>
      </c>
      <c r="G981" s="1">
        <f>SUM([1]Residential!C$16:C$17)</f>
        <v>51.320629800815716</v>
      </c>
      <c r="H981" s="1">
        <f>SUM([1]Residential!D$16:D$17)</f>
        <v>49.446888836138271</v>
      </c>
      <c r="I981" s="1">
        <f>SUM([1]Residential!E$16:E$17)</f>
        <v>24.337691069186448</v>
      </c>
      <c r="J981" s="1">
        <f>SUM([2]Residential!F$16:F$17)</f>
        <v>15.605894888362144</v>
      </c>
      <c r="K981" s="1">
        <f>SUM([2]Residential!G$16:G$17)</f>
        <v>5.9873656953510848</v>
      </c>
      <c r="L981" s="1">
        <f>SUM([2]Residential!H$16:H$17)</f>
        <v>0.57737569018640489</v>
      </c>
      <c r="N981" s="1"/>
    </row>
    <row r="982" spans="2:14" x14ac:dyDescent="0.35">
      <c r="B982" s="5" t="str">
        <f t="shared" ref="B982:B993" si="1108">B981</f>
        <v>SPS1</v>
      </c>
      <c r="C982" s="5" t="str">
        <f t="shared" ref="C982:C993" si="1109">C981</f>
        <v>CH</v>
      </c>
      <c r="D982" t="s">
        <v>1004</v>
      </c>
      <c r="E982" t="s">
        <v>8</v>
      </c>
      <c r="F982" s="1">
        <f>[1]Residential!B$16</f>
        <v>60.232445624915954</v>
      </c>
      <c r="G982" s="1">
        <f>[1]Residential!C$16</f>
        <v>51.320629800815716</v>
      </c>
      <c r="H982" s="1">
        <f>[1]Residential!D$16</f>
        <v>49.44595041940957</v>
      </c>
      <c r="I982" s="1">
        <f>[1]Residential!E$16</f>
        <v>24.330288031316716</v>
      </c>
      <c r="J982" s="1">
        <f>[2]Residential!F$16</f>
        <v>15.6053647888124</v>
      </c>
      <c r="K982" s="1">
        <f>[2]Residential!G$16</f>
        <v>5.9870109760499712</v>
      </c>
      <c r="L982" s="1">
        <f>[2]Residential!H$16</f>
        <v>5.1024805550446646E-6</v>
      </c>
      <c r="N982" s="1"/>
    </row>
    <row r="983" spans="2:14" x14ac:dyDescent="0.35">
      <c r="B983" s="5" t="str">
        <f t="shared" si="1108"/>
        <v>SPS1</v>
      </c>
      <c r="C983" s="5" t="str">
        <f t="shared" si="1109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9.3841672870306422E-4</v>
      </c>
      <c r="I983" s="1">
        <f>[1]Residential!E$17</f>
        <v>7.4030378697324548E-3</v>
      </c>
      <c r="J983" s="1">
        <f>[2]Residential!F$17</f>
        <v>5.3009954974458375E-4</v>
      </c>
      <c r="K983" s="1">
        <f>[2]Residential!G$17</f>
        <v>3.547193011138348E-4</v>
      </c>
      <c r="L983" s="1">
        <f>[2]Residential!H$17</f>
        <v>0.57737058770584981</v>
      </c>
      <c r="N983" s="1"/>
    </row>
    <row r="984" spans="2:14" x14ac:dyDescent="0.35">
      <c r="B984" s="5" t="str">
        <f t="shared" si="1108"/>
        <v>SPS1</v>
      </c>
      <c r="C984" s="5" t="str">
        <f t="shared" si="1109"/>
        <v>CH</v>
      </c>
      <c r="D984" t="s">
        <v>1006</v>
      </c>
      <c r="E984" t="s">
        <v>8</v>
      </c>
      <c r="F984" s="1">
        <f>SUM(F986,F988)</f>
        <v>50.371794362093439</v>
      </c>
      <c r="G984" s="1">
        <f t="shared" ref="G984:K984" si="1110">SUM(G986,G988)</f>
        <v>43.127789614732549</v>
      </c>
      <c r="H984" s="1">
        <f t="shared" si="1110"/>
        <v>40.515797971487537</v>
      </c>
      <c r="I984" s="1">
        <f t="shared" si="1110"/>
        <v>20.390622859052478</v>
      </c>
      <c r="J984" s="1">
        <f t="shared" si="1110"/>
        <v>12.962564894870901</v>
      </c>
      <c r="K984" s="1">
        <f t="shared" si="1110"/>
        <v>4.676614976934923</v>
      </c>
      <c r="L984" s="1">
        <f t="shared" ref="L984" si="1111">SUM(L986,L988)</f>
        <v>0.47896867318001335</v>
      </c>
      <c r="N984" s="1"/>
    </row>
    <row r="985" spans="2:14" x14ac:dyDescent="0.35">
      <c r="B985" s="5" t="str">
        <f t="shared" si="1108"/>
        <v>SPS1</v>
      </c>
      <c r="C985" s="5" t="str">
        <f t="shared" si="1109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50.371794362093439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43.127789614732549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40.515797971487537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20.390622859052478</v>
      </c>
      <c r="J985" s="1" cm="1">
        <f t="array" ref="J985">SUMPRODUCT(([2]OUT_FinalEnergyCons!$B$4:$B$10000="Var_Fin")*1, ([2]OUT_FinalEnergyCons!$C$4:$C$10000="RLFO")*1,(ISNUMBER(SEARCH("RH*-SHLFOBR",[2]OUT_FinalEnergyCons!$A$4:$A$10000)))*1,[2]OUT_FinalEnergyCons!H$4:H$10000)</f>
        <v>12.962564894870901</v>
      </c>
      <c r="K985" s="1" cm="1">
        <f t="array" ref="K985">SUMPRODUCT(([2]OUT_FinalEnergyCons!$B$4:$B$10000="Var_Fin")*1, ([2]OUT_FinalEnergyCons!$C$4:$C$10000="RLFO")*1,(ISNUMBER(SEARCH("RH*-SHLFOBR",[2]OUT_FinalEnergyCons!$A$4:$A$10000)))*1,[2]OUT_FinalEnergyCons!I$4:I$10000)</f>
        <v>4.676614976934923</v>
      </c>
      <c r="L985" s="1" cm="1">
        <f t="array" ref="L985">SUMPRODUCT(([2]OUT_FinalEnergyCons!$B$4:$B$10000="Var_Fin")*1, ([2]OUT_FinalEnergyCons!$C$4:$C$10000="RLFO")*1,(ISNUMBER(SEARCH("RH*-SHLFOBR",[2]OUT_FinalEnergyCons!$A$4:$A$10000)))*1,[2]OUT_FinalEnergyCons!J$4:J$10000)</f>
        <v>0.47896867318001335</v>
      </c>
      <c r="N985" s="1"/>
    </row>
    <row r="986" spans="2:14" x14ac:dyDescent="0.35">
      <c r="B986" s="5" t="str">
        <f t="shared" si="1108"/>
        <v>SPS1</v>
      </c>
      <c r="C986" s="5" t="str">
        <f t="shared" si="1109"/>
        <v>CH</v>
      </c>
      <c r="D986" t="s">
        <v>1007</v>
      </c>
      <c r="E986" t="s">
        <v>8</v>
      </c>
      <c r="F986" s="1">
        <f>F987</f>
        <v>50.371794362093439</v>
      </c>
      <c r="G986" s="1">
        <f t="shared" ref="G986:L986" si="1112">G987</f>
        <v>43.127789614732549</v>
      </c>
      <c r="H986" s="1">
        <f t="shared" si="1112"/>
        <v>40.515029051470769</v>
      </c>
      <c r="I986" s="1">
        <f t="shared" si="1112"/>
        <v>20.384420440228777</v>
      </c>
      <c r="J986" s="1">
        <f t="shared" si="1112"/>
        <v>12.962124583702368</v>
      </c>
      <c r="K986" s="1">
        <f t="shared" si="1112"/>
        <v>4.6763379125829854</v>
      </c>
      <c r="L986" s="1">
        <f t="shared" si="1112"/>
        <v>4.2328216842443477E-6</v>
      </c>
      <c r="N986" s="1"/>
    </row>
    <row r="987" spans="2:14" x14ac:dyDescent="0.35">
      <c r="B987" s="5" t="str">
        <f t="shared" si="1108"/>
        <v>SPS1</v>
      </c>
      <c r="C987" s="5" t="str">
        <f t="shared" si="1109"/>
        <v>CH</v>
      </c>
      <c r="D987" t="s">
        <v>709</v>
      </c>
      <c r="E987" t="s">
        <v>8</v>
      </c>
      <c r="F987" s="1">
        <f>F985*IFERROR(F982/F981,0)</f>
        <v>50.371794362093439</v>
      </c>
      <c r="G987" s="1">
        <f t="shared" ref="G987:K987" si="1113">G985*IFERROR(G982/G981,0)</f>
        <v>43.127789614732549</v>
      </c>
      <c r="H987" s="1">
        <f t="shared" si="1113"/>
        <v>40.515029051470769</v>
      </c>
      <c r="I987" s="1">
        <f t="shared" si="1113"/>
        <v>20.384420440228777</v>
      </c>
      <c r="J987" s="1">
        <f t="shared" si="1113"/>
        <v>12.962124583702368</v>
      </c>
      <c r="K987" s="1">
        <f t="shared" si="1113"/>
        <v>4.6763379125829854</v>
      </c>
      <c r="L987" s="1">
        <f t="shared" ref="L987" si="1114">L985*IFERROR(L982/L981,0)</f>
        <v>4.2328216842443477E-6</v>
      </c>
      <c r="N987" s="1"/>
    </row>
    <row r="988" spans="2:14" x14ac:dyDescent="0.35">
      <c r="B988" s="5" t="str">
        <f t="shared" si="1108"/>
        <v>SPS1</v>
      </c>
      <c r="C988" s="5" t="str">
        <f t="shared" si="1109"/>
        <v>CH</v>
      </c>
      <c r="D988" t="s">
        <v>1008</v>
      </c>
      <c r="E988" t="s">
        <v>8</v>
      </c>
      <c r="F988" s="1">
        <f>F989</f>
        <v>0</v>
      </c>
      <c r="G988" s="1">
        <f t="shared" ref="G988:L988" si="1115">G989</f>
        <v>0</v>
      </c>
      <c r="H988" s="1">
        <f t="shared" si="1115"/>
        <v>7.6892001676753807E-4</v>
      </c>
      <c r="I988" s="1">
        <f t="shared" si="1115"/>
        <v>6.2024188237010947E-3</v>
      </c>
      <c r="J988" s="1">
        <f t="shared" si="1115"/>
        <v>4.4031116853382457E-4</v>
      </c>
      <c r="K988" s="1">
        <f t="shared" si="1115"/>
        <v>2.7706435193763923E-4</v>
      </c>
      <c r="L988" s="1">
        <f t="shared" si="1115"/>
        <v>0.47896444035832908</v>
      </c>
      <c r="N988" s="1"/>
    </row>
    <row r="989" spans="2:14" x14ac:dyDescent="0.35">
      <c r="B989" s="5" t="str">
        <f t="shared" si="1108"/>
        <v>SPS1</v>
      </c>
      <c r="C989" s="5" t="str">
        <f t="shared" si="1109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16">G985-G987</f>
        <v>0</v>
      </c>
      <c r="H989" s="1">
        <f t="shared" si="1116"/>
        <v>7.6892001676753807E-4</v>
      </c>
      <c r="I989" s="1">
        <f t="shared" si="1116"/>
        <v>6.2024188237010947E-3</v>
      </c>
      <c r="J989" s="1">
        <f t="shared" si="1116"/>
        <v>4.4031116853382457E-4</v>
      </c>
      <c r="K989" s="1">
        <f t="shared" si="1116"/>
        <v>2.7706435193763923E-4</v>
      </c>
      <c r="L989" s="1">
        <f t="shared" ref="L989" si="1117">L985-L987</f>
        <v>0.47896444035832908</v>
      </c>
      <c r="N989" s="1"/>
    </row>
    <row r="990" spans="2:14" x14ac:dyDescent="0.35">
      <c r="B990" s="5" t="str">
        <f t="shared" si="1108"/>
        <v>SPS1</v>
      </c>
      <c r="C990" s="5" t="str">
        <f t="shared" si="1109"/>
        <v>CH</v>
      </c>
      <c r="D990" t="s">
        <v>1009</v>
      </c>
      <c r="E990" t="s">
        <v>8</v>
      </c>
      <c r="F990" s="1">
        <f>F991</f>
        <v>9.8606512628225165</v>
      </c>
      <c r="G990" s="1">
        <f t="shared" ref="G990:L990" si="1118">G991</f>
        <v>8.1928401860831652</v>
      </c>
      <c r="H990" s="1">
        <f t="shared" si="1118"/>
        <v>8.9310908646507343</v>
      </c>
      <c r="I990" s="1">
        <f t="shared" si="1118"/>
        <v>3.9470682101339736</v>
      </c>
      <c r="J990" s="1">
        <f t="shared" si="1118"/>
        <v>2.6433299934912435</v>
      </c>
      <c r="K990" s="1">
        <f t="shared" si="1118"/>
        <v>1.3107507184161604</v>
      </c>
      <c r="L990" s="1">
        <f t="shared" si="1118"/>
        <v>9.8407017006391526E-2</v>
      </c>
      <c r="N990" s="1"/>
    </row>
    <row r="991" spans="2:14" x14ac:dyDescent="0.35">
      <c r="B991" s="5" t="str">
        <f t="shared" si="1108"/>
        <v>SPS1</v>
      </c>
      <c r="C991" s="5" t="str">
        <f t="shared" si="1109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9.8606512628225165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8.1928401860831652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8.9310908646507343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3.9470682101339736</v>
      </c>
      <c r="J991" s="1" cm="1">
        <f t="array" ref="J991">SUMPRODUCT(([2]OUT_FinalEnergyCons!$B$4:$B$10000="Var_Fin")*1, ([2]OUT_FinalEnergyCons!$C$4:$C$10000="RLFO")*1,(ISNUMBER(SEARCH("RH*-wHLFOBR",[2]OUT_FinalEnergyCons!$A$4:$A$10000)))*1,[2]OUT_FinalEnergyCons!H$4:H$10000)</f>
        <v>2.6433299934912435</v>
      </c>
      <c r="K991" s="1" cm="1">
        <f t="array" ref="K991">SUMPRODUCT(([2]OUT_FinalEnergyCons!$B$4:$B$10000="Var_Fin")*1, ([2]OUT_FinalEnergyCons!$C$4:$C$10000="RLFO")*1,(ISNUMBER(SEARCH("RH*-wHLFOBR",[2]OUT_FinalEnergyCons!$A$4:$A$10000)))*1,[2]OUT_FinalEnergyCons!I$4:I$10000)</f>
        <v>1.3107507184161604</v>
      </c>
      <c r="L991" s="1" cm="1">
        <f t="array" ref="L991">SUMPRODUCT(([2]OUT_FinalEnergyCons!$B$4:$B$10000="Var_Fin")*1, ([2]OUT_FinalEnergyCons!$C$4:$C$10000="RLFO")*1,(ISNUMBER(SEARCH("RH*-wHLFOBR",[2]OUT_FinalEnergyCons!$A$4:$A$10000)))*1,[2]OUT_FinalEnergyCons!J$4:J$10000)</f>
        <v>9.8407017006391526E-2</v>
      </c>
      <c r="N991" s="1"/>
    </row>
    <row r="992" spans="2:14" x14ac:dyDescent="0.35">
      <c r="B992" s="5" t="str">
        <f t="shared" si="1108"/>
        <v>SPS1</v>
      </c>
      <c r="C992" s="5" t="str">
        <f t="shared" si="1109"/>
        <v>CH</v>
      </c>
      <c r="D992" t="s">
        <v>712</v>
      </c>
      <c r="E992" t="s">
        <v>8</v>
      </c>
      <c r="F992" s="1">
        <f>IFERROR(F982/F981,0)*F991</f>
        <v>9.8606512628225165</v>
      </c>
      <c r="G992" s="1">
        <f t="shared" ref="G992:K992" si="1119">IFERROR(G982/G981,0)*G991</f>
        <v>8.1928401860831652</v>
      </c>
      <c r="H992" s="1">
        <f t="shared" si="1119"/>
        <v>8.9309213679388044</v>
      </c>
      <c r="I992" s="1">
        <f t="shared" si="1119"/>
        <v>3.9458675910879446</v>
      </c>
      <c r="J992" s="1">
        <f t="shared" si="1119"/>
        <v>2.6432402051100325</v>
      </c>
      <c r="K992" s="1">
        <f t="shared" si="1119"/>
        <v>1.3106730634669845</v>
      </c>
      <c r="L992" s="1">
        <f t="shared" ref="L992" si="1120">IFERROR(L982/L981,0)*L991</f>
        <v>8.6965887080031675E-7</v>
      </c>
      <c r="N992" s="1"/>
    </row>
    <row r="993" spans="2:14" x14ac:dyDescent="0.35">
      <c r="B993" s="5" t="str">
        <f t="shared" si="1108"/>
        <v>SPS1</v>
      </c>
      <c r="C993" s="5" t="str">
        <f t="shared" si="1109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21">G991-G992</f>
        <v>0</v>
      </c>
      <c r="H993" s="1">
        <f t="shared" si="1121"/>
        <v>1.6949671192989513E-4</v>
      </c>
      <c r="I993" s="1">
        <f t="shared" si="1121"/>
        <v>1.2006190460289723E-3</v>
      </c>
      <c r="J993" s="1">
        <f t="shared" si="1121"/>
        <v>8.9788381210986756E-5</v>
      </c>
      <c r="K993" s="1">
        <f t="shared" si="1121"/>
        <v>7.7654949175887111E-5</v>
      </c>
      <c r="L993" s="1">
        <f t="shared" ref="L993" si="1122">L991-L992</f>
        <v>9.840614734752072E-2</v>
      </c>
      <c r="N993" s="1"/>
    </row>
    <row r="994" spans="2:14" x14ac:dyDescent="0.3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47.002426676525374</v>
      </c>
      <c r="G994" s="1">
        <f t="shared" ref="G994:K994" si="1123">SUM(G995:G996)</f>
        <v>48.174901284785975</v>
      </c>
      <c r="H994" s="1">
        <f t="shared" si="1123"/>
        <v>47.0731528004181</v>
      </c>
      <c r="I994" s="1">
        <f t="shared" si="1123"/>
        <v>39.059686485225733</v>
      </c>
      <c r="J994" s="1">
        <f t="shared" si="1123"/>
        <v>30.297771597325131</v>
      </c>
      <c r="K994" s="1">
        <f t="shared" si="1123"/>
        <v>21.79423628001355</v>
      </c>
      <c r="L994" s="1">
        <f t="shared" ref="L994" si="1124">SUM(L995:L996)</f>
        <v>14.831108869904462</v>
      </c>
      <c r="N994" s="1"/>
    </row>
    <row r="995" spans="2:14" x14ac:dyDescent="0.35">
      <c r="B995" s="5" t="str">
        <f t="shared" ref="B995:B1055" si="1125">B994</f>
        <v>SPS1</v>
      </c>
      <c r="C995" s="5" t="str">
        <f t="shared" ref="C995:C1055" si="1126">C994</f>
        <v>CH</v>
      </c>
      <c r="D995" t="s">
        <v>1010</v>
      </c>
      <c r="E995" t="s">
        <v>8</v>
      </c>
      <c r="F995" s="1">
        <f>[1]Residential!B$18</f>
        <v>46.704322034994128</v>
      </c>
      <c r="G995" s="1">
        <f>[1]Residential!C$18</f>
        <v>45.938221712672899</v>
      </c>
      <c r="H995" s="1">
        <f>[1]Residential!D$18</f>
        <v>46.20998776189316</v>
      </c>
      <c r="I995" s="1">
        <f>[1]Residential!E$18</f>
        <v>38.100277450168925</v>
      </c>
      <c r="J995" s="1">
        <f>[2]Residential!F$18</f>
        <v>28.483408926064261</v>
      </c>
      <c r="K995" s="1">
        <f>[2]Residential!G$18</f>
        <v>18.82148201865002</v>
      </c>
      <c r="L995" s="1">
        <f>[2]Residential!H$18</f>
        <v>11.986672714353565</v>
      </c>
      <c r="N995" s="1"/>
    </row>
    <row r="996" spans="2:14" x14ac:dyDescent="0.35">
      <c r="B996" s="5" t="str">
        <f t="shared" si="1125"/>
        <v>SPS1</v>
      </c>
      <c r="C996" s="5" t="str">
        <f t="shared" si="1126"/>
        <v>CH</v>
      </c>
      <c r="D996" t="s">
        <v>1011</v>
      </c>
      <c r="E996" t="s">
        <v>8</v>
      </c>
      <c r="F996" s="1">
        <f>[1]Residential!B$19</f>
        <v>0.29810464153124322</v>
      </c>
      <c r="G996" s="1">
        <f>[1]Residential!C$19</f>
        <v>2.2366795721130726</v>
      </c>
      <c r="H996" s="1">
        <f>[1]Residential!D$19</f>
        <v>0.86316503852493776</v>
      </c>
      <c r="I996" s="1">
        <f>[1]Residential!E$19</f>
        <v>0.95940903505680564</v>
      </c>
      <c r="J996" s="1">
        <f>[2]Residential!F$19</f>
        <v>1.8143626712608718</v>
      </c>
      <c r="K996" s="1">
        <f>[2]Residential!G$19</f>
        <v>2.97275426136353</v>
      </c>
      <c r="L996" s="1">
        <f>[2]Residential!H$19</f>
        <v>2.8444361555508966</v>
      </c>
      <c r="N996" s="1"/>
    </row>
    <row r="997" spans="2:14" x14ac:dyDescent="0.35">
      <c r="B997" s="5" t="str">
        <f t="shared" si="1125"/>
        <v>SPS1</v>
      </c>
      <c r="C997" s="5" t="str">
        <f t="shared" si="1126"/>
        <v>CH</v>
      </c>
      <c r="D997" t="s">
        <v>1012</v>
      </c>
      <c r="E997" t="s">
        <v>8</v>
      </c>
      <c r="F997" s="1">
        <f>SUM(F998:F999)</f>
        <v>38.494989678550937</v>
      </c>
      <c r="G997" s="1">
        <f t="shared" ref="G997:K997" si="1127">SUM(G998:G999)</f>
        <v>41.231089967808501</v>
      </c>
      <c r="H997" s="1">
        <f t="shared" si="1127"/>
        <v>36.682462971984215</v>
      </c>
      <c r="I997" s="1">
        <f t="shared" si="1127"/>
        <v>31.470081413763374</v>
      </c>
      <c r="J997" s="1">
        <f t="shared" si="1127"/>
        <v>24.175410742576453</v>
      </c>
      <c r="K997" s="1">
        <f t="shared" si="1127"/>
        <v>16.937804963885004</v>
      </c>
      <c r="L997" s="1">
        <f t="shared" ref="L997" si="1128">SUM(L998:L999)</f>
        <v>11.565659310044108</v>
      </c>
      <c r="N997" s="1"/>
    </row>
    <row r="998" spans="2:14" x14ac:dyDescent="0.35">
      <c r="B998" s="5" t="str">
        <f t="shared" si="1125"/>
        <v>SPS1</v>
      </c>
      <c r="C998" s="5" t="str">
        <f t="shared" si="1126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38.494989678550937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41.231089967808501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33.913283331973275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24.405497805047055</v>
      </c>
      <c r="J998" s="1" cm="1">
        <f t="array" ref="J998">SUMPRODUCT(([2]OUT_FinalEnergyCons!$B$4:$B$10000="Var_Fin")*1,([2]OUT_FinalEnergyCons!$C$4:$C$10000="RNGA")*1, (ISNUMBER(SEARCH("RH*-SHNGABR",[2]OUT_FinalEnergyCons!$A$4:$A$10000)))*1,[2]OUT_FinalEnergyCons!H$4:H$10000)</f>
        <v>15.582114033046681</v>
      </c>
      <c r="K998" s="1" cm="1">
        <f t="array" ref="K998">SUMPRODUCT(([2]OUT_FinalEnergyCons!$B$4:$B$10000="Var_Fin")*1,([2]OUT_FinalEnergyCons!$C$4:$C$10000="RNGA")*1, (ISNUMBER(SEARCH("RH*-SHNGABR",[2]OUT_FinalEnergyCons!$A$4:$A$10000)))*1,[2]OUT_FinalEnergyCons!I$4:I$10000)</f>
        <v>6.7819448422011925</v>
      </c>
      <c r="L998" s="1" cm="1">
        <f t="array" ref="L998">SUMPRODUCT(([2]OUT_FinalEnergyCons!$B$4:$B$10000="Var_Fin")*1,([2]OUT_FinalEnergyCons!$C$4:$C$10000="RNGA")*1, (ISNUMBER(SEARCH("RH*-SHNGABR",[2]OUT_FinalEnergyCons!$A$4:$A$10000)))*1,[2]OUT_FinalEnergyCons!J$4:J$10000)</f>
        <v>2.5701568652421414</v>
      </c>
      <c r="N998" s="1"/>
    </row>
    <row r="999" spans="2:14" x14ac:dyDescent="0.35">
      <c r="B999" s="5" t="str">
        <f t="shared" si="1125"/>
        <v>SPS1</v>
      </c>
      <c r="C999" s="5" t="str">
        <f t="shared" si="1126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2.7691796400109427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7.0645836087163207</v>
      </c>
      <c r="J999" s="1" cm="1">
        <f t="array" ref="J999">SUMPRODUCT(([2]OUT_FinalEnergyCons!$B$4:$B$10000="Var_Fin")*1, ([2]OUT_FinalEnergyCons!$C$4:$C$10000="RNGA")*1,ISNUMBER(SEARCH("RH*-SHngahp",[2]OUT_FinalEnergyCons!$A$4:$A$10000))*1,[2]OUT_FinalEnergyCons!H$4:H$10000)</f>
        <v>8.5932967095297705</v>
      </c>
      <c r="K999" s="1" cm="1">
        <f t="array" ref="K999">SUMPRODUCT(([2]OUT_FinalEnergyCons!$B$4:$B$10000="Var_Fin")*1, ([2]OUT_FinalEnergyCons!$C$4:$C$10000="RNGA")*1,ISNUMBER(SEARCH("RH*-SHngahp",[2]OUT_FinalEnergyCons!$A$4:$A$10000))*1,[2]OUT_FinalEnergyCons!I$4:I$10000)</f>
        <v>10.155860121683812</v>
      </c>
      <c r="L999" s="1" cm="1">
        <f t="array" ref="L999">SUMPRODUCT(([2]OUT_FinalEnergyCons!$B$4:$B$10000="Var_Fin")*1, ([2]OUT_FinalEnergyCons!$C$4:$C$10000="RNGA")*1,ISNUMBER(SEARCH("RH*-SHngahp",[2]OUT_FinalEnergyCons!$A$4:$A$10000))*1,[2]OUT_FinalEnergyCons!J$4:J$10000)</f>
        <v>8.995502444801966</v>
      </c>
      <c r="N999" s="1"/>
    </row>
    <row r="1000" spans="2:14" x14ac:dyDescent="0.35">
      <c r="B1000" s="5" t="str">
        <f t="shared" si="1125"/>
        <v>SPS1</v>
      </c>
      <c r="C1000" s="5" t="str">
        <f t="shared" si="1126"/>
        <v>CH</v>
      </c>
      <c r="D1000" t="s">
        <v>1013</v>
      </c>
      <c r="E1000" t="s">
        <v>8</v>
      </c>
      <c r="F1000" s="1">
        <f>SUM(F1001:F1002)</f>
        <v>38.250841962990442</v>
      </c>
      <c r="G1000" s="1">
        <f t="shared" ref="G1000:K1000" si="1129">SUM(G1001:G1002)</f>
        <v>39.316799866376002</v>
      </c>
      <c r="H1000" s="1">
        <f t="shared" si="1129"/>
        <v>36.0098286213885</v>
      </c>
      <c r="I1000" s="1">
        <f t="shared" si="1129"/>
        <v>30.697093119201462</v>
      </c>
      <c r="J1000" s="1">
        <f t="shared" si="1129"/>
        <v>22.727681734757201</v>
      </c>
      <c r="K1000" s="1">
        <f t="shared" si="1129"/>
        <v>14.627472487095769</v>
      </c>
      <c r="L1000" s="1">
        <f t="shared" ref="L1000" si="1130">SUM(L1001:L1002)</f>
        <v>9.347498834462268</v>
      </c>
      <c r="N1000" s="1"/>
    </row>
    <row r="1001" spans="2:14" x14ac:dyDescent="0.35">
      <c r="B1001" s="5" t="str">
        <f t="shared" si="1125"/>
        <v>SPS1</v>
      </c>
      <c r="C1001" s="5" t="str">
        <f t="shared" si="1126"/>
        <v>CH</v>
      </c>
      <c r="D1001" t="s">
        <v>716</v>
      </c>
      <c r="E1001" t="s">
        <v>8</v>
      </c>
      <c r="F1001" s="1">
        <f>F998-F1004</f>
        <v>38.250841962990442</v>
      </c>
      <c r="G1001" s="1">
        <f t="shared" ref="G1001:K1001" si="1131">G998-G1004</f>
        <v>39.316799866376002</v>
      </c>
      <c r="H1001" s="1">
        <f t="shared" si="1131"/>
        <v>33.291426524593895</v>
      </c>
      <c r="I1001" s="1">
        <f t="shared" si="1131"/>
        <v>23.806034337564341</v>
      </c>
      <c r="J1001" s="1">
        <f t="shared" si="1131"/>
        <v>14.648989101727109</v>
      </c>
      <c r="K1001" s="1">
        <f t="shared" si="1131"/>
        <v>5.856881207442183</v>
      </c>
      <c r="L1001" s="1">
        <f t="shared" ref="L1001" si="1132">L998-L1004</f>
        <v>2.0772303297376391</v>
      </c>
      <c r="N1001" s="1"/>
    </row>
    <row r="1002" spans="2:14" x14ac:dyDescent="0.35">
      <c r="B1002" s="5" t="str">
        <f t="shared" si="1125"/>
        <v>SPS1</v>
      </c>
      <c r="C1002" s="5" t="str">
        <f t="shared" si="1126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133">G999-G1005</f>
        <v>0</v>
      </c>
      <c r="H1002" s="1">
        <f t="shared" si="1133"/>
        <v>2.7184020967946045</v>
      </c>
      <c r="I1002" s="1">
        <f t="shared" si="1133"/>
        <v>6.8910587816371187</v>
      </c>
      <c r="J1002" s="1">
        <f t="shared" si="1133"/>
        <v>8.0786926330300926</v>
      </c>
      <c r="K1002" s="1">
        <f t="shared" si="1133"/>
        <v>8.770591279653587</v>
      </c>
      <c r="L1002" s="1">
        <f t="shared" ref="L1002" si="1134">L999-L1005</f>
        <v>7.2702685047246298</v>
      </c>
      <c r="N1002" s="1"/>
    </row>
    <row r="1003" spans="2:14" x14ac:dyDescent="0.35">
      <c r="B1003" s="5" t="str">
        <f t="shared" si="1125"/>
        <v>SPS1</v>
      </c>
      <c r="C1003" s="5" t="str">
        <f t="shared" si="1126"/>
        <v>CH</v>
      </c>
      <c r="D1003" t="s">
        <v>1014</v>
      </c>
      <c r="E1003" t="s">
        <v>8</v>
      </c>
      <c r="F1003" s="1">
        <f>SUM(F1004:F1005)</f>
        <v>0.24414771556049492</v>
      </c>
      <c r="G1003" s="1">
        <f t="shared" ref="G1003:K1003" si="1135">SUM(G1004:G1005)</f>
        <v>1.9142901014324978</v>
      </c>
      <c r="H1003" s="1">
        <f t="shared" si="1135"/>
        <v>0.67263435059572063</v>
      </c>
      <c r="I1003" s="1">
        <f t="shared" si="1135"/>
        <v>0.77298829456191798</v>
      </c>
      <c r="J1003" s="1">
        <f t="shared" si="1135"/>
        <v>1.4477290078192508</v>
      </c>
      <c r="K1003" s="1">
        <f t="shared" si="1135"/>
        <v>2.3103324767892346</v>
      </c>
      <c r="L1003" s="1">
        <f t="shared" ref="L1003" si="1136">SUM(L1004:L1005)</f>
        <v>2.218160475581838</v>
      </c>
      <c r="N1003" s="1"/>
    </row>
    <row r="1004" spans="2:14" x14ac:dyDescent="0.35">
      <c r="B1004" s="5" t="str">
        <f t="shared" si="1125"/>
        <v>SPS1</v>
      </c>
      <c r="C1004" s="5" t="str">
        <f t="shared" si="1126"/>
        <v>CH</v>
      </c>
      <c r="D1004" t="s">
        <v>717</v>
      </c>
      <c r="E1004" t="s">
        <v>8</v>
      </c>
      <c r="F1004" s="1">
        <f>F998*IFERROR(F$996/F$994,0)</f>
        <v>0.24414771556049492</v>
      </c>
      <c r="G1004" s="1">
        <f t="shared" ref="G1004:K1004" si="1137">G998*IFERROR(G996/G994,0)</f>
        <v>1.9142901014324978</v>
      </c>
      <c r="H1004" s="1">
        <f t="shared" si="1137"/>
        <v>0.62185680737938254</v>
      </c>
      <c r="I1004" s="1">
        <f t="shared" si="1137"/>
        <v>0.59946346748271562</v>
      </c>
      <c r="J1004" s="1">
        <f t="shared" si="1137"/>
        <v>0.93312493131957208</v>
      </c>
      <c r="K1004" s="1">
        <f t="shared" si="1137"/>
        <v>0.92506363475900955</v>
      </c>
      <c r="L1004" s="1">
        <f t="shared" ref="L1004" si="1138">L998*IFERROR(L996/L994,0)</f>
        <v>0.49292653550450227</v>
      </c>
      <c r="N1004" s="1"/>
    </row>
    <row r="1005" spans="2:14" x14ac:dyDescent="0.35">
      <c r="B1005" s="5" t="str">
        <f t="shared" si="1125"/>
        <v>SPS1</v>
      </c>
      <c r="C1005" s="5" t="str">
        <f t="shared" si="1126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139">G999*IFERROR(G$996/G$994,0)</f>
        <v>0</v>
      </c>
      <c r="H1005" s="1">
        <f t="shared" si="1139"/>
        <v>5.0777543216338136E-2</v>
      </c>
      <c r="I1005" s="1">
        <f t="shared" si="1139"/>
        <v>0.1735248270792023</v>
      </c>
      <c r="J1005" s="1">
        <f t="shared" si="1139"/>
        <v>0.51460407649967876</v>
      </c>
      <c r="K1005" s="1">
        <f t="shared" si="1139"/>
        <v>1.3852688420302253</v>
      </c>
      <c r="L1005" s="1">
        <f t="shared" ref="L1005" si="1140">L999*IFERROR(L$996/L$994,0)</f>
        <v>1.7252339400773358</v>
      </c>
      <c r="N1005" s="1"/>
    </row>
    <row r="1006" spans="2:14" x14ac:dyDescent="0.35">
      <c r="B1006" s="5" t="str">
        <f t="shared" si="1125"/>
        <v>SPS1</v>
      </c>
      <c r="C1006" s="5" t="str">
        <f t="shared" si="1126"/>
        <v>CH</v>
      </c>
      <c r="D1006" t="s">
        <v>1015</v>
      </c>
      <c r="E1006" t="s">
        <v>8</v>
      </c>
      <c r="F1006" s="1">
        <f>SUM(F1007:F1008)</f>
        <v>8.5074369979744375</v>
      </c>
      <c r="G1006" s="1">
        <f t="shared" ref="G1006:K1006" si="1141">SUM(G1007:G1008)</f>
        <v>6.9438113169774738</v>
      </c>
      <c r="H1006" s="1">
        <f t="shared" si="1141"/>
        <v>10.390689828433882</v>
      </c>
      <c r="I1006" s="1">
        <f t="shared" si="1141"/>
        <v>7.5896050714623566</v>
      </c>
      <c r="J1006" s="1">
        <f t="shared" si="1141"/>
        <v>6.1223608547486794</v>
      </c>
      <c r="K1006" s="1">
        <f t="shared" si="1141"/>
        <v>4.8564313161285462</v>
      </c>
      <c r="L1006" s="1">
        <f t="shared" ref="L1006" si="1142">SUM(L1007:L1008)</f>
        <v>3.2654495598603539</v>
      </c>
      <c r="M1006" s="19"/>
      <c r="N1006" s="1"/>
    </row>
    <row r="1007" spans="2:14" x14ac:dyDescent="0.35">
      <c r="B1007" s="5" t="str">
        <f t="shared" si="1125"/>
        <v>SPS1</v>
      </c>
      <c r="C1007" s="5" t="str">
        <f t="shared" si="1126"/>
        <v>CH</v>
      </c>
      <c r="D1007" t="s">
        <v>719</v>
      </c>
      <c r="E1007" t="s">
        <v>8</v>
      </c>
      <c r="F1007" s="1">
        <f>F994-F998-F999-F1008</f>
        <v>8.5074369979744375</v>
      </c>
      <c r="G1007" s="1">
        <f t="shared" ref="G1007:K1007" si="1143">G994-G998-G999-G1008</f>
        <v>6.9438113169774738</v>
      </c>
      <c r="H1007" s="1">
        <f t="shared" si="1143"/>
        <v>9.8500182622343644</v>
      </c>
      <c r="I1007" s="1">
        <f t="shared" si="1143"/>
        <v>6.1687187629131479</v>
      </c>
      <c r="J1007" s="1">
        <f t="shared" si="1143"/>
        <v>4.2451356081039986</v>
      </c>
      <c r="K1007" s="1">
        <f t="shared" si="1143"/>
        <v>2.5357574723113814</v>
      </c>
      <c r="L1007" s="1">
        <f t="shared" ref="L1007" si="1144">L994-L998-L999-L1008</f>
        <v>1.1202258324687882</v>
      </c>
      <c r="N1007" s="1"/>
    </row>
    <row r="1008" spans="2:14" x14ac:dyDescent="0.35">
      <c r="B1008" s="5" t="str">
        <f t="shared" si="1125"/>
        <v>SPS1</v>
      </c>
      <c r="C1008" s="5" t="str">
        <f t="shared" si="1126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0.54067156619951751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1.4208863085492085</v>
      </c>
      <c r="J1008" s="1" cm="1">
        <f t="array" ref="J1008">SUMPRODUCT(([2]OUT_FinalEnergyCons!$B$4:$B$10000="Var_Fin")*1, ([2]OUT_FinalEnergyCons!$C$4:$C$10000="RNGA")*1,ISNUMBER(SEARCH("RH*-wHngahp",[2]OUT_FinalEnergyCons!$A$4:$A$10000))*1,[2]OUT_FinalEnergyCons!H$4:H$10000)</f>
        <v>1.8772252466446813</v>
      </c>
      <c r="K1008" s="1" cm="1">
        <f t="array" ref="K1008">SUMPRODUCT(([2]OUT_FinalEnergyCons!$B$4:$B$10000="Var_Fin")*1, ([2]OUT_FinalEnergyCons!$C$4:$C$10000="RNGA")*1,ISNUMBER(SEARCH("RH*-wHngahp",[2]OUT_FinalEnergyCons!$A$4:$A$10000))*1,[2]OUT_FinalEnergyCons!I$4:I$10000)</f>
        <v>2.3206738438171648</v>
      </c>
      <c r="L1008" s="1" cm="1">
        <f t="array" ref="L1008">SUMPRODUCT(([2]OUT_FinalEnergyCons!$B$4:$B$10000="Var_Fin")*1, ([2]OUT_FinalEnergyCons!$C$4:$C$10000="RNGA")*1,ISNUMBER(SEARCH("RH*-wHngahp",[2]OUT_FinalEnergyCons!$A$4:$A$10000))*1,[2]OUT_FinalEnergyCons!J$4:J$10000)</f>
        <v>2.1452237273915657</v>
      </c>
      <c r="N1008" s="1"/>
    </row>
    <row r="1009" spans="2:14" x14ac:dyDescent="0.35">
      <c r="B1009" s="5" t="str">
        <f t="shared" si="1125"/>
        <v>SPS1</v>
      </c>
      <c r="C1009" s="5" t="str">
        <f t="shared" si="1126"/>
        <v>CH</v>
      </c>
      <c r="D1009" t="s">
        <v>1016</v>
      </c>
      <c r="E1009" t="s">
        <v>8</v>
      </c>
      <c r="F1009" s="1">
        <f>SUM(F1010:F1011)</f>
        <v>8.4534800720036891</v>
      </c>
      <c r="G1009" s="1">
        <f t="shared" ref="G1009:K1009" si="1145">SUM(G1010:G1011)</f>
        <v>6.621421846296899</v>
      </c>
      <c r="H1009" s="1">
        <f t="shared" si="1145"/>
        <v>10.200159140504665</v>
      </c>
      <c r="I1009" s="1">
        <f t="shared" si="1145"/>
        <v>7.403184330967469</v>
      </c>
      <c r="J1009" s="1">
        <f t="shared" si="1145"/>
        <v>5.7557271913070593</v>
      </c>
      <c r="K1009" s="1">
        <f t="shared" si="1145"/>
        <v>4.1940095315542507</v>
      </c>
      <c r="L1009" s="1">
        <f t="shared" ref="L1009" si="1146">SUM(L1010:L1011)</f>
        <v>2.6391738798912954</v>
      </c>
      <c r="N1009" s="1"/>
    </row>
    <row r="1010" spans="2:14" x14ac:dyDescent="0.35">
      <c r="B1010" s="5" t="str">
        <f t="shared" si="1125"/>
        <v>SPS1</v>
      </c>
      <c r="C1010" s="5" t="str">
        <f t="shared" si="1126"/>
        <v>CH</v>
      </c>
      <c r="D1010" t="s">
        <v>718</v>
      </c>
      <c r="E1010" t="s">
        <v>8</v>
      </c>
      <c r="F1010" s="1">
        <f>F1007-F1013</f>
        <v>8.4534800720036891</v>
      </c>
      <c r="G1010" s="1">
        <f t="shared" ref="G1010:K1010" si="1147">G1007-G1013</f>
        <v>6.621421846296899</v>
      </c>
      <c r="H1010" s="1">
        <f t="shared" si="1147"/>
        <v>9.6694016923428023</v>
      </c>
      <c r="I1010" s="1">
        <f t="shared" si="1147"/>
        <v>6.0171987419293158</v>
      </c>
      <c r="J1010" s="1">
        <f t="shared" si="1147"/>
        <v>3.99091837773633</v>
      </c>
      <c r="K1010" s="1">
        <f t="shared" si="1147"/>
        <v>2.1898777757371555</v>
      </c>
      <c r="L1010" s="1">
        <f t="shared" ref="L1010" si="1148">L1007-L1013</f>
        <v>0.90537939797714728</v>
      </c>
      <c r="N1010" s="1"/>
    </row>
    <row r="1011" spans="2:14" x14ac:dyDescent="0.35">
      <c r="B1011" s="5" t="str">
        <f t="shared" si="1125"/>
        <v>SPS1</v>
      </c>
      <c r="C1011" s="5" t="str">
        <f t="shared" si="1126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149">G1008-G1014</f>
        <v>0</v>
      </c>
      <c r="H1011" s="1">
        <f t="shared" si="1149"/>
        <v>0.53075744816186188</v>
      </c>
      <c r="I1011" s="1">
        <f t="shared" si="1149"/>
        <v>1.3859855890381532</v>
      </c>
      <c r="J1011" s="1">
        <f t="shared" si="1149"/>
        <v>1.7648088135707289</v>
      </c>
      <c r="K1011" s="1">
        <f t="shared" si="1149"/>
        <v>2.0041317558170952</v>
      </c>
      <c r="L1011" s="1">
        <f t="shared" ref="L1011" si="1150">L1008-L1014</f>
        <v>1.733794481914148</v>
      </c>
      <c r="N1011" s="1"/>
    </row>
    <row r="1012" spans="2:14" x14ac:dyDescent="0.35">
      <c r="B1012" s="5" t="str">
        <f t="shared" si="1125"/>
        <v>SPS1</v>
      </c>
      <c r="C1012" s="5" t="str">
        <f t="shared" si="1126"/>
        <v>CH</v>
      </c>
      <c r="D1012" t="s">
        <v>1017</v>
      </c>
      <c r="E1012" t="s">
        <v>8</v>
      </c>
      <c r="F1012" s="1">
        <f t="shared" ref="F1012:K1012" si="1151">SUM(F1013:F1014)</f>
        <v>5.3956925970748325E-2</v>
      </c>
      <c r="G1012" s="1">
        <f t="shared" si="1151"/>
        <v>0.32238947068057466</v>
      </c>
      <c r="H1012" s="1">
        <f t="shared" si="1151"/>
        <v>0.19053068792921704</v>
      </c>
      <c r="I1012" s="1">
        <f t="shared" si="1151"/>
        <v>0.18642074049488766</v>
      </c>
      <c r="J1012" s="1">
        <f t="shared" si="1151"/>
        <v>0.36663366344162113</v>
      </c>
      <c r="K1012" s="1">
        <f t="shared" si="1151"/>
        <v>0.66242178457429557</v>
      </c>
      <c r="L1012" s="1">
        <f t="shared" ref="L1012" si="1152">SUM(L1013:L1014)</f>
        <v>0.62627567996905853</v>
      </c>
      <c r="N1012" s="1"/>
    </row>
    <row r="1013" spans="2:14" x14ac:dyDescent="0.35">
      <c r="B1013" s="5" t="str">
        <f t="shared" si="1125"/>
        <v>SPS1</v>
      </c>
      <c r="C1013" s="5" t="str">
        <f t="shared" si="1126"/>
        <v>CH</v>
      </c>
      <c r="D1013" t="s">
        <v>738</v>
      </c>
      <c r="E1013" t="s">
        <v>8</v>
      </c>
      <c r="F1013" s="1">
        <f>F1007*IFERROR(F$996/F$994,0)</f>
        <v>5.3956925970748325E-2</v>
      </c>
      <c r="G1013" s="1">
        <f t="shared" ref="G1013:K1013" si="1153">G1007*IFERROR(G$996/G$994,0)</f>
        <v>0.32238947068057466</v>
      </c>
      <c r="H1013" s="1">
        <f t="shared" si="1153"/>
        <v>0.18061656989156141</v>
      </c>
      <c r="I1013" s="1">
        <f t="shared" si="1153"/>
        <v>0.15152002098383233</v>
      </c>
      <c r="J1013" s="1">
        <f t="shared" si="1153"/>
        <v>0.25421723036766886</v>
      </c>
      <c r="K1013" s="1">
        <f t="shared" si="1153"/>
        <v>0.3458796965742259</v>
      </c>
      <c r="L1013" s="1">
        <f t="shared" ref="L1013" si="1154">L1007*IFERROR(L$996/L$994,0)</f>
        <v>0.21484643449164087</v>
      </c>
      <c r="N1013" s="1"/>
    </row>
    <row r="1014" spans="2:14" x14ac:dyDescent="0.35">
      <c r="B1014" s="5" t="str">
        <f t="shared" si="1125"/>
        <v>SPS1</v>
      </c>
      <c r="C1014" s="5" t="str">
        <f t="shared" si="1126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155">G1008*IFERROR(G$996/G$994,0)</f>
        <v>0</v>
      </c>
      <c r="H1014" s="1">
        <f t="shared" si="1155"/>
        <v>9.9141180376556351E-3</v>
      </c>
      <c r="I1014" s="1">
        <f t="shared" si="1155"/>
        <v>3.4900719511055348E-2</v>
      </c>
      <c r="J1014" s="1">
        <f t="shared" si="1155"/>
        <v>0.11241643307395228</v>
      </c>
      <c r="K1014" s="1">
        <f t="shared" si="1155"/>
        <v>0.31654208800006967</v>
      </c>
      <c r="L1014" s="1">
        <f t="shared" ref="L1014" si="1156">L1008*IFERROR(L$996/L$994,0)</f>
        <v>0.41142924547741772</v>
      </c>
      <c r="N1014" s="1"/>
    </row>
    <row r="1015" spans="2:14" x14ac:dyDescent="0.35">
      <c r="B1015" s="5" t="str">
        <f t="shared" si="1125"/>
        <v>SPS1</v>
      </c>
      <c r="C1015" s="5" t="str">
        <f t="shared" si="1126"/>
        <v>CH</v>
      </c>
      <c r="D1015" t="s">
        <v>1018</v>
      </c>
      <c r="E1015" t="s">
        <v>8</v>
      </c>
      <c r="F1015" s="1">
        <f>[1]Residential!B$20</f>
        <v>0.10003085333320115</v>
      </c>
      <c r="G1015" s="1">
        <f>[1]Residential!C$20</f>
        <v>0.10001193872413756</v>
      </c>
      <c r="H1015" s="1">
        <f>[1]Residential!D$20</f>
        <v>2.6970780686892657E-2</v>
      </c>
      <c r="I1015" s="1">
        <f>[1]Residential!E$20</f>
        <v>2.3790407355146724E-4</v>
      </c>
      <c r="J1015" s="1">
        <f>[2]Residential!F$20</f>
        <v>0</v>
      </c>
      <c r="K1015" s="1">
        <f>[2]Residential!G$20</f>
        <v>0</v>
      </c>
      <c r="L1015" s="1">
        <f>[2]Residential!H$20</f>
        <v>0</v>
      </c>
      <c r="N1015" s="1"/>
    </row>
    <row r="1016" spans="2:14" x14ac:dyDescent="0.35">
      <c r="B1016" s="5" t="str">
        <f t="shared" si="1125"/>
        <v>SPS1</v>
      </c>
      <c r="C1016" s="5" t="str">
        <f t="shared" si="1126"/>
        <v>CH</v>
      </c>
      <c r="D1016" t="s">
        <v>1019</v>
      </c>
      <c r="E1016" t="s">
        <v>8</v>
      </c>
      <c r="F1016" s="1">
        <f>F1015</f>
        <v>0.10003085333320115</v>
      </c>
      <c r="G1016" s="1">
        <f t="shared" ref="G1016:G1017" si="1157">G1015</f>
        <v>0.10001193872413756</v>
      </c>
      <c r="H1016" s="1">
        <f t="shared" ref="H1016:H1017" si="1158">H1015</f>
        <v>2.6970780686892657E-2</v>
      </c>
      <c r="I1016" s="1">
        <f t="shared" ref="I1016:I1017" si="1159">I1015</f>
        <v>2.3790407355146724E-4</v>
      </c>
      <c r="J1016" s="1">
        <f t="shared" ref="J1016:J1017" si="1160">J1015</f>
        <v>0</v>
      </c>
      <c r="K1016" s="1">
        <f t="shared" ref="K1016:L1017" si="1161">K1015</f>
        <v>0</v>
      </c>
      <c r="L1016" s="1">
        <f t="shared" si="1161"/>
        <v>0</v>
      </c>
      <c r="N1016" s="1"/>
    </row>
    <row r="1017" spans="2:14" x14ac:dyDescent="0.35">
      <c r="B1017" s="5" t="str">
        <f t="shared" si="1125"/>
        <v>SPS1</v>
      </c>
      <c r="C1017" s="5" t="str">
        <f t="shared" si="1126"/>
        <v>CH</v>
      </c>
      <c r="D1017" t="s">
        <v>764</v>
      </c>
      <c r="E1017" t="s">
        <v>8</v>
      </c>
      <c r="F1017" s="1">
        <f t="shared" ref="F1017" si="1162">F1016</f>
        <v>0.10003085333320115</v>
      </c>
      <c r="G1017" s="1">
        <f t="shared" si="1157"/>
        <v>0.10001193872413756</v>
      </c>
      <c r="H1017" s="1">
        <f t="shared" si="1158"/>
        <v>2.6970780686892657E-2</v>
      </c>
      <c r="I1017" s="1">
        <f t="shared" si="1159"/>
        <v>2.3790407355146724E-4</v>
      </c>
      <c r="J1017" s="1">
        <f t="shared" si="1160"/>
        <v>0</v>
      </c>
      <c r="K1017" s="1">
        <f t="shared" si="1161"/>
        <v>0</v>
      </c>
      <c r="L1017" s="1">
        <f t="shared" si="1161"/>
        <v>0</v>
      </c>
      <c r="N1017" s="1"/>
    </row>
    <row r="1018" spans="2:14" x14ac:dyDescent="0.35">
      <c r="B1018" s="5" t="str">
        <f t="shared" si="1125"/>
        <v>SPS1</v>
      </c>
      <c r="C1018" s="5" t="str">
        <f t="shared" si="1126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N1018" s="1"/>
    </row>
    <row r="1019" spans="2:14" x14ac:dyDescent="0.35">
      <c r="B1019" s="5" t="str">
        <f t="shared" si="1125"/>
        <v>SPS1</v>
      </c>
      <c r="C1019" s="5" t="str">
        <f t="shared" si="1126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N1019" s="1"/>
    </row>
    <row r="1020" spans="2:14" x14ac:dyDescent="0.35">
      <c r="B1020" s="5" t="str">
        <f t="shared" si="1125"/>
        <v>SPS1</v>
      </c>
      <c r="C1020" s="5" t="str">
        <f t="shared" si="1126"/>
        <v>CH</v>
      </c>
      <c r="D1020" t="s">
        <v>1021</v>
      </c>
      <c r="E1020" t="s">
        <v>8</v>
      </c>
      <c r="F1020" s="1">
        <f>F1021+F1023</f>
        <v>13.723481082941639</v>
      </c>
      <c r="G1020" s="1">
        <f t="shared" ref="G1020:K1020" si="1163">G1021+G1023</f>
        <v>15.204634650354421</v>
      </c>
      <c r="H1020" s="1">
        <f t="shared" si="1163"/>
        <v>16.94557876287239</v>
      </c>
      <c r="I1020" s="1">
        <f t="shared" si="1163"/>
        <v>15.00118580701681</v>
      </c>
      <c r="J1020" s="1">
        <f t="shared" si="1163"/>
        <v>12.719404594600794</v>
      </c>
      <c r="K1020" s="1">
        <f t="shared" si="1163"/>
        <v>10.590582799013191</v>
      </c>
      <c r="L1020" s="1">
        <f t="shared" ref="L1020" si="1164">L1021+L1023</f>
        <v>6.1662348912259493</v>
      </c>
      <c r="N1020" s="1"/>
    </row>
    <row r="1021" spans="2:14" x14ac:dyDescent="0.35">
      <c r="B1021" s="5" t="str">
        <f t="shared" si="1125"/>
        <v>SPS1</v>
      </c>
      <c r="C1021" s="5" t="str">
        <f t="shared" si="1126"/>
        <v>CH</v>
      </c>
      <c r="D1021" t="s">
        <v>1022</v>
      </c>
      <c r="E1021" t="s">
        <v>8</v>
      </c>
      <c r="F1021" s="1">
        <f>F1022</f>
        <v>12.682333069067798</v>
      </c>
      <c r="G1021" s="1">
        <f t="shared" ref="G1021:L1021" si="1165">G1022</f>
        <v>14.010050173991349</v>
      </c>
      <c r="H1021" s="1">
        <f t="shared" si="1165"/>
        <v>14.228852236701366</v>
      </c>
      <c r="I1021" s="1">
        <f t="shared" si="1165"/>
        <v>12.42539386190702</v>
      </c>
      <c r="J1021" s="1">
        <f t="shared" si="1165"/>
        <v>10.382246081948862</v>
      </c>
      <c r="K1021" s="1">
        <f t="shared" si="1165"/>
        <v>8.4629116595246838</v>
      </c>
      <c r="L1021" s="1">
        <f t="shared" si="1165"/>
        <v>4.6922506473984011</v>
      </c>
      <c r="N1021" s="1"/>
    </row>
    <row r="1022" spans="2:14" x14ac:dyDescent="0.35">
      <c r="B1022" s="5" t="str">
        <f t="shared" si="1125"/>
        <v>SPS1</v>
      </c>
      <c r="C1022" s="5" t="str">
        <f t="shared" si="1126"/>
        <v>CH</v>
      </c>
      <c r="D1022" t="s">
        <v>766</v>
      </c>
      <c r="E1022" t="s">
        <v>8</v>
      </c>
      <c r="F1022" s="1">
        <f>[1]Residential!B$22-F1024-F1025</f>
        <v>12.682333069067798</v>
      </c>
      <c r="G1022" s="1">
        <f>[1]Residential!C$22-G1024-G1025</f>
        <v>14.010050173991349</v>
      </c>
      <c r="H1022" s="1">
        <f>[1]Residential!D$22-H1024-H1025</f>
        <v>14.228852236701366</v>
      </c>
      <c r="I1022" s="1">
        <f>[1]Residential!E$22-I1024-I1025</f>
        <v>12.42539386190702</v>
      </c>
      <c r="J1022" s="1">
        <f>[2]Residential!F$22-J1024-J1025</f>
        <v>10.382246081948862</v>
      </c>
      <c r="K1022" s="1">
        <f>[2]Residential!G$22-K1024-K1025</f>
        <v>8.4629116595246838</v>
      </c>
      <c r="L1022" s="1">
        <f>[2]Residential!H$22-L1024-L1025</f>
        <v>4.6922506473984011</v>
      </c>
      <c r="N1022" s="1"/>
    </row>
    <row r="1023" spans="2:14" x14ac:dyDescent="0.35">
      <c r="B1023" s="5" t="str">
        <f t="shared" si="1125"/>
        <v>SPS1</v>
      </c>
      <c r="C1023" s="5" t="str">
        <f t="shared" si="1126"/>
        <v>CH</v>
      </c>
      <c r="D1023" t="s">
        <v>1023</v>
      </c>
      <c r="E1023" t="s">
        <v>8</v>
      </c>
      <c r="F1023" s="1">
        <f>F1024</f>
        <v>1.0411480138738396</v>
      </c>
      <c r="G1023" s="1">
        <f t="shared" ref="G1023" si="1166">G1024</f>
        <v>1.1945844763630717</v>
      </c>
      <c r="H1023" s="1">
        <f t="shared" ref="H1023" si="1167">H1024</f>
        <v>2.7167265261710254</v>
      </c>
      <c r="I1023" s="1">
        <f t="shared" ref="I1023" si="1168">I1024</f>
        <v>2.5757919451097897</v>
      </c>
      <c r="J1023" s="1">
        <f t="shared" ref="J1023" si="1169">J1024</f>
        <v>2.3371585126519321</v>
      </c>
      <c r="K1023" s="1">
        <f t="shared" ref="K1023:L1023" si="1170">K1024</f>
        <v>2.1276711394885068</v>
      </c>
      <c r="L1023" s="1">
        <f t="shared" si="1170"/>
        <v>1.4739842438275481</v>
      </c>
      <c r="N1023" s="1"/>
    </row>
    <row r="1024" spans="2:14" x14ac:dyDescent="0.35">
      <c r="B1024" s="5" t="str">
        <f t="shared" si="1125"/>
        <v>SPS1</v>
      </c>
      <c r="C1024" s="5" t="str">
        <f t="shared" si="1126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1.0411480138738396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1.1945844763630717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2.7167265261710254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2.5757919451097897</v>
      </c>
      <c r="J1024" s="1" cm="1">
        <f t="array" ref="J1024">SUMPRODUCT(([2]OUT_FinalEnergyCons!$B$4:$B$10000="Var_Fin")*1, ISNUMBER(SEARCH("WOD",[2]OUT_FinalEnergyCons!$C$4:$C$10000))*1,(ISNUMBER(SEARCH("RH*-wHWODBR",[2]OUT_FinalEnergyCons!$A$4:$A$10000)))*1,[2]OUT_FinalEnergyCons!H$4:H$10000)</f>
        <v>2.3371585126519321</v>
      </c>
      <c r="K1024" s="1" cm="1">
        <f t="array" ref="K1024">SUMPRODUCT(([2]OUT_FinalEnergyCons!$B$4:$B$10000="Var_Fin")*1, ISNUMBER(SEARCH("WOD",[2]OUT_FinalEnergyCons!$C$4:$C$10000))*1,(ISNUMBER(SEARCH("RH*-wHWODBR",[2]OUT_FinalEnergyCons!$A$4:$A$10000)))*1,[2]OUT_FinalEnergyCons!I$4:I$10000)</f>
        <v>2.1276711394885068</v>
      </c>
      <c r="L1024" s="1" cm="1">
        <f t="array" ref="L1024">SUMPRODUCT(([2]OUT_FinalEnergyCons!$B$4:$B$10000="Var_Fin")*1, ISNUMBER(SEARCH("WOD",[2]OUT_FinalEnergyCons!$C$4:$C$10000))*1,(ISNUMBER(SEARCH("RH*-wHWODBR",[2]OUT_FinalEnergyCons!$A$4:$A$10000)))*1,[2]OUT_FinalEnergyCons!J$4:J$10000)</f>
        <v>1.4739842438275481</v>
      </c>
      <c r="N1024" s="1"/>
    </row>
    <row r="1025" spans="2:14" x14ac:dyDescent="0.35">
      <c r="B1025" s="5" t="str">
        <f t="shared" si="1125"/>
        <v>SPS1</v>
      </c>
      <c r="C1025" s="5" t="str">
        <f t="shared" si="1126"/>
        <v>CH</v>
      </c>
      <c r="D1025" t="s">
        <v>1024</v>
      </c>
      <c r="E1025" t="s">
        <v>8</v>
      </c>
      <c r="F1025" s="1">
        <f>F1026+F1028</f>
        <v>3.2685571165362637</v>
      </c>
      <c r="G1025" s="1">
        <f t="shared" ref="G1025:K1025" si="1171">G1026+G1028</f>
        <v>3.832167288020059</v>
      </c>
      <c r="H1025" s="1">
        <f t="shared" si="1171"/>
        <v>0.60987113624764266</v>
      </c>
      <c r="I1025" s="1">
        <f t="shared" si="1171"/>
        <v>0.76495539233414278</v>
      </c>
      <c r="J1025" s="1">
        <f t="shared" si="1171"/>
        <v>0.80471786604422468</v>
      </c>
      <c r="K1025" s="1">
        <f t="shared" si="1171"/>
        <v>0.87222834658800741</v>
      </c>
      <c r="L1025" s="1">
        <f t="shared" ref="L1025" si="1172">L1026+L1028</f>
        <v>0.75423062540894437</v>
      </c>
      <c r="N1025" s="1"/>
    </row>
    <row r="1026" spans="2:14" x14ac:dyDescent="0.35">
      <c r="B1026" s="5" t="str">
        <f t="shared" si="1125"/>
        <v>SPS1</v>
      </c>
      <c r="C1026" s="5" t="str">
        <f t="shared" si="1126"/>
        <v>CH</v>
      </c>
      <c r="D1026" t="s">
        <v>1025</v>
      </c>
      <c r="E1026" t="s">
        <v>8</v>
      </c>
      <c r="F1026" s="1">
        <f>F1027</f>
        <v>2.9967236951974243</v>
      </c>
      <c r="G1026" s="1">
        <f t="shared" ref="G1026:L1026" si="1173">G1027</f>
        <v>3.520388118912166</v>
      </c>
      <c r="H1026" s="1">
        <f t="shared" si="1173"/>
        <v>0.4435486569459936</v>
      </c>
      <c r="I1026" s="1">
        <f t="shared" si="1173"/>
        <v>0.54324201643603387</v>
      </c>
      <c r="J1026" s="1">
        <f t="shared" si="1173"/>
        <v>0.56023245314622627</v>
      </c>
      <c r="K1026" s="1">
        <f t="shared" si="1173"/>
        <v>0.59524981364459573</v>
      </c>
      <c r="L1026" s="1">
        <f t="shared" si="1173"/>
        <v>0.48692115108415146</v>
      </c>
      <c r="N1026" s="1"/>
    </row>
    <row r="1027" spans="2:14" x14ac:dyDescent="0.35">
      <c r="B1027" s="5" t="str">
        <f t="shared" si="1125"/>
        <v>SPS1</v>
      </c>
      <c r="C1027" s="5" t="str">
        <f t="shared" si="1126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2.9967236951974243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3.520388118912166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0.4435486569459936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0.54324201643603387</v>
      </c>
      <c r="J1027" s="1" cm="1">
        <f t="array" ref="J1027">SUMPRODUCT(([2]OUT_FinalEnergyCons!$B$4:$B$10000="Var_Fin")*1, ISNUMBER(SEARCH("RPLT",[2]OUT_FinalEnergyCons!$C$4:$C$10000))*1,(ISNUMBER(SEARCH("RH*-SHPLTBR",[2]OUT_FinalEnergyCons!$A$4:$A$10000)))*1,[2]OUT_FinalEnergyCons!H$4:H$10000)</f>
        <v>0.56023245314622627</v>
      </c>
      <c r="K1027" s="1" cm="1">
        <f t="array" ref="K1027">SUMPRODUCT(([2]OUT_FinalEnergyCons!$B$4:$B$10000="Var_Fin")*1, ISNUMBER(SEARCH("RPLT",[2]OUT_FinalEnergyCons!$C$4:$C$10000))*1,(ISNUMBER(SEARCH("RH*-SHPLTBR",[2]OUT_FinalEnergyCons!$A$4:$A$10000)))*1,[2]OUT_FinalEnergyCons!I$4:I$10000)</f>
        <v>0.59524981364459573</v>
      </c>
      <c r="L1027" s="1" cm="1">
        <f t="array" ref="L1027">SUMPRODUCT(([2]OUT_FinalEnergyCons!$B$4:$B$10000="Var_Fin")*1, ISNUMBER(SEARCH("RPLT",[2]OUT_FinalEnergyCons!$C$4:$C$10000))*1,(ISNUMBER(SEARCH("RH*-SHPLTBR",[2]OUT_FinalEnergyCons!$A$4:$A$10000)))*1,[2]OUT_FinalEnergyCons!J$4:J$10000)</f>
        <v>0.48692115108415146</v>
      </c>
      <c r="N1027" s="1"/>
    </row>
    <row r="1028" spans="2:14" x14ac:dyDescent="0.35">
      <c r="B1028" s="5" t="str">
        <f t="shared" si="1125"/>
        <v>SPS1</v>
      </c>
      <c r="C1028" s="5" t="str">
        <f t="shared" si="1126"/>
        <v>CH</v>
      </c>
      <c r="D1028" t="s">
        <v>1026</v>
      </c>
      <c r="E1028" t="s">
        <v>8</v>
      </c>
      <c r="F1028" s="1">
        <f>F1029</f>
        <v>0.27183342133883914</v>
      </c>
      <c r="G1028" s="1">
        <f t="shared" ref="G1028:L1028" si="1174">G1029</f>
        <v>0.31177916910789288</v>
      </c>
      <c r="H1028" s="1">
        <f t="shared" si="1174"/>
        <v>0.16632247930164906</v>
      </c>
      <c r="I1028" s="1">
        <f t="shared" si="1174"/>
        <v>0.22171337589810897</v>
      </c>
      <c r="J1028" s="1">
        <f t="shared" si="1174"/>
        <v>0.24448541289799838</v>
      </c>
      <c r="K1028" s="1">
        <f t="shared" si="1174"/>
        <v>0.27697853294341174</v>
      </c>
      <c r="L1028" s="1">
        <f t="shared" si="1174"/>
        <v>0.26730947432479291</v>
      </c>
      <c r="N1028" s="1"/>
    </row>
    <row r="1029" spans="2:14" x14ac:dyDescent="0.35">
      <c r="B1029" s="5" t="str">
        <f t="shared" si="1125"/>
        <v>SPS1</v>
      </c>
      <c r="C1029" s="5" t="str">
        <f t="shared" si="1126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0.27183342133883914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0.31177916910789288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0.16632247930164906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0.22171337589810897</v>
      </c>
      <c r="J1029" s="1" cm="1">
        <f t="array" ref="J1029">SUMPRODUCT(([2]OUT_FinalEnergyCons!$B$4:$B$10000="Var_Fin")*1, ISNUMBER(SEARCH("PLT",[2]OUT_FinalEnergyCons!$C$4:$C$10000))*1,(ISNUMBER(SEARCH("RH*-wHPLTBR",[2]OUT_FinalEnergyCons!$A$4:$A$10000)))*1,[2]OUT_FinalEnergyCons!H$4:H$10000)</f>
        <v>0.24448541289799838</v>
      </c>
      <c r="K1029" s="1" cm="1">
        <f t="array" ref="K1029">SUMPRODUCT(([2]OUT_FinalEnergyCons!$B$4:$B$10000="Var_Fin")*1, ISNUMBER(SEARCH("PLT",[2]OUT_FinalEnergyCons!$C$4:$C$10000))*1,(ISNUMBER(SEARCH("RH*-wHPLTBR",[2]OUT_FinalEnergyCons!$A$4:$A$10000)))*1,[2]OUT_FinalEnergyCons!I$4:I$10000)</f>
        <v>0.27697853294341174</v>
      </c>
      <c r="L1029" s="1" cm="1">
        <f t="array" ref="L1029">SUMPRODUCT(([2]OUT_FinalEnergyCons!$B$4:$B$10000="Var_Fin")*1, ISNUMBER(SEARCH("PLT",[2]OUT_FinalEnergyCons!$C$4:$C$10000))*1,(ISNUMBER(SEARCH("RH*-wHPLTBR",[2]OUT_FinalEnergyCons!$A$4:$A$10000)))*1,[2]OUT_FinalEnergyCons!J$4:J$10000)</f>
        <v>0.26730947432479291</v>
      </c>
      <c r="N1029" s="1"/>
    </row>
    <row r="1030" spans="2:14" x14ac:dyDescent="0.35">
      <c r="B1030" s="5" t="str">
        <f t="shared" si="1125"/>
        <v>SPS1</v>
      </c>
      <c r="C1030" s="5" t="str">
        <f t="shared" si="1126"/>
        <v>CH</v>
      </c>
      <c r="D1030" t="s">
        <v>1027</v>
      </c>
      <c r="E1030" t="s">
        <v>8</v>
      </c>
      <c r="F1030" s="1">
        <f>[1]Residential!B$23</f>
        <v>2.5069286589027415</v>
      </c>
      <c r="G1030" s="1">
        <f>[1]Residential!C$23</f>
        <v>2.9289323022695024</v>
      </c>
      <c r="H1030" s="1">
        <f>[1]Residential!D$23</f>
        <v>0.96444923400382954</v>
      </c>
      <c r="I1030" s="1">
        <f>[1]Residential!E$23</f>
        <v>1.0950024147449815</v>
      </c>
      <c r="J1030" s="1">
        <f>[2]Residential!F$23</f>
        <v>1.1577151700693655</v>
      </c>
      <c r="K1030" s="1">
        <f>[2]Residential!G$23</f>
        <v>1.2422166447145679</v>
      </c>
      <c r="L1030" s="1">
        <f>[2]Residential!H$23</f>
        <v>1.2294294726438126</v>
      </c>
      <c r="N1030" s="1"/>
    </row>
    <row r="1031" spans="2:14" x14ac:dyDescent="0.35">
      <c r="B1031" s="5" t="str">
        <f t="shared" si="1125"/>
        <v>SPS1</v>
      </c>
      <c r="C1031" s="5" t="str">
        <f t="shared" si="1126"/>
        <v>CH</v>
      </c>
      <c r="D1031" t="s">
        <v>1028</v>
      </c>
      <c r="E1031" t="s">
        <v>8</v>
      </c>
      <c r="F1031" s="1">
        <f>F1032</f>
        <v>0.78544063424289079</v>
      </c>
      <c r="G1031" s="1">
        <f t="shared" ref="G1031:L1031" si="1175">G1032</f>
        <v>0.94185363396680555</v>
      </c>
      <c r="H1031" s="1">
        <f t="shared" si="1175"/>
        <v>3.1977953162283961E-2</v>
      </c>
      <c r="I1031" s="1">
        <f t="shared" si="1175"/>
        <v>3.4980842181890168E-2</v>
      </c>
      <c r="J1031" s="1">
        <f t="shared" si="1175"/>
        <v>3.439566950903844E-2</v>
      </c>
      <c r="K1031" s="1">
        <f t="shared" si="1175"/>
        <v>3.3153127190014113E-2</v>
      </c>
      <c r="L1031" s="1">
        <f t="shared" si="1175"/>
        <v>2.9423226542176523E-2</v>
      </c>
      <c r="N1031" s="1"/>
    </row>
    <row r="1032" spans="2:14" x14ac:dyDescent="0.35">
      <c r="B1032" s="5" t="str">
        <f t="shared" si="1125"/>
        <v>SPS1</v>
      </c>
      <c r="C1032" s="5" t="str">
        <f t="shared" si="1126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0.78544063424289079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0.94185363396680555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3.1977953162283961E-2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3.4980842181890168E-2</v>
      </c>
      <c r="J1032" s="1" cm="1">
        <f t="array" ref="J1032">SUMPRODUCT(([2]OUT_FinalEnergyCons!$B$4:$B$10000="Var_Fin")*1, ("SOL"=[2]OUT_FinalEnergyCons!$C$4:$C$10000)*1,(ISNUMBER(SEARCH("RH*-SHSOLBR",[2]OUT_FinalEnergyCons!$A$4:$A$10000)))*1,[2]OUT_FinalEnergyCons!H$4:H$10000)</f>
        <v>3.439566950903844E-2</v>
      </c>
      <c r="K1032" s="1" cm="1">
        <f t="array" ref="K1032">SUMPRODUCT(([2]OUT_FinalEnergyCons!$B$4:$B$10000="Var_Fin")*1, ("SOL"=[2]OUT_FinalEnergyCons!$C$4:$C$10000)*1,(ISNUMBER(SEARCH("RH*-SHSOLBR",[2]OUT_FinalEnergyCons!$A$4:$A$10000)))*1,[2]OUT_FinalEnergyCons!I$4:I$10000)</f>
        <v>3.3153127190014113E-2</v>
      </c>
      <c r="L1032" s="1" cm="1">
        <f t="array" ref="L1032">SUMPRODUCT(([2]OUT_FinalEnergyCons!$B$4:$B$10000="Var_Fin")*1, ("SOL"=[2]OUT_FinalEnergyCons!$C$4:$C$10000)*1,(ISNUMBER(SEARCH("RH*-SHSOLBR",[2]OUT_FinalEnergyCons!$A$4:$A$10000)))*1,[2]OUT_FinalEnergyCons!J$4:J$10000)</f>
        <v>2.9423226542176523E-2</v>
      </c>
      <c r="N1032" s="1"/>
    </row>
    <row r="1033" spans="2:14" x14ac:dyDescent="0.35">
      <c r="B1033" s="5" t="str">
        <f t="shared" si="1125"/>
        <v>SPS1</v>
      </c>
      <c r="C1033" s="5" t="str">
        <f t="shared" si="1126"/>
        <v>CH</v>
      </c>
      <c r="D1033" t="s">
        <v>1029</v>
      </c>
      <c r="E1033" t="s">
        <v>8</v>
      </c>
      <c r="F1033" s="1">
        <f>F1030-F1031</f>
        <v>1.7214880246598507</v>
      </c>
      <c r="G1033" s="1">
        <f t="shared" ref="G1033:K1033" si="1176">G1030-G1031</f>
        <v>1.9870786683026969</v>
      </c>
      <c r="H1033" s="1">
        <f t="shared" si="1176"/>
        <v>0.93247128084154562</v>
      </c>
      <c r="I1033" s="1">
        <f t="shared" si="1176"/>
        <v>1.0600215725630913</v>
      </c>
      <c r="J1033" s="1">
        <f t="shared" si="1176"/>
        <v>1.1233195005603271</v>
      </c>
      <c r="K1033" s="1">
        <f t="shared" si="1176"/>
        <v>1.2090635175245539</v>
      </c>
      <c r="L1033" s="1">
        <f t="shared" ref="L1033" si="1177">L1030-L1031</f>
        <v>1.2000062461016361</v>
      </c>
      <c r="N1033" s="1"/>
    </row>
    <row r="1034" spans="2:14" x14ac:dyDescent="0.35">
      <c r="B1034" s="5" t="str">
        <f t="shared" si="1125"/>
        <v>SPS1</v>
      </c>
      <c r="C1034" s="5" t="str">
        <f t="shared" si="1126"/>
        <v>CH</v>
      </c>
      <c r="D1034" t="s">
        <v>743</v>
      </c>
      <c r="E1034" t="s">
        <v>8</v>
      </c>
      <c r="F1034" s="1">
        <f>F1033</f>
        <v>1.7214880246598507</v>
      </c>
      <c r="G1034" s="1">
        <f t="shared" ref="G1034:K1034" si="1178">G1033</f>
        <v>1.9870786683026969</v>
      </c>
      <c r="H1034" s="1">
        <f t="shared" si="1178"/>
        <v>0.93247128084154562</v>
      </c>
      <c r="I1034" s="1">
        <f t="shared" si="1178"/>
        <v>1.0600215725630913</v>
      </c>
      <c r="J1034" s="1">
        <f t="shared" si="1178"/>
        <v>1.1233195005603271</v>
      </c>
      <c r="K1034" s="1">
        <f t="shared" si="1178"/>
        <v>1.2090635175245539</v>
      </c>
      <c r="L1034" s="1">
        <f t="shared" ref="L1034" si="1179">L1033</f>
        <v>1.2000062461016361</v>
      </c>
      <c r="N1034" s="1"/>
    </row>
    <row r="1035" spans="2:14" x14ac:dyDescent="0.35">
      <c r="B1035" s="5" t="str">
        <f t="shared" si="1125"/>
        <v>SPS1</v>
      </c>
      <c r="C1035" s="5" t="str">
        <f t="shared" si="1126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4.2148526458665542E-2</v>
      </c>
      <c r="J1035" s="1">
        <f>[2]Residential!F$24</f>
        <v>3.3955770255704354E-3</v>
      </c>
      <c r="K1035" s="1">
        <f>[2]Residential!G$24</f>
        <v>1.2247896999121138E-2</v>
      </c>
      <c r="L1035" s="1">
        <f>[2]Residential!H$24</f>
        <v>7.7551566152883637E-3</v>
      </c>
      <c r="N1035" s="1"/>
    </row>
    <row r="1036" spans="2:14" x14ac:dyDescent="0.35">
      <c r="B1036" s="5" t="str">
        <f t="shared" si="1125"/>
        <v>SPS1</v>
      </c>
      <c r="C1036" s="5" t="str">
        <f t="shared" si="1126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180">G1035-G1038-G1040</f>
        <v>0</v>
      </c>
      <c r="H1036" s="1">
        <f t="shared" si="1180"/>
        <v>0</v>
      </c>
      <c r="I1036" s="1">
        <f t="shared" si="1180"/>
        <v>4.2148526458665542E-2</v>
      </c>
      <c r="J1036" s="1">
        <f t="shared" si="1180"/>
        <v>3.3955770255704354E-3</v>
      </c>
      <c r="K1036" s="1">
        <f t="shared" si="1180"/>
        <v>1.2247896999121138E-2</v>
      </c>
      <c r="L1036" s="1">
        <f t="shared" ref="L1036" si="1181">L1035-L1038-L1040</f>
        <v>7.7551566152883637E-3</v>
      </c>
      <c r="N1036" s="1"/>
    </row>
    <row r="1037" spans="2:14" x14ac:dyDescent="0.35">
      <c r="B1037" s="5" t="str">
        <f t="shared" si="1125"/>
        <v>SPS1</v>
      </c>
      <c r="C1037" s="5" t="str">
        <f t="shared" si="1126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182">G1038+G1040</f>
        <v>0</v>
      </c>
      <c r="H1037" s="1">
        <f t="shared" si="1182"/>
        <v>0</v>
      </c>
      <c r="I1037" s="1">
        <f t="shared" si="1182"/>
        <v>0</v>
      </c>
      <c r="J1037" s="1">
        <f t="shared" si="1182"/>
        <v>0</v>
      </c>
      <c r="K1037" s="1">
        <f t="shared" si="1182"/>
        <v>0</v>
      </c>
      <c r="L1037" s="1">
        <f t="shared" ref="L1037" si="1183">L1038+L1040</f>
        <v>0</v>
      </c>
      <c r="N1037" s="1"/>
    </row>
    <row r="1038" spans="2:14" x14ac:dyDescent="0.3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L1038" si="1184">G1039</f>
        <v>0</v>
      </c>
      <c r="H1038" s="1">
        <f t="shared" si="1184"/>
        <v>0</v>
      </c>
      <c r="I1038" s="1">
        <f t="shared" si="1184"/>
        <v>0</v>
      </c>
      <c r="J1038" s="1">
        <f t="shared" si="1184"/>
        <v>0</v>
      </c>
      <c r="K1038" s="1">
        <f t="shared" si="1184"/>
        <v>0</v>
      </c>
      <c r="L1038" s="1">
        <f t="shared" si="1184"/>
        <v>0</v>
      </c>
      <c r="N1038" s="1"/>
    </row>
    <row r="1039" spans="2:14" x14ac:dyDescent="0.35">
      <c r="B1039" s="5" t="str">
        <f t="shared" si="1125"/>
        <v>SPS1</v>
      </c>
      <c r="C1039" s="5" t="str">
        <f t="shared" si="1126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SUMPRODUCT(([2]OUT_FinalEnergyCons!$B$4:$B$10000="Var_Fin")*1, ISNUMBER(SEARCH("RSH2",[2]OUT_FinalEnergyCons!$C$4:$C$10000))*1,(ISNUMBER(SEARCH("RH*-SHH2BR",[2]OUT_FinalEnergyCons!$A$4:$A$10000)))*1,[2]OUT_FinalEnergyCons!H$4:H$10000)</f>
        <v>0</v>
      </c>
      <c r="K1039" s="1" cm="1">
        <f t="array" ref="K1039">SUMPRODUCT(([2]OUT_FinalEnergyCons!$B$4:$B$10000="Var_Fin")*1, ISNUMBER(SEARCH("RSH2",[2]OUT_FinalEnergyCons!$C$4:$C$10000))*1,(ISNUMBER(SEARCH("RH*-SHH2BR",[2]OUT_FinalEnergyCons!$A$4:$A$10000)))*1,[2]OUT_FinalEnergyCons!I$4:I$10000)</f>
        <v>0</v>
      </c>
      <c r="L1039" s="1" cm="1">
        <f t="array" ref="L1039">SUMPRODUCT(([2]OUT_FinalEnergyCons!$B$4:$B$10000="Var_Fin")*1, ISNUMBER(SEARCH("RSH2",[2]OUT_FinalEnergyCons!$C$4:$C$10000))*1,(ISNUMBER(SEARCH("RH*-SHH2BR",[2]OUT_FinalEnergyCons!$A$4:$A$10000)))*1,[2]OUT_FinalEnergyCons!J$4:J$10000)</f>
        <v>0</v>
      </c>
      <c r="N1039" s="1"/>
    </row>
    <row r="1040" spans="2:14" x14ac:dyDescent="0.35">
      <c r="B1040" s="5" t="str">
        <f t="shared" si="1125"/>
        <v>SPS1</v>
      </c>
      <c r="C1040" s="5" t="str">
        <f t="shared" si="1126"/>
        <v>CH</v>
      </c>
      <c r="D1040" t="s">
        <v>1033</v>
      </c>
      <c r="E1040" t="s">
        <v>8</v>
      </c>
      <c r="F1040" s="1">
        <f>F1041</f>
        <v>0</v>
      </c>
      <c r="G1040" s="1">
        <f t="shared" ref="G1040:L1040" si="1185">G1041</f>
        <v>0</v>
      </c>
      <c r="H1040" s="1">
        <f t="shared" si="1185"/>
        <v>0</v>
      </c>
      <c r="I1040" s="1">
        <f t="shared" si="1185"/>
        <v>0</v>
      </c>
      <c r="J1040" s="1">
        <f t="shared" si="1185"/>
        <v>0</v>
      </c>
      <c r="K1040" s="1">
        <f t="shared" si="1185"/>
        <v>0</v>
      </c>
      <c r="L1040" s="1">
        <f t="shared" si="1185"/>
        <v>0</v>
      </c>
      <c r="N1040" s="1"/>
    </row>
    <row r="1041" spans="2:14" x14ac:dyDescent="0.35">
      <c r="B1041" s="5" t="str">
        <f t="shared" si="1125"/>
        <v>SPS1</v>
      </c>
      <c r="C1041" s="5" t="str">
        <f t="shared" si="1126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SUMPRODUCT(([2]OUT_FinalEnergyCons!$B$4:$B$10000="Var_Fin")*1, ISNUMBER(SEARCH("RSH2",[2]OUT_FinalEnergyCons!$C$4:$C$10000))*1,(ISNUMBER(SEARCH("RH*-wHH2BR",[2]OUT_FinalEnergyCons!$A$4:$A$10000)))*1,[2]OUT_FinalEnergyCons!H$4:H$10000)</f>
        <v>0</v>
      </c>
      <c r="K1041" s="1" cm="1">
        <f t="array" ref="K1041">SUMPRODUCT(([2]OUT_FinalEnergyCons!$B$4:$B$10000="Var_Fin")*1, ISNUMBER(SEARCH("RSH2",[2]OUT_FinalEnergyCons!$C$4:$C$10000))*1,(ISNUMBER(SEARCH("RH*-wHH2BR",[2]OUT_FinalEnergyCons!$A$4:$A$10000)))*1,[2]OUT_FinalEnergyCons!I$4:I$10000)</f>
        <v>0</v>
      </c>
      <c r="L1041" s="1" cm="1">
        <f t="array" ref="L1041">SUMPRODUCT(([2]OUT_FinalEnergyCons!$B$4:$B$10000="Var_Fin")*1, ISNUMBER(SEARCH("RSH2",[2]OUT_FinalEnergyCons!$C$4:$C$10000))*1,(ISNUMBER(SEARCH("RH*-wHH2BR",[2]OUT_FinalEnergyCons!$A$4:$A$10000)))*1,[2]OUT_FinalEnergyCons!J$4:J$10000)</f>
        <v>0</v>
      </c>
      <c r="N1041" s="1"/>
    </row>
    <row r="1042" spans="2:14" x14ac:dyDescent="0.35">
      <c r="B1042" s="5" t="str">
        <f t="shared" si="1125"/>
        <v>SPS1</v>
      </c>
      <c r="C1042" s="5" t="str">
        <f t="shared" si="1126"/>
        <v>CH</v>
      </c>
      <c r="D1042" t="s">
        <v>1034</v>
      </c>
      <c r="E1042" t="s">
        <v>8</v>
      </c>
      <c r="F1042" s="1">
        <f>[1]Residential!B$21</f>
        <v>8.1291150788064428</v>
      </c>
      <c r="G1042" s="1">
        <f>[1]Residential!C$21</f>
        <v>9.7142870061617934</v>
      </c>
      <c r="H1042" s="1">
        <f>[1]Residential!D$21</f>
        <v>8.3981523541129501</v>
      </c>
      <c r="I1042" s="1">
        <f>[1]Residential!E$21</f>
        <v>11.104482969678028</v>
      </c>
      <c r="J1042" s="1">
        <f>[2]Residential!F$21</f>
        <v>11.839977144584312</v>
      </c>
      <c r="K1042" s="1">
        <f>[2]Residential!G$21</f>
        <v>12.813273505775591</v>
      </c>
      <c r="L1042" s="1">
        <f>[2]Residential!H$21</f>
        <v>12.475280153248592</v>
      </c>
      <c r="N1042" s="1"/>
    </row>
    <row r="1043" spans="2:14" x14ac:dyDescent="0.35">
      <c r="B1043" s="5" t="str">
        <f t="shared" si="1125"/>
        <v>SPS1</v>
      </c>
      <c r="C1043" s="5" t="str">
        <f t="shared" si="1126"/>
        <v>CH</v>
      </c>
      <c r="D1043" t="s">
        <v>1035</v>
      </c>
      <c r="E1043" t="s">
        <v>8</v>
      </c>
      <c r="F1043" s="1">
        <f>SUM(F1044:F1046)</f>
        <v>0.20988316315741937</v>
      </c>
      <c r="G1043" s="1">
        <f t="shared" ref="G1043:K1043" si="1186">SUM(G1044:G1046)</f>
        <v>6.4013181720045401E-2</v>
      </c>
      <c r="H1043" s="1">
        <f t="shared" si="1186"/>
        <v>0.12351622719015284</v>
      </c>
      <c r="I1043" s="1">
        <f t="shared" si="1186"/>
        <v>0</v>
      </c>
      <c r="J1043" s="1">
        <f t="shared" si="1186"/>
        <v>1.2152388627643351</v>
      </c>
      <c r="K1043" s="1">
        <f t="shared" si="1186"/>
        <v>1.5154237053361985</v>
      </c>
      <c r="L1043" s="1">
        <f t="shared" ref="L1043" si="1187">SUM(L1044:L1046)</f>
        <v>0.73545638437853633</v>
      </c>
      <c r="N1043" s="1"/>
    </row>
    <row r="1044" spans="2:14" x14ac:dyDescent="0.35">
      <c r="B1044" s="5" t="str">
        <f t="shared" si="1125"/>
        <v>SPS1</v>
      </c>
      <c r="C1044" s="5" t="str">
        <f t="shared" si="1126"/>
        <v>CH</v>
      </c>
      <c r="D1044" t="s">
        <v>749</v>
      </c>
      <c r="E1044" t="s">
        <v>8</v>
      </c>
      <c r="F1044" s="1">
        <f t="shared" ref="F1044:K1045" si="1188">SUM(F244,F246)</f>
        <v>0.20988316315741937</v>
      </c>
      <c r="G1044" s="1">
        <f t="shared" si="1188"/>
        <v>6.4013181720045401E-2</v>
      </c>
      <c r="H1044" s="1">
        <f t="shared" si="1188"/>
        <v>0.12351622719015284</v>
      </c>
      <c r="I1044" s="1">
        <f t="shared" si="1188"/>
        <v>0</v>
      </c>
      <c r="J1044" s="1">
        <f t="shared" si="1188"/>
        <v>3.0853542666006133E-2</v>
      </c>
      <c r="K1044" s="1">
        <f t="shared" si="1188"/>
        <v>6.3921562072348382E-3</v>
      </c>
      <c r="L1044" s="1">
        <f t="shared" ref="L1044" si="1189">SUM(L244,L246)</f>
        <v>0</v>
      </c>
      <c r="N1044" s="1"/>
    </row>
    <row r="1045" spans="2:14" x14ac:dyDescent="0.35">
      <c r="B1045" s="5" t="str">
        <f t="shared" si="1125"/>
        <v>SPS1</v>
      </c>
      <c r="C1045" s="5" t="str">
        <f t="shared" si="1126"/>
        <v>CH</v>
      </c>
      <c r="D1045" t="s">
        <v>750</v>
      </c>
      <c r="E1045" t="s">
        <v>8</v>
      </c>
      <c r="F1045" s="1">
        <f t="shared" si="1188"/>
        <v>0</v>
      </c>
      <c r="G1045" s="1">
        <f t="shared" si="1188"/>
        <v>0</v>
      </c>
      <c r="H1045" s="1">
        <f t="shared" si="1188"/>
        <v>0</v>
      </c>
      <c r="I1045" s="1">
        <f t="shared" si="1188"/>
        <v>0</v>
      </c>
      <c r="J1045" s="1">
        <f t="shared" si="1188"/>
        <v>0</v>
      </c>
      <c r="K1045" s="1">
        <f t="shared" si="1188"/>
        <v>0</v>
      </c>
      <c r="L1045" s="1">
        <f t="shared" ref="L1045" si="1190">SUM(L245,L247)</f>
        <v>0</v>
      </c>
      <c r="N1045" s="1"/>
    </row>
    <row r="1046" spans="2:14" x14ac:dyDescent="0.35">
      <c r="B1046" s="5" t="str">
        <f t="shared" si="1125"/>
        <v>SPS1</v>
      </c>
      <c r="C1046" s="5" t="str">
        <f t="shared" si="1126"/>
        <v>CH</v>
      </c>
      <c r="D1046" t="s">
        <v>751</v>
      </c>
      <c r="E1046" t="s">
        <v>8</v>
      </c>
      <c r="F1046" s="1">
        <f t="shared" ref="F1046:K1046" si="1191">SUM(F285,F286)</f>
        <v>0</v>
      </c>
      <c r="G1046" s="1">
        <f t="shared" si="1191"/>
        <v>0</v>
      </c>
      <c r="H1046" s="1">
        <f t="shared" si="1191"/>
        <v>0</v>
      </c>
      <c r="I1046" s="1">
        <f t="shared" si="1191"/>
        <v>0</v>
      </c>
      <c r="J1046" s="1">
        <f t="shared" si="1191"/>
        <v>1.184385320098329</v>
      </c>
      <c r="K1046" s="1">
        <f t="shared" si="1191"/>
        <v>1.5090315491289636</v>
      </c>
      <c r="L1046" s="1">
        <f t="shared" ref="L1046" si="1192">SUM(L285,L286)</f>
        <v>0.73545638437853633</v>
      </c>
      <c r="N1046" s="1"/>
    </row>
    <row r="1047" spans="2:14" x14ac:dyDescent="0.35">
      <c r="B1047" s="5" t="str">
        <f t="shared" si="1125"/>
        <v>SPS1</v>
      </c>
      <c r="C1047" s="5" t="str">
        <f t="shared" si="1126"/>
        <v>CH</v>
      </c>
      <c r="D1047" t="s">
        <v>1036</v>
      </c>
      <c r="E1047" t="s">
        <v>8</v>
      </c>
      <c r="F1047" s="1">
        <f>F1042-F1043</f>
        <v>7.9192319156490232</v>
      </c>
      <c r="G1047" s="1">
        <f t="shared" ref="G1047:K1047" si="1193">G1042-G1043</f>
        <v>9.6502738244417472</v>
      </c>
      <c r="H1047" s="1">
        <f t="shared" si="1193"/>
        <v>8.2746361269227968</v>
      </c>
      <c r="I1047" s="1">
        <f t="shared" si="1193"/>
        <v>11.104482969678028</v>
      </c>
      <c r="J1047" s="1">
        <f t="shared" si="1193"/>
        <v>10.624738281819976</v>
      </c>
      <c r="K1047" s="1">
        <f t="shared" si="1193"/>
        <v>11.297849800439392</v>
      </c>
      <c r="L1047" s="1">
        <f t="shared" ref="L1047" si="1194">L1042-L1043</f>
        <v>11.739823768870055</v>
      </c>
      <c r="N1047" s="1"/>
    </row>
    <row r="1048" spans="2:14" x14ac:dyDescent="0.35">
      <c r="B1048" s="5" t="str">
        <f t="shared" si="1125"/>
        <v>SPS1</v>
      </c>
      <c r="C1048" s="5" t="str">
        <f t="shared" si="1126"/>
        <v>CH</v>
      </c>
      <c r="D1048" t="s">
        <v>1037</v>
      </c>
      <c r="E1048" t="s">
        <v>8</v>
      </c>
      <c r="F1048" s="1">
        <f>[1]Residential!B$25</f>
        <v>15.195876644410834</v>
      </c>
      <c r="G1048" s="1">
        <f>[1]Residential!C$25</f>
        <v>17.649511819360285</v>
      </c>
      <c r="H1048" s="1">
        <f>[1]Residential!D$25</f>
        <v>26.405381726215662</v>
      </c>
      <c r="I1048" s="1">
        <f>[1]Residential!E$25</f>
        <v>41.295065469658269</v>
      </c>
      <c r="J1048" s="1">
        <f>[2]Residential!F$25</f>
        <v>50.36977820118193</v>
      </c>
      <c r="K1048" s="1">
        <f>[2]Residential!G$25</f>
        <v>60.67274795958717</v>
      </c>
      <c r="L1048" s="1">
        <f>[2]Residential!H$25</f>
        <v>65.317772122091512</v>
      </c>
      <c r="N1048" s="1"/>
    </row>
    <row r="1049" spans="2:14" x14ac:dyDescent="0.35">
      <c r="B1049" s="5" t="str">
        <f t="shared" si="1125"/>
        <v>SPS1</v>
      </c>
      <c r="C1049" s="5" t="str">
        <f t="shared" si="1126"/>
        <v>CH</v>
      </c>
      <c r="D1049" t="s">
        <v>1038</v>
      </c>
      <c r="E1049" t="s">
        <v>8</v>
      </c>
      <c r="F1049" s="1">
        <f>F1048-F1052</f>
        <v>13.104583897855779</v>
      </c>
      <c r="G1049" s="1">
        <f t="shared" ref="G1049:K1049" si="1195">G1048-G1052</f>
        <v>15.300398490169524</v>
      </c>
      <c r="H1049" s="1">
        <f t="shared" si="1195"/>
        <v>23.556241330367229</v>
      </c>
      <c r="I1049" s="1">
        <f t="shared" si="1195"/>
        <v>35.547404704364766</v>
      </c>
      <c r="J1049" s="1">
        <f t="shared" si="1195"/>
        <v>42.197319949452535</v>
      </c>
      <c r="K1049" s="1">
        <f t="shared" si="1195"/>
        <v>49.678534300212647</v>
      </c>
      <c r="L1049" s="1">
        <f t="shared" ref="L1049" si="1196">L1048-L1052</f>
        <v>51.15197839825202</v>
      </c>
      <c r="M1049" s="1"/>
      <c r="N1049" s="1"/>
    </row>
    <row r="1050" spans="2:14" x14ac:dyDescent="0.35">
      <c r="B1050" s="5" t="str">
        <f t="shared" si="1125"/>
        <v>SPS1</v>
      </c>
      <c r="C1050" s="5" t="str">
        <f t="shared" si="1126"/>
        <v>CH</v>
      </c>
      <c r="D1050" t="s">
        <v>752</v>
      </c>
      <c r="E1050" t="s">
        <v>8</v>
      </c>
      <c r="F1050" s="1">
        <f>F1049-F1051</f>
        <v>13.104583897855779</v>
      </c>
      <c r="G1050" s="1">
        <f t="shared" ref="G1050:K1050" si="1197">G1049-G1051</f>
        <v>15.300398490169524</v>
      </c>
      <c r="H1050" s="1">
        <f t="shared" si="1197"/>
        <v>21.172784425460719</v>
      </c>
      <c r="I1050" s="1">
        <f t="shared" si="1197"/>
        <v>28.920806101129472</v>
      </c>
      <c r="J1050" s="1">
        <f t="shared" si="1197"/>
        <v>33.905786463302249</v>
      </c>
      <c r="K1050" s="1">
        <f t="shared" si="1197"/>
        <v>39.56433445705882</v>
      </c>
      <c r="L1050" s="1">
        <f t="shared" ref="L1050" si="1198">L1049-L1051</f>
        <v>41.186107766736193</v>
      </c>
      <c r="N1050" s="1"/>
    </row>
    <row r="1051" spans="2:14" x14ac:dyDescent="0.35">
      <c r="B1051" s="5" t="str">
        <f t="shared" si="1125"/>
        <v>SPS1</v>
      </c>
      <c r="C1051" s="5" t="str">
        <f t="shared" si="1126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2.3834569049065082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6.6265986032352959</v>
      </c>
      <c r="J1051" s="1" cm="1">
        <f t="array" ref="J1051">SUMPRODUCT(([2]OUT_FinalEnergyCons!$B$4:$B$10000="Var_FOut")*1, ISNUMBER(SEARCH("RH*SHANGAH",[2]OUT_FinalEnergyCons!$C$4:$C$10000))*1,ISNUMBER(SEARCH("RH*-SHngahp",[2]OUT_FinalEnergyCons!$A$4:$A$10000))*1,[2]OUT_FinalEnergyCons!H$4:H$10000)-J999</f>
        <v>8.2915334861502821</v>
      </c>
      <c r="K1051" s="1" cm="1">
        <f t="array" ref="K1051">SUMPRODUCT(([2]OUT_FinalEnergyCons!$B$4:$B$10000="Var_FOut")*1, ISNUMBER(SEARCH("RH*SHANGAH",[2]OUT_FinalEnergyCons!$C$4:$C$10000))*1,ISNUMBER(SEARCH("RH*-SHngahp",[2]OUT_FinalEnergyCons!$A$4:$A$10000))*1,[2]OUT_FinalEnergyCons!I$4:I$10000)-K999</f>
        <v>10.11419984315383</v>
      </c>
      <c r="L1051" s="1" cm="1">
        <f t="array" ref="L1051">SUMPRODUCT(([2]OUT_FinalEnergyCons!$B$4:$B$10000="Var_FOut")*1, ISNUMBER(SEARCH("RH*SHANGAH",[2]OUT_FinalEnergyCons!$C$4:$C$10000))*1,ISNUMBER(SEARCH("RH*-SHngahp",[2]OUT_FinalEnergyCons!$A$4:$A$10000))*1,[2]OUT_FinalEnergyCons!J$4:J$10000)-L999</f>
        <v>9.9658706315158287</v>
      </c>
      <c r="M1051" s="20"/>
      <c r="N1051" s="1"/>
    </row>
    <row r="1052" spans="2:14" x14ac:dyDescent="0.35">
      <c r="B1052" s="5" t="str">
        <f t="shared" si="1125"/>
        <v>SPS1</v>
      </c>
      <c r="C1052" s="5" t="str">
        <f t="shared" si="1126"/>
        <v>CH</v>
      </c>
      <c r="D1052" t="s">
        <v>1039</v>
      </c>
      <c r="E1052" t="s">
        <v>8</v>
      </c>
      <c r="F1052" s="1">
        <f>SUM(F1053:F1054)</f>
        <v>2.0912927465550561</v>
      </c>
      <c r="G1052" s="1">
        <f t="shared" ref="G1052:K1052" si="1199">SUM(G1053:G1054)</f>
        <v>2.3491133291907618</v>
      </c>
      <c r="H1052" s="1">
        <f t="shared" si="1199"/>
        <v>2.8491403958484338</v>
      </c>
      <c r="I1052" s="1">
        <f t="shared" si="1199"/>
        <v>5.7476607652935048</v>
      </c>
      <c r="J1052" s="1">
        <f t="shared" si="1199"/>
        <v>8.1724582517293918</v>
      </c>
      <c r="K1052" s="1">
        <f t="shared" si="1199"/>
        <v>10.99421365937452</v>
      </c>
      <c r="L1052" s="1">
        <f t="shared" ref="L1052" si="1200">SUM(L1053:L1054)</f>
        <v>14.16579372383949</v>
      </c>
      <c r="N1052" s="1"/>
    </row>
    <row r="1053" spans="2:14" x14ac:dyDescent="0.35">
      <c r="B1053" s="5" t="str">
        <f t="shared" si="1125"/>
        <v>SPS1</v>
      </c>
      <c r="C1053" s="5" t="str">
        <f t="shared" si="1126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2.0912927465550561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2.3491133291907618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2.2971762488174985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3.8986831180995312</v>
      </c>
      <c r="J1053" s="1" cm="1">
        <f t="array" ref="J1053">SUMPRODUCT(([2]OUT_FinalEnergyCons!$B$4:$B$10000="Var_FOut")*1, ISNUMBER(SEARCH("RHSA-WHAELCH",[2]OUT_FinalEnergyCons!$C$4:$C$10000))*1,(ISNUMBER(SEARCH("RHSA-WHELCHP",[2]OUT_FinalEnergyCons!$A$4:$A$10000)))*1,[2]OUT_FinalEnergyCons!H$4:H$10000)-J979</f>
        <v>5.4799064959906749</v>
      </c>
      <c r="K1053" s="1" cm="1">
        <f t="array" ref="K1053">SUMPRODUCT(([2]OUT_FinalEnergyCons!$B$4:$B$10000="Var_FOut")*1, ISNUMBER(SEARCH("RHSA-WHAELCH",[2]OUT_FinalEnergyCons!$C$4:$C$10000))*1,(ISNUMBER(SEARCH("RHSA-WHELCHP",[2]OUT_FinalEnergyCons!$A$4:$A$10000)))*1,[2]OUT_FinalEnergyCons!I$4:I$10000)-K979</f>
        <v>7.3487900007947653</v>
      </c>
      <c r="L1053" s="1" cm="1">
        <f t="array" ref="L1053">SUMPRODUCT(([2]OUT_FinalEnergyCons!$B$4:$B$10000="Var_FOut")*1, ISNUMBER(SEARCH("RHSA-WHAELCH",[2]OUT_FinalEnergyCons!$C$4:$C$10000))*1,(ISNUMBER(SEARCH("RHSA-WHELCHP",[2]OUT_FinalEnergyCons!$A$4:$A$10000)))*1,[2]OUT_FinalEnergyCons!J$4:J$10000)-L979</f>
        <v>9.6650223993108781</v>
      </c>
      <c r="N1053" s="1"/>
    </row>
    <row r="1054" spans="2:14" x14ac:dyDescent="0.35">
      <c r="B1054" s="5" t="str">
        <f t="shared" si="1125"/>
        <v>SPS1</v>
      </c>
      <c r="C1054" s="5" t="str">
        <f t="shared" si="1126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0.55196414703093544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1.8489776471939738</v>
      </c>
      <c r="J1054" s="1" cm="1">
        <f t="array" ref="J1054">SUMPRODUCT(([2]OUT_FinalEnergyCons!$B$4:$B$10000="Var_FOut")*1,ISNUMBER(SEARCH("RHSA-WHangah",[2]OUT_FinalEnergyCons!$C$4:$C$10000))*1,(ISNUMBER(SEARCH("RHSA-WHngahp",[2]OUT_FinalEnergyCons!$A$4:$A$10000)))*1,[2]OUT_FinalEnergyCons!H$4:H$10000)-J1008</f>
        <v>2.6925517557387164</v>
      </c>
      <c r="K1054" s="1" cm="1">
        <f t="array" ref="K1054">SUMPRODUCT(([2]OUT_FinalEnergyCons!$B$4:$B$10000="Var_FOut")*1,ISNUMBER(SEARCH("RHSA-WHangah",[2]OUT_FinalEnergyCons!$C$4:$C$10000))*1,(ISNUMBER(SEARCH("RHSA-WHngahp",[2]OUT_FinalEnergyCons!$A$4:$A$10000)))*1,[2]OUT_FinalEnergyCons!I$4:I$10000)-K1008</f>
        <v>3.6454236585797553</v>
      </c>
      <c r="L1054" s="1" cm="1">
        <f t="array" ref="L1054">SUMPRODUCT(([2]OUT_FinalEnergyCons!$B$4:$B$10000="Var_FOut")*1,ISNUMBER(SEARCH("RHSA-WHangah",[2]OUT_FinalEnergyCons!$C$4:$C$10000))*1,(ISNUMBER(SEARCH("RHSA-WHngahp",[2]OUT_FinalEnergyCons!$A$4:$A$10000)))*1,[2]OUT_FinalEnergyCons!J$4:J$10000)-L1008</f>
        <v>4.5007713245286123</v>
      </c>
      <c r="N1054" s="1"/>
    </row>
    <row r="1055" spans="2:14" x14ac:dyDescent="0.35">
      <c r="B1055" s="5" t="str">
        <f t="shared" si="1125"/>
        <v>SPS1</v>
      </c>
      <c r="C1055" s="5" t="str">
        <f t="shared" si="1126"/>
        <v>CH</v>
      </c>
      <c r="D1055" s="2" t="s">
        <v>756</v>
      </c>
      <c r="E1055" t="s">
        <v>8</v>
      </c>
      <c r="F1055" s="3">
        <f>[1]Residential!B$245</f>
        <v>156.12093687770451</v>
      </c>
      <c r="G1055" s="3">
        <f>[1]Residential!C$245</f>
        <v>162.39800958354641</v>
      </c>
      <c r="H1055" s="3">
        <f>[1]Residential!D$245</f>
        <v>147.54689137631874</v>
      </c>
      <c r="I1055" s="3">
        <f>[1]Residential!E$245</f>
        <v>145.94323275574402</v>
      </c>
      <c r="J1055" s="3">
        <f>[2]Residential!F$245</f>
        <v>146.04092988135261</v>
      </c>
      <c r="K1055" s="3">
        <f>[2]Residential!G$245</f>
        <v>147.0132921299371</v>
      </c>
      <c r="L1055" s="3">
        <f>[2]Residential!H$245</f>
        <v>146.49031869481666</v>
      </c>
      <c r="N1055" s="1"/>
    </row>
    <row r="1056" spans="2:14" x14ac:dyDescent="0.3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129.14095656623883</v>
      </c>
      <c r="G1056" s="1">
        <f>[1]Residential!C$116</f>
        <v>136.46090974765966</v>
      </c>
      <c r="H1056" s="1">
        <f>[1]Residential!D$116</f>
        <v>125.87637498666756</v>
      </c>
      <c r="I1056" s="1">
        <f>[1]Residential!E$116</f>
        <v>123.84969173940918</v>
      </c>
      <c r="J1056" s="1">
        <f>[2]Residential!F$116</f>
        <v>121.95940804127127</v>
      </c>
      <c r="K1056" s="1">
        <f>[2]Residential!G$116</f>
        <v>120.32794391736338</v>
      </c>
      <c r="L1056" s="1">
        <f>[2]Residential!H$116</f>
        <v>118.08350712108744</v>
      </c>
      <c r="N1056" s="1"/>
    </row>
    <row r="1057" spans="2:14" x14ac:dyDescent="0.35">
      <c r="B1057" s="5" t="str">
        <f t="shared" ref="B1057:B1107" si="1201">B1056</f>
        <v>SPS1</v>
      </c>
      <c r="C1057" s="5" t="str">
        <f t="shared" ref="C1057:C1107" si="1202">C1056</f>
        <v>CH</v>
      </c>
      <c r="D1057" t="s">
        <v>1115</v>
      </c>
      <c r="E1057" t="s">
        <v>8</v>
      </c>
      <c r="F1057" s="1">
        <f>SUM(F1058:F1059)</f>
        <v>27.969780432056027</v>
      </c>
      <c r="G1057" s="1">
        <f t="shared" ref="G1057:K1057" si="1203">SUM(G1058:G1059)</f>
        <v>29.966422345251523</v>
      </c>
      <c r="H1057" s="1">
        <f t="shared" si="1203"/>
        <v>32.71461376248768</v>
      </c>
      <c r="I1057" s="1">
        <f t="shared" si="1203"/>
        <v>42.008866765382677</v>
      </c>
      <c r="J1057" s="1">
        <f t="shared" si="1203"/>
        <v>47.7938568408034</v>
      </c>
      <c r="K1057" s="1">
        <f t="shared" si="1203"/>
        <v>54.486649434436458</v>
      </c>
      <c r="L1057" s="1">
        <f t="shared" ref="L1057" si="1204">SUM(L1058:L1059)</f>
        <v>54.657668535088852</v>
      </c>
      <c r="N1057" s="1"/>
    </row>
    <row r="1058" spans="2:14" x14ac:dyDescent="0.35">
      <c r="B1058" s="5" t="str">
        <f t="shared" si="1201"/>
        <v>SPS1</v>
      </c>
      <c r="C1058" s="5" t="str">
        <f t="shared" si="1202"/>
        <v>CH</v>
      </c>
      <c r="D1058" t="s">
        <v>1116</v>
      </c>
      <c r="E1058" t="s">
        <v>8</v>
      </c>
      <c r="F1058" s="1">
        <f>[1]Residential!B$102</f>
        <v>8.9085674897203564</v>
      </c>
      <c r="G1058" s="1">
        <f>[1]Residential!C$102</f>
        <v>7.8759061819298264</v>
      </c>
      <c r="H1058" s="1">
        <f>[1]Residential!D$102</f>
        <v>0.82943084241698029</v>
      </c>
      <c r="I1058" s="1">
        <f>[1]Residential!E$102</f>
        <v>0.21068725652402101</v>
      </c>
      <c r="J1058" s="1">
        <f>[2]Residential!F$102</f>
        <v>3.0132207029568706E-2</v>
      </c>
      <c r="K1058" s="1">
        <f>[2]Residential!G$102</f>
        <v>1.9733083519179129E-2</v>
      </c>
      <c r="L1058" s="1">
        <f>[2]Residential!H$102</f>
        <v>1.6744693018244015E-2</v>
      </c>
      <c r="N1058" s="1"/>
    </row>
    <row r="1059" spans="2:14" x14ac:dyDescent="0.35">
      <c r="B1059" s="5" t="str">
        <f t="shared" si="1201"/>
        <v>SPS1</v>
      </c>
      <c r="C1059" s="5" t="str">
        <f t="shared" si="1202"/>
        <v>CH</v>
      </c>
      <c r="D1059" t="s">
        <v>1117</v>
      </c>
      <c r="E1059" t="s">
        <v>8</v>
      </c>
      <c r="F1059" s="1">
        <f>[1]Residential!B$104</f>
        <v>19.061212942335672</v>
      </c>
      <c r="G1059" s="1">
        <f>[1]Residential!C$104</f>
        <v>22.090516163321695</v>
      </c>
      <c r="H1059" s="1">
        <f>[1]Residential!D$104</f>
        <v>31.885182920070701</v>
      </c>
      <c r="I1059" s="1">
        <f>[1]Residential!E$104</f>
        <v>41.798179508858659</v>
      </c>
      <c r="J1059" s="1">
        <f>[2]Residential!F$104</f>
        <v>47.763724633773833</v>
      </c>
      <c r="K1059" s="1">
        <f>[2]Residential!G$104</f>
        <v>54.46691635091728</v>
      </c>
      <c r="L1059" s="1">
        <f>[2]Residential!H$104</f>
        <v>54.640923842070606</v>
      </c>
      <c r="N1059" s="1"/>
    </row>
    <row r="1060" spans="2:14" x14ac:dyDescent="0.35">
      <c r="B1060" s="5" t="str">
        <f t="shared" si="1201"/>
        <v>SPS1</v>
      </c>
      <c r="C1060" s="5" t="str">
        <f t="shared" si="1202"/>
        <v>CH</v>
      </c>
      <c r="D1060" t="s">
        <v>1046</v>
      </c>
      <c r="E1060" t="s">
        <v>8</v>
      </c>
      <c r="F1060" s="1">
        <f>F1061</f>
        <v>45.124732449375429</v>
      </c>
      <c r="G1060" s="1">
        <f t="shared" ref="G1060:L1060" si="1205">G1061</f>
        <v>38.635311529864616</v>
      </c>
      <c r="H1060" s="1">
        <f t="shared" si="1205"/>
        <v>34.597407280433458</v>
      </c>
      <c r="I1060" s="1">
        <f t="shared" si="1205"/>
        <v>17.724732600971546</v>
      </c>
      <c r="J1060" s="1">
        <f t="shared" si="1205"/>
        <v>11.280621507637852</v>
      </c>
      <c r="K1060" s="1">
        <f t="shared" si="1205"/>
        <v>4.0729943868941358</v>
      </c>
      <c r="L1060" s="1">
        <f t="shared" si="1205"/>
        <v>0.4164693563231352</v>
      </c>
      <c r="N1060" s="1"/>
    </row>
    <row r="1061" spans="2:14" x14ac:dyDescent="0.35">
      <c r="B1061" s="5" t="str">
        <f t="shared" si="1201"/>
        <v>SPS1</v>
      </c>
      <c r="C1061" s="5" t="str">
        <f t="shared" si="1202"/>
        <v>CH</v>
      </c>
      <c r="D1061" t="s">
        <v>1047</v>
      </c>
      <c r="E1061" t="s">
        <v>8</v>
      </c>
      <c r="F1061" s="1">
        <f>[1]Residential!B$105</f>
        <v>45.124732449375429</v>
      </c>
      <c r="G1061" s="1">
        <f>[1]Residential!C$105</f>
        <v>38.635311529864616</v>
      </c>
      <c r="H1061" s="1">
        <f>[1]Residential!D$105</f>
        <v>34.597407280433458</v>
      </c>
      <c r="I1061" s="1">
        <f>[1]Residential!E$105</f>
        <v>17.724732600971546</v>
      </c>
      <c r="J1061" s="1">
        <f>[2]Residential!F$105</f>
        <v>11.280621507637852</v>
      </c>
      <c r="K1061" s="1">
        <f>[2]Residential!G$105</f>
        <v>4.0729943868941358</v>
      </c>
      <c r="L1061" s="1">
        <f>[2]Residential!H$105</f>
        <v>0.4164693563231352</v>
      </c>
      <c r="N1061" s="1"/>
    </row>
    <row r="1062" spans="2:14" x14ac:dyDescent="0.35">
      <c r="B1062" s="5" t="str">
        <f t="shared" si="1201"/>
        <v>SPS1</v>
      </c>
      <c r="C1062" s="5" t="str">
        <f t="shared" si="1202"/>
        <v>CH</v>
      </c>
      <c r="D1062" t="s">
        <v>1048</v>
      </c>
      <c r="E1062" t="s">
        <v>8</v>
      </c>
      <c r="F1062" s="1">
        <f>SUM(F1063:F1064)</f>
        <v>36.570240194623402</v>
      </c>
      <c r="G1062" s="1">
        <f t="shared" ref="G1062:K1062" si="1206">SUM(G1063:G1064)</f>
        <v>39.169535469418108</v>
      </c>
      <c r="H1062" s="1">
        <f t="shared" si="1206"/>
        <v>36.848351092744977</v>
      </c>
      <c r="I1062" s="1">
        <f t="shared" si="1206"/>
        <v>36.507618357572085</v>
      </c>
      <c r="J1062" s="1">
        <f t="shared" si="1206"/>
        <v>31.449416469691389</v>
      </c>
      <c r="K1062" s="1">
        <f t="shared" si="1206"/>
        <v>26.604975964403728</v>
      </c>
      <c r="L1062" s="1">
        <f t="shared" ref="L1062" si="1207">SUM(L1063:L1064)</f>
        <v>21.37918106549353</v>
      </c>
      <c r="N1062" s="1"/>
    </row>
    <row r="1063" spans="2:14" x14ac:dyDescent="0.35">
      <c r="B1063" s="5" t="str">
        <f t="shared" si="1201"/>
        <v>SPS1</v>
      </c>
      <c r="C1063" s="5" t="str">
        <f t="shared" si="1202"/>
        <v>CH</v>
      </c>
      <c r="D1063" t="s">
        <v>1049</v>
      </c>
      <c r="E1063" t="s">
        <v>8</v>
      </c>
      <c r="F1063" s="1">
        <f>[1]Residential!B$106</f>
        <v>36.570240194623402</v>
      </c>
      <c r="G1063" s="1">
        <f>[1]Residential!C$106</f>
        <v>39.169535469418108</v>
      </c>
      <c r="H1063" s="1">
        <f>[1]Residential!D$106</f>
        <v>31.695714547827524</v>
      </c>
      <c r="I1063" s="1">
        <f>[1]Residential!E$106</f>
        <v>22.816436145620465</v>
      </c>
      <c r="J1063" s="1">
        <f>[2]Residential!F$106</f>
        <v>14.564586274011337</v>
      </c>
      <c r="K1063" s="1">
        <f>[2]Residential!G$106</f>
        <v>6.3349159995660802</v>
      </c>
      <c r="L1063" s="1">
        <f>[2]Residential!H$106</f>
        <v>2.4178079891757323</v>
      </c>
      <c r="N1063" s="1"/>
    </row>
    <row r="1064" spans="2:14" x14ac:dyDescent="0.35">
      <c r="B1064" s="5" t="str">
        <f t="shared" si="1201"/>
        <v>SPS1</v>
      </c>
      <c r="C1064" s="5" t="str">
        <f t="shared" si="1202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5.1526365449174509</v>
      </c>
      <c r="I1064" s="1">
        <f>[1]Residential!E$107</f>
        <v>13.691182211951618</v>
      </c>
      <c r="J1064" s="1">
        <f>[2]Residential!F$107</f>
        <v>16.884830195680053</v>
      </c>
      <c r="K1064" s="1">
        <f>[2]Residential!G$107</f>
        <v>20.270059964837646</v>
      </c>
      <c r="L1064" s="1">
        <f>[2]Residential!H$107</f>
        <v>18.961373076317798</v>
      </c>
      <c r="N1064" s="1"/>
    </row>
    <row r="1065" spans="2:14" x14ac:dyDescent="0.35">
      <c r="B1065" s="5" t="str">
        <f t="shared" si="1201"/>
        <v>SPS1</v>
      </c>
      <c r="C1065" s="5" t="str">
        <f t="shared" si="1202"/>
        <v>CH</v>
      </c>
      <c r="D1065" t="s">
        <v>1051</v>
      </c>
      <c r="E1065" t="s">
        <v>8</v>
      </c>
      <c r="F1065" s="1">
        <f>F1066</f>
        <v>7.2022214399904735E-2</v>
      </c>
      <c r="G1065" s="1">
        <f t="shared" ref="G1065:L1065" si="1208">G1066</f>
        <v>7.2008595881379006E-2</v>
      </c>
      <c r="H1065" s="1">
        <f t="shared" si="1208"/>
        <v>2.1557763122038238E-2</v>
      </c>
      <c r="I1065" s="1">
        <f t="shared" si="1208"/>
        <v>1.9032325884117376E-4</v>
      </c>
      <c r="J1065" s="1">
        <f t="shared" si="1208"/>
        <v>0</v>
      </c>
      <c r="K1065" s="1">
        <f t="shared" si="1208"/>
        <v>0</v>
      </c>
      <c r="L1065" s="1">
        <f t="shared" si="1208"/>
        <v>0</v>
      </c>
      <c r="N1065" s="1"/>
    </row>
    <row r="1066" spans="2:14" x14ac:dyDescent="0.35">
      <c r="B1066" s="5" t="str">
        <f t="shared" si="1201"/>
        <v>SPS1</v>
      </c>
      <c r="C1066" s="5" t="str">
        <f t="shared" si="1202"/>
        <v>CH</v>
      </c>
      <c r="D1066" t="s">
        <v>1052</v>
      </c>
      <c r="E1066" t="s">
        <v>8</v>
      </c>
      <c r="F1066" s="1">
        <f>[1]Residential!B$108</f>
        <v>7.2022214399904735E-2</v>
      </c>
      <c r="G1066" s="1">
        <f>[1]Residential!C$108</f>
        <v>7.2008595881379006E-2</v>
      </c>
      <c r="H1066" s="1">
        <f>[1]Residential!D$108</f>
        <v>2.1557763122038238E-2</v>
      </c>
      <c r="I1066" s="1">
        <f>[1]Residential!E$108</f>
        <v>1.9032325884117376E-4</v>
      </c>
      <c r="J1066" s="1">
        <f>[2]Residential!F$108</f>
        <v>0</v>
      </c>
      <c r="K1066" s="1">
        <f>[2]Residential!G$108</f>
        <v>0</v>
      </c>
      <c r="L1066" s="1">
        <f>[2]Residential!H$108</f>
        <v>0</v>
      </c>
      <c r="N1066" s="1"/>
    </row>
    <row r="1067" spans="2:14" x14ac:dyDescent="0.35">
      <c r="B1067" s="5" t="str">
        <f t="shared" si="1201"/>
        <v>SPS1</v>
      </c>
      <c r="C1067" s="5" t="str">
        <f t="shared" si="1202"/>
        <v>CH</v>
      </c>
      <c r="D1067" t="s">
        <v>1053</v>
      </c>
      <c r="E1067" t="s">
        <v>8</v>
      </c>
      <c r="F1067" s="1">
        <f>SUM([1]Residential!B$109:B$110)</f>
        <v>6.3539959009895082</v>
      </c>
      <c r="G1067" s="1">
        <f>SUM([1]Residential!C$109:C$110)</f>
        <v>7.7404850754501888</v>
      </c>
      <c r="H1067" s="1">
        <f>SUM([1]Residential!D$109:D$110)</f>
        <v>5.9165475947607744</v>
      </c>
      <c r="I1067" s="1">
        <f>SUM([1]Residential!E$109:E$110)</f>
        <v>7.5774800703476881</v>
      </c>
      <c r="J1067" s="1">
        <f>SUM([2]Residential!F$109:F$110)</f>
        <v>7.9181095786993341</v>
      </c>
      <c r="K1067" s="1">
        <f>SUM([2]Residential!G$109:G$110)</f>
        <v>8.3960568188864517</v>
      </c>
      <c r="L1067" s="1">
        <f>SUM([2]Residential!H$109:H$110)</f>
        <v>7.8586451889061699</v>
      </c>
      <c r="N1067" s="1"/>
    </row>
    <row r="1068" spans="2:14" x14ac:dyDescent="0.35">
      <c r="B1068" s="5" t="str">
        <f t="shared" si="1201"/>
        <v>SPS1</v>
      </c>
      <c r="C1068" s="5" t="str">
        <f t="shared" si="1202"/>
        <v>CH</v>
      </c>
      <c r="D1068" t="s">
        <v>1054</v>
      </c>
      <c r="E1068" t="s">
        <v>8</v>
      </c>
      <c r="F1068" s="1">
        <f>[1]Residential!B$109</f>
        <v>9.0200977587860984E-2</v>
      </c>
      <c r="G1068" s="1">
        <f>[1]Residential!C$109</f>
        <v>4.6584744819928164E-2</v>
      </c>
      <c r="H1068" s="1">
        <f>[1]Residential!D$109</f>
        <v>0</v>
      </c>
      <c r="I1068" s="1">
        <f>[1]Residential!E$109</f>
        <v>0</v>
      </c>
      <c r="J1068" s="1">
        <f>[2]Residential!F$109</f>
        <v>0</v>
      </c>
      <c r="K1068" s="1">
        <f>[2]Residential!G$109</f>
        <v>0</v>
      </c>
      <c r="L1068" s="1">
        <f>[2]Residential!H$109</f>
        <v>0</v>
      </c>
      <c r="N1068" s="1"/>
    </row>
    <row r="1069" spans="2:14" x14ac:dyDescent="0.35">
      <c r="B1069" s="5" t="str">
        <f t="shared" si="1201"/>
        <v>SPS1</v>
      </c>
      <c r="C1069" s="5" t="str">
        <f t="shared" si="1202"/>
        <v>CH</v>
      </c>
      <c r="D1069" t="s">
        <v>1055</v>
      </c>
      <c r="E1069" t="s">
        <v>8</v>
      </c>
      <c r="F1069" s="1">
        <f>IFERROR(F$1068/F$1043,0)*F1044</f>
        <v>9.0200977587860984E-2</v>
      </c>
      <c r="G1069" s="1">
        <f t="shared" ref="G1069:K1069" si="1209">IFERROR(G$1068/G$1043,0)*G1044</f>
        <v>4.6584744819928164E-2</v>
      </c>
      <c r="H1069" s="1">
        <f t="shared" si="1209"/>
        <v>0</v>
      </c>
      <c r="I1069" s="1">
        <f t="shared" si="1209"/>
        <v>0</v>
      </c>
      <c r="J1069" s="1">
        <f t="shared" si="1209"/>
        <v>0</v>
      </c>
      <c r="K1069" s="1">
        <f t="shared" si="1209"/>
        <v>0</v>
      </c>
      <c r="L1069" s="1">
        <f t="shared" ref="L1069" si="1210">IFERROR(L$1068/L$1043,0)*L1044</f>
        <v>0</v>
      </c>
      <c r="N1069" s="1"/>
    </row>
    <row r="1070" spans="2:14" x14ac:dyDescent="0.35">
      <c r="B1070" s="5" t="str">
        <f t="shared" si="1201"/>
        <v>SPS1</v>
      </c>
      <c r="C1070" s="5" t="str">
        <f t="shared" si="1202"/>
        <v>CH</v>
      </c>
      <c r="D1070" t="s">
        <v>1056</v>
      </c>
      <c r="E1070" t="s">
        <v>8</v>
      </c>
      <c r="F1070" s="1">
        <f t="shared" ref="F1070:K1070" si="1211">IFERROR(F$1068/F$1043,0)*F1045</f>
        <v>0</v>
      </c>
      <c r="G1070" s="1">
        <f t="shared" si="1211"/>
        <v>0</v>
      </c>
      <c r="H1070" s="1">
        <f t="shared" si="1211"/>
        <v>0</v>
      </c>
      <c r="I1070" s="1">
        <f t="shared" si="1211"/>
        <v>0</v>
      </c>
      <c r="J1070" s="1">
        <f t="shared" si="1211"/>
        <v>0</v>
      </c>
      <c r="K1070" s="1">
        <f t="shared" si="1211"/>
        <v>0</v>
      </c>
      <c r="L1070" s="1">
        <f t="shared" ref="L1070" si="1212">IFERROR(L$1068/L$1043,0)*L1045</f>
        <v>0</v>
      </c>
      <c r="N1070" s="1"/>
    </row>
    <row r="1071" spans="2:14" x14ac:dyDescent="0.35">
      <c r="B1071" s="5" t="str">
        <f t="shared" si="1201"/>
        <v>SPS1</v>
      </c>
      <c r="C1071" s="5" t="str">
        <f t="shared" si="1202"/>
        <v>CH</v>
      </c>
      <c r="D1071" t="s">
        <v>1057</v>
      </c>
      <c r="E1071" t="s">
        <v>8</v>
      </c>
      <c r="F1071" s="1">
        <f t="shared" ref="F1071:K1071" si="1213">IFERROR(F$1068/F$1043,0)*F1046</f>
        <v>0</v>
      </c>
      <c r="G1071" s="1">
        <f t="shared" si="1213"/>
        <v>0</v>
      </c>
      <c r="H1071" s="1">
        <f t="shared" si="1213"/>
        <v>0</v>
      </c>
      <c r="I1071" s="1">
        <f t="shared" si="1213"/>
        <v>0</v>
      </c>
      <c r="J1071" s="1">
        <f t="shared" si="1213"/>
        <v>0</v>
      </c>
      <c r="K1071" s="1">
        <f t="shared" si="1213"/>
        <v>0</v>
      </c>
      <c r="L1071" s="1">
        <f t="shared" ref="L1071" si="1214">IFERROR(L$1068/L$1043,0)*L1046</f>
        <v>0</v>
      </c>
      <c r="N1071" s="1"/>
    </row>
    <row r="1072" spans="2:14" x14ac:dyDescent="0.35">
      <c r="B1072" s="5" t="str">
        <f t="shared" si="1201"/>
        <v>SPS1</v>
      </c>
      <c r="C1072" s="5" t="str">
        <f t="shared" si="1202"/>
        <v>CH</v>
      </c>
      <c r="D1072" t="s">
        <v>1058</v>
      </c>
      <c r="E1072" t="s">
        <v>8</v>
      </c>
      <c r="F1072" s="1">
        <f>F1067-F1068</f>
        <v>6.2637949234016475</v>
      </c>
      <c r="G1072" s="1">
        <f t="shared" ref="G1072:K1072" si="1215">G1067-G1068</f>
        <v>7.6939003306302602</v>
      </c>
      <c r="H1072" s="1">
        <f t="shared" si="1215"/>
        <v>5.9165475947607744</v>
      </c>
      <c r="I1072" s="1">
        <f t="shared" si="1215"/>
        <v>7.5774800703476881</v>
      </c>
      <c r="J1072" s="1">
        <f t="shared" si="1215"/>
        <v>7.9181095786993341</v>
      </c>
      <c r="K1072" s="1">
        <f t="shared" si="1215"/>
        <v>8.3960568188864517</v>
      </c>
      <c r="L1072" s="1">
        <f t="shared" ref="L1072" si="1216">L1067-L1068</f>
        <v>7.8586451889061699</v>
      </c>
      <c r="N1072" s="1"/>
    </row>
    <row r="1073" spans="2:14" x14ac:dyDescent="0.35">
      <c r="B1073" s="5" t="str">
        <f t="shared" si="1201"/>
        <v>SPS1</v>
      </c>
      <c r="C1073" s="5" t="str">
        <f t="shared" si="1202"/>
        <v>CH</v>
      </c>
      <c r="D1073" t="s">
        <v>1059</v>
      </c>
      <c r="E1073" t="s">
        <v>8</v>
      </c>
      <c r="F1073" s="1">
        <f>F1074</f>
        <v>9.1312798097288201</v>
      </c>
      <c r="G1073" s="1">
        <f t="shared" ref="G1073:L1073" si="1217">G1074</f>
        <v>10.087236125273765</v>
      </c>
      <c r="H1073" s="1">
        <f t="shared" si="1217"/>
        <v>10.23846304949334</v>
      </c>
      <c r="I1073" s="1">
        <f t="shared" si="1217"/>
        <v>9.0203082549108444</v>
      </c>
      <c r="J1073" s="1">
        <f t="shared" si="1217"/>
        <v>7.5548061705878267</v>
      </c>
      <c r="K1073" s="1">
        <f t="shared" si="1217"/>
        <v>6.1772480905988845</v>
      </c>
      <c r="L1073" s="1">
        <f t="shared" si="1217"/>
        <v>3.5311680872274032</v>
      </c>
      <c r="N1073" s="1"/>
    </row>
    <row r="1074" spans="2:14" x14ac:dyDescent="0.35">
      <c r="B1074" s="5" t="str">
        <f t="shared" si="1201"/>
        <v>SPS1</v>
      </c>
      <c r="C1074" s="5" t="str">
        <f t="shared" si="1202"/>
        <v>CH</v>
      </c>
      <c r="D1074" t="s">
        <v>1060</v>
      </c>
      <c r="E1074" t="s">
        <v>8</v>
      </c>
      <c r="F1074" s="1">
        <f>[1]Residential!B$111</f>
        <v>9.1312798097288201</v>
      </c>
      <c r="G1074" s="1">
        <f>[1]Residential!C$111</f>
        <v>10.087236125273765</v>
      </c>
      <c r="H1074" s="1">
        <f>[1]Residential!D$111</f>
        <v>10.23846304949334</v>
      </c>
      <c r="I1074" s="1">
        <f>[1]Residential!E$111</f>
        <v>9.0203082549108444</v>
      </c>
      <c r="J1074" s="1">
        <f>[2]Residential!F$111</f>
        <v>7.5548061705878267</v>
      </c>
      <c r="K1074" s="1">
        <f>[2]Residential!G$111</f>
        <v>6.1772480905988845</v>
      </c>
      <c r="L1074" s="1">
        <f>[2]Residential!H$111</f>
        <v>3.5311680872274032</v>
      </c>
      <c r="N1074" s="1"/>
    </row>
    <row r="1075" spans="2:14" x14ac:dyDescent="0.35">
      <c r="B1075" s="5" t="str">
        <f t="shared" si="1201"/>
        <v>SPS1</v>
      </c>
      <c r="C1075" s="5" t="str">
        <f t="shared" si="1202"/>
        <v>CH</v>
      </c>
      <c r="D1075" t="s">
        <v>1061</v>
      </c>
      <c r="E1075" t="s">
        <v>8</v>
      </c>
      <c r="F1075" s="1">
        <f>F1076</f>
        <v>2.6970513256776814</v>
      </c>
      <c r="G1075" s="1">
        <f t="shared" ref="G1075:L1075" si="1218">G1076</f>
        <v>3.1683493070209496</v>
      </c>
      <c r="H1075" s="1">
        <f t="shared" si="1218"/>
        <v>0.32585701234233616</v>
      </c>
      <c r="I1075" s="1">
        <f t="shared" si="1218"/>
        <v>0.39995686502393585</v>
      </c>
      <c r="J1075" s="1">
        <f t="shared" si="1218"/>
        <v>0.41287657719705312</v>
      </c>
      <c r="K1075" s="1">
        <f t="shared" si="1218"/>
        <v>0.44134273794389389</v>
      </c>
      <c r="L1075" s="1">
        <f t="shared" si="1218"/>
        <v>0.36609861555396311</v>
      </c>
      <c r="N1075" s="1"/>
    </row>
    <row r="1076" spans="2:14" x14ac:dyDescent="0.35">
      <c r="B1076" s="5" t="str">
        <f t="shared" si="1201"/>
        <v>SPS1</v>
      </c>
      <c r="C1076" s="5" t="str">
        <f t="shared" si="1202"/>
        <v>CH</v>
      </c>
      <c r="D1076" t="s">
        <v>1062</v>
      </c>
      <c r="E1076" t="s">
        <v>8</v>
      </c>
      <c r="F1076" s="1">
        <f>[1]Residential!B$112</f>
        <v>2.6970513256776814</v>
      </c>
      <c r="G1076" s="1">
        <f>[1]Residential!C$112</f>
        <v>3.1683493070209496</v>
      </c>
      <c r="H1076" s="1">
        <f>[1]Residential!D$112</f>
        <v>0.32585701234233616</v>
      </c>
      <c r="I1076" s="1">
        <f>[1]Residential!E$112</f>
        <v>0.39995686502393585</v>
      </c>
      <c r="J1076" s="1">
        <f>[2]Residential!F$112</f>
        <v>0.41287657719705312</v>
      </c>
      <c r="K1076" s="1">
        <f>[2]Residential!G$112</f>
        <v>0.44134273794389389</v>
      </c>
      <c r="L1076" s="1">
        <f>[2]Residential!H$112</f>
        <v>0.36609861555396311</v>
      </c>
      <c r="N1076" s="1"/>
    </row>
    <row r="1077" spans="2:14" x14ac:dyDescent="0.35">
      <c r="B1077" s="5" t="str">
        <f t="shared" si="1201"/>
        <v>SPS1</v>
      </c>
      <c r="C1077" s="5" t="str">
        <f t="shared" si="1202"/>
        <v>CH</v>
      </c>
      <c r="D1077" t="s">
        <v>1063</v>
      </c>
      <c r="E1077" t="s">
        <v>8</v>
      </c>
      <c r="F1077" s="1">
        <f>F1078</f>
        <v>0.78544063424289079</v>
      </c>
      <c r="G1077" s="1">
        <f t="shared" ref="G1077:L1077" si="1219">G1078</f>
        <v>0.94185363396680555</v>
      </c>
      <c r="H1077" s="1">
        <f t="shared" si="1219"/>
        <v>3.1977953162283961E-2</v>
      </c>
      <c r="I1077" s="1">
        <f t="shared" si="1219"/>
        <v>3.4980842181890168E-2</v>
      </c>
      <c r="J1077" s="1">
        <f t="shared" si="1219"/>
        <v>3.439566950903844E-2</v>
      </c>
      <c r="K1077" s="1">
        <f t="shared" si="1219"/>
        <v>3.3153127190014113E-2</v>
      </c>
      <c r="L1077" s="1">
        <f t="shared" si="1219"/>
        <v>2.9423226542176523E-2</v>
      </c>
      <c r="N1077" s="1"/>
    </row>
    <row r="1078" spans="2:14" x14ac:dyDescent="0.35">
      <c r="B1078" s="5" t="str">
        <f t="shared" si="1201"/>
        <v>SPS1</v>
      </c>
      <c r="C1078" s="5" t="str">
        <f t="shared" si="1202"/>
        <v>CH</v>
      </c>
      <c r="D1078" t="s">
        <v>1064</v>
      </c>
      <c r="E1078" t="s">
        <v>8</v>
      </c>
      <c r="F1078" s="1">
        <f>[1]Residential!B$113</f>
        <v>0.78544063424289079</v>
      </c>
      <c r="G1078" s="1">
        <f>[1]Residential!C$113</f>
        <v>0.94185363396680555</v>
      </c>
      <c r="H1078" s="1">
        <f>[1]Residential!D$113</f>
        <v>3.1977953162283961E-2</v>
      </c>
      <c r="I1078" s="1">
        <f>[1]Residential!E$113</f>
        <v>3.4980842181890168E-2</v>
      </c>
      <c r="J1078" s="1">
        <f>[2]Residential!F$113</f>
        <v>3.439566950903844E-2</v>
      </c>
      <c r="K1078" s="1">
        <f>[2]Residential!G$113</f>
        <v>3.3153127190014113E-2</v>
      </c>
      <c r="L1078" s="1">
        <f>[2]Residential!H$113</f>
        <v>2.9423226542176523E-2</v>
      </c>
      <c r="N1078" s="1"/>
    </row>
    <row r="1079" spans="2:14" x14ac:dyDescent="0.35">
      <c r="B1079" s="5" t="str">
        <f t="shared" si="1201"/>
        <v>SPS1</v>
      </c>
      <c r="C1079" s="5" t="str">
        <f t="shared" si="1202"/>
        <v>CH</v>
      </c>
      <c r="D1079" t="s">
        <v>1065</v>
      </c>
      <c r="E1079" t="s">
        <v>8</v>
      </c>
      <c r="F1079" s="1">
        <f>F1080</f>
        <v>0</v>
      </c>
      <c r="G1079" s="1">
        <f t="shared" ref="G1079:L1079" si="1220">G1080</f>
        <v>0</v>
      </c>
      <c r="H1079" s="1">
        <f t="shared" si="1220"/>
        <v>0</v>
      </c>
      <c r="I1079" s="1">
        <f t="shared" si="1220"/>
        <v>0</v>
      </c>
      <c r="J1079" s="1">
        <f t="shared" si="1220"/>
        <v>0</v>
      </c>
      <c r="K1079" s="1">
        <f t="shared" si="1220"/>
        <v>0</v>
      </c>
      <c r="L1079" s="1">
        <f t="shared" si="1220"/>
        <v>0</v>
      </c>
      <c r="N1079" s="1"/>
    </row>
    <row r="1080" spans="2:14" x14ac:dyDescent="0.35">
      <c r="B1080" s="5" t="str">
        <f t="shared" si="1201"/>
        <v>SPS1</v>
      </c>
      <c r="C1080" s="5" t="str">
        <f t="shared" si="1202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[2]Residential!F$114</f>
        <v>0</v>
      </c>
      <c r="K1080" s="1">
        <f>[2]Residential!G$114</f>
        <v>0</v>
      </c>
      <c r="L1080" s="1">
        <f>[2]Residential!H$114</f>
        <v>0</v>
      </c>
      <c r="N1080" s="1"/>
    </row>
    <row r="1081" spans="2:14" x14ac:dyDescent="0.35">
      <c r="B1081" s="5" t="str">
        <f t="shared" si="1201"/>
        <v>SPS1</v>
      </c>
      <c r="C1081" s="5" t="str">
        <f t="shared" si="1202"/>
        <v>CH</v>
      </c>
      <c r="D1081" t="s">
        <v>1067</v>
      </c>
      <c r="E1081" t="s">
        <v>8</v>
      </c>
      <c r="F1081" s="1">
        <f>[1]Residential!B$10-[1]Residential!B$223</f>
        <v>0.4364136051451632</v>
      </c>
      <c r="G1081" s="1">
        <f>[1]Residential!C$10-[1]Residential!C$223</f>
        <v>6.6797076655323089</v>
      </c>
      <c r="H1081" s="1">
        <f>[1]Residential!D$10-[1]Residential!D$223</f>
        <v>5.1815994781206678</v>
      </c>
      <c r="I1081" s="1">
        <f>[1]Residential!E$10-[1]Residential!E$223</f>
        <v>10.575557659759664</v>
      </c>
      <c r="J1081" s="1">
        <f>[2]Residential!F$10-[2]Residential!F$223</f>
        <v>15.515325227145388</v>
      </c>
      <c r="K1081" s="1">
        <f>[2]Residential!G$10-[2]Residential!G$223</f>
        <v>20.11552335700982</v>
      </c>
      <c r="L1081" s="1">
        <f>[2]Residential!H$10-[2]Residential!H$223</f>
        <v>29.844853045952206</v>
      </c>
      <c r="N1081" s="1"/>
    </row>
    <row r="1082" spans="2:14" x14ac:dyDescent="0.35">
      <c r="B1082" s="5" t="str">
        <f t="shared" si="1201"/>
        <v>SPS1</v>
      </c>
      <c r="C1082" s="5" t="str">
        <f t="shared" si="1202"/>
        <v>CH</v>
      </c>
      <c r="D1082" t="s">
        <v>1068</v>
      </c>
      <c r="E1082" t="s">
        <v>8</v>
      </c>
      <c r="F1082" s="1">
        <f>[1]Residential!B$224</f>
        <v>26.979980311465653</v>
      </c>
      <c r="G1082" s="1">
        <f>[1]Residential!C$224</f>
        <v>25.937099835886766</v>
      </c>
      <c r="H1082" s="1">
        <f>[1]Residential!D$224</f>
        <v>21.670516389651187</v>
      </c>
      <c r="I1082" s="1">
        <f>[1]Residential!E$224</f>
        <v>22.093541016334871</v>
      </c>
      <c r="J1082" s="1">
        <f>[2]Residential!F$224</f>
        <v>24.081521840081333</v>
      </c>
      <c r="K1082" s="1">
        <f>[2]Residential!G$224</f>
        <v>26.685348212573693</v>
      </c>
      <c r="L1082" s="1">
        <f>[2]Residential!H$224</f>
        <v>28.406811573729247</v>
      </c>
      <c r="N1082" s="1"/>
    </row>
    <row r="1083" spans="2:14" x14ac:dyDescent="0.35">
      <c r="B1083" s="5" t="str">
        <f t="shared" si="1201"/>
        <v>SPS1</v>
      </c>
      <c r="C1083" s="5" t="str">
        <f t="shared" si="1202"/>
        <v>CH</v>
      </c>
      <c r="D1083" t="s">
        <v>1118</v>
      </c>
      <c r="E1083" t="s">
        <v>8</v>
      </c>
      <c r="F1083" s="1">
        <f>SUM(F1084:F1085)</f>
        <v>9.8853948664184284</v>
      </c>
      <c r="G1083" s="1">
        <f t="shared" ref="G1083:K1083" si="1221">SUM(G1084:G1085)</f>
        <v>10.604351221806059</v>
      </c>
      <c r="H1083" s="1">
        <f t="shared" si="1221"/>
        <v>7.7311163800765028</v>
      </c>
      <c r="I1083" s="1">
        <f t="shared" si="1221"/>
        <v>9.4690277826297091</v>
      </c>
      <c r="J1083" s="1">
        <f t="shared" si="1221"/>
        <v>11.671613872359295</v>
      </c>
      <c r="K1083" s="1">
        <f t="shared" si="1221"/>
        <v>14.246779927475142</v>
      </c>
      <c r="L1083" s="1">
        <f t="shared" ref="L1083" si="1222">SUM(L1084:L1085)</f>
        <v>16.823869845466454</v>
      </c>
      <c r="N1083" s="1"/>
    </row>
    <row r="1084" spans="2:14" x14ac:dyDescent="0.35">
      <c r="B1084" s="5" t="str">
        <f t="shared" si="1201"/>
        <v>SPS1</v>
      </c>
      <c r="C1084" s="5" t="str">
        <f t="shared" si="1202"/>
        <v>CH</v>
      </c>
      <c r="D1084" t="s">
        <v>1119</v>
      </c>
      <c r="E1084" t="s">
        <v>8</v>
      </c>
      <c r="F1084" s="1">
        <f>[1]Residential!B$231-F1058</f>
        <v>6.6450401712067464</v>
      </c>
      <c r="G1084" s="1">
        <f>[1]Residential!C$231-G1058</f>
        <v>6.9687574275601136</v>
      </c>
      <c r="H1084" s="1">
        <f>[1]Residential!D$231-H1058</f>
        <v>2.8222235255705348</v>
      </c>
      <c r="I1084" s="1">
        <f>[1]Residential!E$231-I1058</f>
        <v>2.0093105574710819</v>
      </c>
      <c r="J1084" s="1">
        <f>[2]Residential!F$231-J1058</f>
        <v>1.859950570572281</v>
      </c>
      <c r="K1084" s="1">
        <f>[2]Residential!G$231-K1058</f>
        <v>1.7214602762415478</v>
      </c>
      <c r="L1084" s="1">
        <f>[2]Residential!H$231-L1058</f>
        <v>1.5550552867702045</v>
      </c>
      <c r="N1084" s="1"/>
    </row>
    <row r="1085" spans="2:14" x14ac:dyDescent="0.35">
      <c r="B1085" s="5" t="str">
        <f t="shared" si="1201"/>
        <v>SPS1</v>
      </c>
      <c r="C1085" s="5" t="str">
        <f t="shared" si="1202"/>
        <v>CH</v>
      </c>
      <c r="D1085" t="s">
        <v>1120</v>
      </c>
      <c r="E1085" t="s">
        <v>8</v>
      </c>
      <c r="F1085" s="1">
        <f>[1]Residential!B$233-F1059</f>
        <v>3.240354695211682</v>
      </c>
      <c r="G1085" s="1">
        <f>[1]Residential!C$233-G1059</f>
        <v>3.6355937942459455</v>
      </c>
      <c r="H1085" s="1">
        <f>[1]Residential!D$233-H1059</f>
        <v>4.908892854505968</v>
      </c>
      <c r="I1085" s="1">
        <f>[1]Residential!E$233-I1059</f>
        <v>7.4597172251586272</v>
      </c>
      <c r="J1085" s="1">
        <f>[2]Residential!F$233-J1059</f>
        <v>9.8116633017870143</v>
      </c>
      <c r="K1085" s="1">
        <f>[2]Residential!G$233-K1059</f>
        <v>12.525319651233595</v>
      </c>
      <c r="L1085" s="1">
        <f>[2]Residential!H$233-L1059</f>
        <v>15.268814558696249</v>
      </c>
      <c r="N1085" s="1"/>
    </row>
    <row r="1086" spans="2:14" x14ac:dyDescent="0.35">
      <c r="B1086" s="5" t="str">
        <f t="shared" si="1201"/>
        <v>SPS1</v>
      </c>
      <c r="C1086" s="5" t="str">
        <f t="shared" si="1202"/>
        <v>CH</v>
      </c>
      <c r="D1086" t="s">
        <v>1069</v>
      </c>
      <c r="E1086" t="s">
        <v>8</v>
      </c>
      <c r="F1086" s="1">
        <f>F1087</f>
        <v>6.9846279778326164</v>
      </c>
      <c r="G1086" s="1">
        <f t="shared" ref="G1086:L1086" si="1223">G1087</f>
        <v>5.8544670496385933</v>
      </c>
      <c r="H1086" s="1">
        <f t="shared" si="1223"/>
        <v>4.4836979255221152</v>
      </c>
      <c r="I1086" s="1">
        <f t="shared" si="1223"/>
        <v>2.1231662544547554</v>
      </c>
      <c r="J1086" s="1">
        <f t="shared" si="1223"/>
        <v>1.457343670384164</v>
      </c>
      <c r="K1086" s="1">
        <f t="shared" si="1223"/>
        <v>0.73343974818438618</v>
      </c>
      <c r="L1086" s="1">
        <f t="shared" si="1223"/>
        <v>5.8045330059344258E-2</v>
      </c>
      <c r="N1086" s="1"/>
    </row>
    <row r="1087" spans="2:14" x14ac:dyDescent="0.35">
      <c r="B1087" s="5" t="str">
        <f t="shared" si="1201"/>
        <v>SPS1</v>
      </c>
      <c r="C1087" s="5" t="str">
        <f t="shared" si="1202"/>
        <v>CH</v>
      </c>
      <c r="D1087" t="s">
        <v>1070</v>
      </c>
      <c r="E1087" t="s">
        <v>8</v>
      </c>
      <c r="F1087" s="1">
        <f>[1]Residential!B$234-F1061</f>
        <v>6.9846279778326164</v>
      </c>
      <c r="G1087" s="1">
        <f>[1]Residential!C$234-G1061</f>
        <v>5.8544670496385933</v>
      </c>
      <c r="H1087" s="1">
        <f>[1]Residential!D$234-H1061</f>
        <v>4.4836979255221152</v>
      </c>
      <c r="I1087" s="1">
        <f>[1]Residential!E$234-I1061</f>
        <v>2.1231662544547554</v>
      </c>
      <c r="J1087" s="1">
        <f>[2]Residential!F$234-J1061</f>
        <v>1.457343670384164</v>
      </c>
      <c r="K1087" s="1">
        <f>[2]Residential!G$234-K1061</f>
        <v>0.73343974818438618</v>
      </c>
      <c r="L1087" s="1">
        <f>[2]Residential!H$234-L1061</f>
        <v>5.8045330059344258E-2</v>
      </c>
      <c r="N1087" s="1"/>
    </row>
    <row r="1088" spans="2:14" x14ac:dyDescent="0.35">
      <c r="B1088" s="5" t="str">
        <f t="shared" si="1201"/>
        <v>SPS1</v>
      </c>
      <c r="C1088" s="5" t="str">
        <f t="shared" si="1202"/>
        <v>CH</v>
      </c>
      <c r="D1088" t="s">
        <v>1071</v>
      </c>
      <c r="E1088" t="s">
        <v>8</v>
      </c>
      <c r="F1088" s="1">
        <f>SUM(F1089:F1090)</f>
        <v>6.3805777484808246</v>
      </c>
      <c r="G1088" s="1">
        <f t="shared" ref="G1088:K1088" si="1224">SUM(G1089:G1090)</f>
        <v>5.2356337330010163</v>
      </c>
      <c r="H1088" s="1">
        <f t="shared" si="1224"/>
        <v>6.3025268654257536</v>
      </c>
      <c r="I1088" s="1">
        <f t="shared" si="1224"/>
        <v>6.7108522396096486</v>
      </c>
      <c r="J1088" s="1">
        <f t="shared" si="1224"/>
        <v>6.9482766134271614</v>
      </c>
      <c r="K1088" s="1">
        <f t="shared" si="1224"/>
        <v>7.3925739752670605</v>
      </c>
      <c r="L1088" s="1">
        <f t="shared" ref="L1088" si="1225">SUM(L1089:L1090)</f>
        <v>7.2827818655699268</v>
      </c>
      <c r="N1088" s="1"/>
    </row>
    <row r="1089" spans="2:14" x14ac:dyDescent="0.35">
      <c r="B1089" s="5" t="str">
        <f t="shared" si="1201"/>
        <v>SPS1</v>
      </c>
      <c r="C1089" s="5" t="str">
        <f t="shared" si="1202"/>
        <v>CH</v>
      </c>
      <c r="D1089" t="s">
        <v>1072</v>
      </c>
      <c r="E1089" t="s">
        <v>8</v>
      </c>
      <c r="F1089" s="1">
        <f>[1]Residential!B$235-F1063</f>
        <v>6.3805777484808246</v>
      </c>
      <c r="G1089" s="1">
        <f>[1]Residential!C$235-G1063</f>
        <v>5.2356337330010163</v>
      </c>
      <c r="H1089" s="1">
        <f>[1]Residential!D$235-H1063</f>
        <v>5.2098911521953006</v>
      </c>
      <c r="I1089" s="1">
        <f>[1]Residential!E$235-I1063</f>
        <v>3.4409882838664672</v>
      </c>
      <c r="J1089" s="1">
        <f>[2]Residential!F$235-J1063</f>
        <v>2.3784996110437646</v>
      </c>
      <c r="K1089" s="1">
        <f>[2]Residential!G$235-K1063</f>
        <v>1.4264764728701405</v>
      </c>
      <c r="L1089" s="1">
        <f>[2]Residential!H$235-L1063</f>
        <v>0.63678681364974921</v>
      </c>
      <c r="N1089" s="1"/>
    </row>
    <row r="1090" spans="2:14" x14ac:dyDescent="0.35">
      <c r="B1090" s="5" t="str">
        <f t="shared" si="1201"/>
        <v>SPS1</v>
      </c>
      <c r="C1090" s="5" t="str">
        <f t="shared" si="1202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1.0926357132304529</v>
      </c>
      <c r="I1090" s="1">
        <f>[1]Residential!E$236-I1064</f>
        <v>3.2698639557431814</v>
      </c>
      <c r="J1090" s="1">
        <f>[2]Residential!F$236-J1064</f>
        <v>4.5697770023833968</v>
      </c>
      <c r="K1090" s="1">
        <f>[2]Residential!G$236-K1064</f>
        <v>5.96609750239692</v>
      </c>
      <c r="L1090" s="1">
        <f>[2]Residential!H$236-L1064</f>
        <v>6.6459950519201776</v>
      </c>
      <c r="N1090" s="1"/>
    </row>
    <row r="1091" spans="2:14" x14ac:dyDescent="0.35">
      <c r="B1091" s="5" t="str">
        <f t="shared" si="1201"/>
        <v>SPS1</v>
      </c>
      <c r="C1091" s="5" t="str">
        <f t="shared" si="1202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N1091" s="1"/>
    </row>
    <row r="1092" spans="2:14" x14ac:dyDescent="0.35">
      <c r="B1092" s="5" t="str">
        <f t="shared" si="1201"/>
        <v>SPS1</v>
      </c>
      <c r="C1092" s="5" t="str">
        <f t="shared" si="1202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N1092" s="1"/>
    </row>
    <row r="1093" spans="2:14" x14ac:dyDescent="0.35">
      <c r="B1093" s="5" t="str">
        <f t="shared" si="1201"/>
        <v>SPS1</v>
      </c>
      <c r="C1093" s="5" t="str">
        <f t="shared" si="1202"/>
        <v>CH</v>
      </c>
      <c r="D1093" t="s">
        <v>1076</v>
      </c>
      <c r="E1093" t="s">
        <v>8</v>
      </c>
      <c r="F1093" s="1">
        <f>SUM(F1094,F1098)</f>
        <v>1.3174217988002306</v>
      </c>
      <c r="G1093" s="1">
        <f t="shared" ref="G1093:K1093" si="1226">SUM(G1094,G1098)</f>
        <v>1.4634149442644346</v>
      </c>
      <c r="H1093" s="1">
        <f t="shared" si="1226"/>
        <v>0.95822315729957896</v>
      </c>
      <c r="I1093" s="1">
        <f t="shared" si="1226"/>
        <v>1.4685529170094487</v>
      </c>
      <c r="J1093" s="1">
        <f t="shared" si="1226"/>
        <v>1.6912553205035694</v>
      </c>
      <c r="K1093" s="1">
        <f t="shared" si="1226"/>
        <v>1.9678193969201825</v>
      </c>
      <c r="L1093" s="1">
        <f t="shared" ref="L1093" si="1227">SUM(L1094,L1098)</f>
        <v>2.1739227913511332</v>
      </c>
      <c r="N1093" s="1"/>
    </row>
    <row r="1094" spans="2:14" x14ac:dyDescent="0.35">
      <c r="B1094" s="5" t="str">
        <f t="shared" si="1201"/>
        <v>SPS1</v>
      </c>
      <c r="C1094" s="5" t="str">
        <f t="shared" si="1202"/>
        <v>CH</v>
      </c>
      <c r="D1094" t="s">
        <v>1077</v>
      </c>
      <c r="E1094" t="s">
        <v>8</v>
      </c>
      <c r="F1094" s="1">
        <f>[1]Residential!B$238-F1068</f>
        <v>1.8702047656158113E-2</v>
      </c>
      <c r="G1094" s="1">
        <f>[1]Residential!C$238-G1068</f>
        <v>8.8073048497239181E-3</v>
      </c>
      <c r="H1094" s="1">
        <f>[1]Residential!D$238-H1068</f>
        <v>0</v>
      </c>
      <c r="I1094" s="1">
        <f>[1]Residential!E$238-I1068</f>
        <v>0</v>
      </c>
      <c r="J1094" s="1">
        <f>[2]Residential!F$238-J1068</f>
        <v>0</v>
      </c>
      <c r="K1094" s="1">
        <f>[2]Residential!G$238-K1068</f>
        <v>0</v>
      </c>
      <c r="L1094" s="1">
        <f>[2]Residential!H$238-L1068</f>
        <v>0</v>
      </c>
      <c r="N1094" s="1"/>
    </row>
    <row r="1095" spans="2:14" x14ac:dyDescent="0.35">
      <c r="B1095" s="5" t="str">
        <f t="shared" si="1201"/>
        <v>SPS1</v>
      </c>
      <c r="C1095" s="5" t="str">
        <f t="shared" si="1202"/>
        <v>CH</v>
      </c>
      <c r="D1095" t="s">
        <v>1078</v>
      </c>
      <c r="E1095" t="s">
        <v>8</v>
      </c>
      <c r="F1095" s="1">
        <f>IFERROR(F$1094/F$1043,0)*F1044</f>
        <v>1.8702047656158113E-2</v>
      </c>
      <c r="G1095" s="1">
        <f t="shared" ref="G1095:K1097" si="1228">IFERROR(G$1094/G$1043,0)*G1044</f>
        <v>8.8073048497239181E-3</v>
      </c>
      <c r="H1095" s="1">
        <f t="shared" si="1228"/>
        <v>0</v>
      </c>
      <c r="I1095" s="1">
        <f t="shared" si="1228"/>
        <v>0</v>
      </c>
      <c r="J1095" s="1">
        <f t="shared" si="1228"/>
        <v>0</v>
      </c>
      <c r="K1095" s="1">
        <f t="shared" si="1228"/>
        <v>0</v>
      </c>
      <c r="L1095" s="1">
        <f t="shared" ref="L1095" si="1229">IFERROR(L$1094/L$1043,0)*L1044</f>
        <v>0</v>
      </c>
      <c r="N1095" s="1"/>
    </row>
    <row r="1096" spans="2:14" x14ac:dyDescent="0.35">
      <c r="B1096" s="5" t="str">
        <f t="shared" si="1201"/>
        <v>SPS1</v>
      </c>
      <c r="C1096" s="5" t="str">
        <f t="shared" si="1202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28"/>
        <v>0</v>
      </c>
      <c r="H1096" s="1">
        <f t="shared" si="1228"/>
        <v>0</v>
      </c>
      <c r="I1096" s="1">
        <f t="shared" si="1228"/>
        <v>0</v>
      </c>
      <c r="J1096" s="1">
        <f t="shared" si="1228"/>
        <v>0</v>
      </c>
      <c r="K1096" s="1">
        <f t="shared" si="1228"/>
        <v>0</v>
      </c>
      <c r="L1096" s="1">
        <f t="shared" ref="L1096" si="1230">IFERROR(L$1094/L$1043,0)*L1045</f>
        <v>0</v>
      </c>
      <c r="N1096" s="1"/>
    </row>
    <row r="1097" spans="2:14" x14ac:dyDescent="0.35">
      <c r="B1097" s="5" t="str">
        <f t="shared" si="1201"/>
        <v>SPS1</v>
      </c>
      <c r="C1097" s="5" t="str">
        <f t="shared" si="1202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28"/>
        <v>0</v>
      </c>
      <c r="H1097" s="1">
        <f t="shared" si="1228"/>
        <v>0</v>
      </c>
      <c r="I1097" s="1">
        <f t="shared" si="1228"/>
        <v>0</v>
      </c>
      <c r="J1097" s="1">
        <f t="shared" si="1228"/>
        <v>0</v>
      </c>
      <c r="K1097" s="1">
        <f t="shared" si="1228"/>
        <v>0</v>
      </c>
      <c r="L1097" s="1">
        <f t="shared" ref="L1097" si="1231">IFERROR(L$1094/L$1043,0)*L1046</f>
        <v>0</v>
      </c>
      <c r="N1097" s="1"/>
    </row>
    <row r="1098" spans="2:14" x14ac:dyDescent="0.35">
      <c r="B1098" s="5" t="str">
        <f t="shared" si="1201"/>
        <v>SPS1</v>
      </c>
      <c r="C1098" s="5" t="str">
        <f t="shared" si="1202"/>
        <v>CH</v>
      </c>
      <c r="D1098" t="s">
        <v>1081</v>
      </c>
      <c r="E1098" t="s">
        <v>8</v>
      </c>
      <c r="F1098" s="1">
        <f>[1]Residential!B$239-F1072</f>
        <v>1.2987197511440725</v>
      </c>
      <c r="G1098" s="1">
        <f>[1]Residential!C$239-G1072</f>
        <v>1.4546076394147107</v>
      </c>
      <c r="H1098" s="1">
        <f>[1]Residential!D$239-H1072</f>
        <v>0.95822315729957896</v>
      </c>
      <c r="I1098" s="1">
        <f>[1]Residential!E$239-I1072</f>
        <v>1.4685529170094487</v>
      </c>
      <c r="J1098" s="1">
        <f>[2]Residential!F$239-J1072</f>
        <v>1.6912553205035694</v>
      </c>
      <c r="K1098" s="1">
        <f>[2]Residential!G$239-K1072</f>
        <v>1.9678193969201825</v>
      </c>
      <c r="L1098" s="1">
        <f>[2]Residential!H$239-L1072</f>
        <v>2.1739227913511332</v>
      </c>
      <c r="N1098" s="1"/>
    </row>
    <row r="1099" spans="2:14" x14ac:dyDescent="0.35">
      <c r="B1099" s="5" t="str">
        <f t="shared" si="1201"/>
        <v>SPS1</v>
      </c>
      <c r="C1099" s="5" t="str">
        <f t="shared" si="1202"/>
        <v>CH</v>
      </c>
      <c r="D1099" t="s">
        <v>1082</v>
      </c>
      <c r="E1099" t="s">
        <v>8</v>
      </c>
      <c r="F1099" s="1">
        <f>F1100</f>
        <v>0.52057400693692024</v>
      </c>
      <c r="G1099" s="1">
        <f t="shared" ref="G1099:L1099" si="1232">G1100</f>
        <v>0.59729223818153621</v>
      </c>
      <c r="H1099" s="1">
        <f t="shared" si="1232"/>
        <v>1.1872625000086217</v>
      </c>
      <c r="I1099" s="1">
        <f t="shared" si="1232"/>
        <v>1.1594599532141885</v>
      </c>
      <c r="J1099" s="1">
        <f t="shared" si="1232"/>
        <v>1.0747836357942786</v>
      </c>
      <c r="K1099" s="1">
        <f t="shared" si="1232"/>
        <v>1.0023149282864088</v>
      </c>
      <c r="L1099" s="1">
        <f t="shared" si="1232"/>
        <v>0.73441664694683517</v>
      </c>
      <c r="N1099" s="1"/>
    </row>
    <row r="1100" spans="2:14" x14ac:dyDescent="0.35">
      <c r="B1100" s="5" t="str">
        <f t="shared" si="1201"/>
        <v>SPS1</v>
      </c>
      <c r="C1100" s="5" t="str">
        <f t="shared" si="1202"/>
        <v>CH</v>
      </c>
      <c r="D1100" t="s">
        <v>1083</v>
      </c>
      <c r="E1100" t="s">
        <v>8</v>
      </c>
      <c r="F1100" s="1">
        <f>[1]Residential!B$240-F1074</f>
        <v>0.52057400693692024</v>
      </c>
      <c r="G1100" s="1">
        <f>[1]Residential!C$240-G1074</f>
        <v>0.59729223818153621</v>
      </c>
      <c r="H1100" s="1">
        <f>[1]Residential!D$240-H1074</f>
        <v>1.1872625000086217</v>
      </c>
      <c r="I1100" s="1">
        <f>[1]Residential!E$240-I1074</f>
        <v>1.1594599532141885</v>
      </c>
      <c r="J1100" s="1">
        <f>[2]Residential!F$240-J1074</f>
        <v>1.0747836357942786</v>
      </c>
      <c r="K1100" s="1">
        <f>[2]Residential!G$240-K1074</f>
        <v>1.0023149282864088</v>
      </c>
      <c r="L1100" s="1">
        <f>[2]Residential!H$240-L1074</f>
        <v>0.73441664694683517</v>
      </c>
      <c r="N1100" s="1"/>
    </row>
    <row r="1101" spans="2:14" x14ac:dyDescent="0.35">
      <c r="B1101" s="5" t="str">
        <f t="shared" si="1201"/>
        <v>SPS1</v>
      </c>
      <c r="C1101" s="5" t="str">
        <f t="shared" si="1202"/>
        <v>CH</v>
      </c>
      <c r="D1101" t="s">
        <v>1084</v>
      </c>
      <c r="E1101" t="s">
        <v>8</v>
      </c>
      <c r="F1101" s="1">
        <f>F1102</f>
        <v>0.16989588833677471</v>
      </c>
      <c r="G1101" s="1">
        <f t="shared" ref="G1101" si="1233">G1102</f>
        <v>0.19486198069243299</v>
      </c>
      <c r="H1101" s="1">
        <f t="shared" ref="H1101" si="1234">H1102</f>
        <v>7.5218280477073074E-2</v>
      </c>
      <c r="I1101" s="1">
        <f t="shared" ref="I1101" si="1235">I1102</f>
        <v>0.10246029685402652</v>
      </c>
      <c r="J1101" s="1">
        <f t="shared" ref="J1101" si="1236">J1102</f>
        <v>0.11492922705253844</v>
      </c>
      <c r="K1101" s="1">
        <f t="shared" ref="K1101:L1101" si="1237">K1102</f>
        <v>0.13335671891596035</v>
      </c>
      <c r="L1101" s="1">
        <f t="shared" si="1237"/>
        <v>0.13376884823391638</v>
      </c>
      <c r="N1101" s="1"/>
    </row>
    <row r="1102" spans="2:14" x14ac:dyDescent="0.35">
      <c r="B1102" s="5" t="str">
        <f t="shared" si="1201"/>
        <v>SPS1</v>
      </c>
      <c r="C1102" s="5" t="str">
        <f t="shared" si="1202"/>
        <v>CH</v>
      </c>
      <c r="D1102" t="s">
        <v>1085</v>
      </c>
      <c r="E1102" t="s">
        <v>8</v>
      </c>
      <c r="F1102" s="1">
        <f>[1]Residential!B$241-F1076</f>
        <v>0.16989588833677471</v>
      </c>
      <c r="G1102" s="1">
        <f>[1]Residential!C$241-G1076</f>
        <v>0.19486198069243299</v>
      </c>
      <c r="H1102" s="1">
        <f>[1]Residential!D$241-H1076</f>
        <v>7.5218280477073074E-2</v>
      </c>
      <c r="I1102" s="1">
        <f>[1]Residential!E$241-I1076</f>
        <v>0.10246029685402652</v>
      </c>
      <c r="J1102" s="1">
        <f>[2]Residential!F$241-J1076</f>
        <v>0.11492922705253844</v>
      </c>
      <c r="K1102" s="1">
        <f>[2]Residential!G$241-K1076</f>
        <v>0.13335671891596035</v>
      </c>
      <c r="L1102" s="1">
        <f>[2]Residential!H$241-L1076</f>
        <v>0.13376884823391638</v>
      </c>
      <c r="N1102" s="1"/>
    </row>
    <row r="1103" spans="2:14" x14ac:dyDescent="0.35">
      <c r="B1103" s="5" t="str">
        <f t="shared" si="1201"/>
        <v>SPS1</v>
      </c>
      <c r="C1103" s="5" t="str">
        <f t="shared" si="1202"/>
        <v>CH</v>
      </c>
      <c r="D1103" t="s">
        <v>1086</v>
      </c>
      <c r="E1103" t="s">
        <v>8</v>
      </c>
      <c r="F1103" s="1">
        <f>F1104</f>
        <v>1.7214880246598507</v>
      </c>
      <c r="G1103" s="1">
        <f t="shared" ref="G1103" si="1238">G1104</f>
        <v>1.9870786683026969</v>
      </c>
      <c r="H1103" s="1">
        <f t="shared" ref="H1103" si="1239">H1104</f>
        <v>0.93247128084154562</v>
      </c>
      <c r="I1103" s="1">
        <f t="shared" ref="I1103" si="1240">I1104</f>
        <v>1.0600215725630913</v>
      </c>
      <c r="J1103" s="1">
        <f t="shared" ref="J1103" si="1241">J1104</f>
        <v>1.1233195005603271</v>
      </c>
      <c r="K1103" s="1">
        <f t="shared" ref="K1103:L1103" si="1242">K1104</f>
        <v>1.2090635175245539</v>
      </c>
      <c r="L1103" s="1">
        <f t="shared" si="1242"/>
        <v>1.2000062461016361</v>
      </c>
      <c r="N1103" s="1"/>
    </row>
    <row r="1104" spans="2:14" x14ac:dyDescent="0.35">
      <c r="B1104" s="5" t="str">
        <f t="shared" si="1201"/>
        <v>SPS1</v>
      </c>
      <c r="C1104" s="5" t="str">
        <f t="shared" si="1202"/>
        <v>CH</v>
      </c>
      <c r="D1104" t="s">
        <v>1087</v>
      </c>
      <c r="E1104" t="s">
        <v>8</v>
      </c>
      <c r="F1104" s="1">
        <f>[1]Residential!B$242-F1078</f>
        <v>1.7214880246598507</v>
      </c>
      <c r="G1104" s="1">
        <f>[1]Residential!C$242-G1078</f>
        <v>1.9870786683026969</v>
      </c>
      <c r="H1104" s="1">
        <f>[1]Residential!D$242-H1078</f>
        <v>0.93247128084154562</v>
      </c>
      <c r="I1104" s="1">
        <f>[1]Residential!E$242-I1078</f>
        <v>1.0600215725630913</v>
      </c>
      <c r="J1104" s="1">
        <f>[2]Residential!F$242-J1078</f>
        <v>1.1233195005603271</v>
      </c>
      <c r="K1104" s="1">
        <f>[2]Residential!G$242-K1078</f>
        <v>1.2090635175245539</v>
      </c>
      <c r="L1104" s="1">
        <f>[2]Residential!H$242-L1078</f>
        <v>1.2000062461016361</v>
      </c>
      <c r="N1104" s="1"/>
    </row>
    <row r="1105" spans="2:14" x14ac:dyDescent="0.35">
      <c r="B1105" s="5" t="str">
        <f t="shared" si="1201"/>
        <v>SPS1</v>
      </c>
      <c r="C1105" s="5" t="str">
        <f t="shared" si="1202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243">G1106</f>
        <v>0</v>
      </c>
      <c r="H1105" s="1">
        <f t="shared" ref="H1105" si="1244">H1106</f>
        <v>0</v>
      </c>
      <c r="I1105" s="1">
        <f t="shared" ref="I1105" si="1245">I1106</f>
        <v>0</v>
      </c>
      <c r="J1105" s="1">
        <f t="shared" ref="J1105" si="1246">J1106</f>
        <v>0</v>
      </c>
      <c r="K1105" s="1">
        <f t="shared" ref="K1105:L1105" si="1247">K1106</f>
        <v>0</v>
      </c>
      <c r="L1105" s="1">
        <f t="shared" si="1247"/>
        <v>0</v>
      </c>
      <c r="N1105" s="1"/>
    </row>
    <row r="1106" spans="2:14" x14ac:dyDescent="0.35">
      <c r="B1106" s="5" t="str">
        <f t="shared" si="1201"/>
        <v>SPS1</v>
      </c>
      <c r="C1106" s="5" t="str">
        <f t="shared" si="1202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[2]Residential!F$243-J1080</f>
        <v>0</v>
      </c>
      <c r="K1106" s="1">
        <f>[2]Residential!G$243-K1080</f>
        <v>0</v>
      </c>
      <c r="L1106" s="1">
        <f>[2]Residential!H$243-L1080</f>
        <v>0</v>
      </c>
      <c r="N1106" s="1"/>
    </row>
    <row r="1107" spans="2:14" x14ac:dyDescent="0.35">
      <c r="B1107" s="5" t="str">
        <f t="shared" si="1201"/>
        <v>SPS1</v>
      </c>
      <c r="C1107" s="5" t="str">
        <f t="shared" si="1202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[2]Residential!F$244-J1081</f>
        <v>0</v>
      </c>
      <c r="K1107" s="1">
        <f>[2]Residential!G$244-K1081</f>
        <v>0</v>
      </c>
      <c r="L1107" s="1">
        <f>[2]Residential!H$244-L1081</f>
        <v>0</v>
      </c>
      <c r="N1107" s="1"/>
    </row>
    <row r="1108" spans="2:14" x14ac:dyDescent="0.35">
      <c r="B1108" s="5" t="str">
        <f t="shared" ref="B1108:B1135" si="1248">B1107</f>
        <v>SPS1</v>
      </c>
      <c r="C1108" s="5" t="str">
        <f t="shared" ref="C1108:C1135" si="1249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N1108" s="1"/>
    </row>
    <row r="1109" spans="2:14" x14ac:dyDescent="0.3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0.95000000000000018</v>
      </c>
      <c r="G1109" s="4">
        <f t="shared" ref="G1109:K1110" si="1250">IFERROR(G1058/G975,"-")</f>
        <v>0.94999999999999962</v>
      </c>
      <c r="H1109" s="4">
        <f t="shared" si="1250"/>
        <v>0.91776951412600094</v>
      </c>
      <c r="I1109" s="4">
        <f t="shared" si="1250"/>
        <v>0.91943052771496125</v>
      </c>
      <c r="J1109" s="4">
        <f t="shared" si="1250"/>
        <v>0.93261597410810682</v>
      </c>
      <c r="K1109" s="4">
        <f t="shared" si="1250"/>
        <v>0.9428732543274928</v>
      </c>
      <c r="L1109" s="4">
        <f t="shared" ref="L1109" si="1251">IFERROR(L1058/L975,"-")</f>
        <v>0.94529950767684001</v>
      </c>
      <c r="N1109" s="1"/>
    </row>
    <row r="1110" spans="2:14" x14ac:dyDescent="0.35">
      <c r="B1110" s="5" t="str">
        <f t="shared" si="1248"/>
        <v>SPS1</v>
      </c>
      <c r="C1110" s="5" t="str">
        <f t="shared" si="1249"/>
        <v>CH</v>
      </c>
      <c r="D1110" t="s">
        <v>1122</v>
      </c>
      <c r="E1110" t="s">
        <v>240</v>
      </c>
      <c r="F1110" s="4">
        <f>IFERROR(F1059/F976,"-")</f>
        <v>3.2000000000000024</v>
      </c>
      <c r="G1110" s="4">
        <f t="shared" si="1250"/>
        <v>3.2533333333333294</v>
      </c>
      <c r="H1110" s="4">
        <f t="shared" si="1250"/>
        <v>2.9764746836214107</v>
      </c>
      <c r="I1110" s="4">
        <f t="shared" si="1250"/>
        <v>3.2458621945194781</v>
      </c>
      <c r="J1110" s="4">
        <f t="shared" si="1250"/>
        <v>3.4466689089108873</v>
      </c>
      <c r="K1110" s="4">
        <f t="shared" si="1250"/>
        <v>3.654864421403635</v>
      </c>
      <c r="L1110" s="4">
        <f t="shared" ref="L1110" si="1252">IFERROR(L1059/L976,"-")</f>
        <v>4.0610680618844892</v>
      </c>
      <c r="N1110" s="1"/>
    </row>
    <row r="1111" spans="2:14" x14ac:dyDescent="0.35">
      <c r="B1111" s="5" t="str">
        <f t="shared" si="1248"/>
        <v>SPS1</v>
      </c>
      <c r="C1111" s="5" t="str">
        <f t="shared" si="1249"/>
        <v>CH</v>
      </c>
      <c r="D1111" t="s">
        <v>1092</v>
      </c>
      <c r="E1111" t="s">
        <v>240</v>
      </c>
      <c r="F1111" s="4">
        <f>IFERROR(F1061/F985,"-")</f>
        <v>0.89583333333333448</v>
      </c>
      <c r="G1111" s="4">
        <f t="shared" ref="G1111:K1111" si="1253">IFERROR(G1061/G985,"-")</f>
        <v>0.89583333333333426</v>
      </c>
      <c r="H1111" s="4">
        <f t="shared" si="1253"/>
        <v>0.8539238769227977</v>
      </c>
      <c r="I1111" s="4">
        <f t="shared" si="1253"/>
        <v>0.8692590080985485</v>
      </c>
      <c r="J1111" s="4">
        <f t="shared" si="1253"/>
        <v>0.87024609705918843</v>
      </c>
      <c r="K1111" s="4">
        <f t="shared" si="1253"/>
        <v>0.87092788416026434</v>
      </c>
      <c r="L1111" s="4">
        <f t="shared" ref="L1111" si="1254">IFERROR(L1061/L985,"-")</f>
        <v>0.86951272524374745</v>
      </c>
      <c r="N1111" s="1"/>
    </row>
    <row r="1112" spans="2:14" x14ac:dyDescent="0.35">
      <c r="B1112" s="5" t="str">
        <f t="shared" si="1248"/>
        <v>SPS1</v>
      </c>
      <c r="C1112" s="5" t="str">
        <f t="shared" si="1249"/>
        <v>CH</v>
      </c>
      <c r="D1112" t="s">
        <v>1093</v>
      </c>
      <c r="E1112" t="s">
        <v>240</v>
      </c>
      <c r="F1112" s="4">
        <f>IFERROR(F1063/F998,"-")</f>
        <v>0.95000000000000029</v>
      </c>
      <c r="G1112" s="4">
        <f t="shared" ref="G1112:K1112" si="1255">IFERROR(G1063/G998,"-")</f>
        <v>0.95000000000000073</v>
      </c>
      <c r="H1112" s="4">
        <f t="shared" si="1255"/>
        <v>0.9346106137103205</v>
      </c>
      <c r="I1112" s="4">
        <f t="shared" si="1255"/>
        <v>0.93488919291382067</v>
      </c>
      <c r="J1112" s="4">
        <f t="shared" si="1255"/>
        <v>0.93469899162094672</v>
      </c>
      <c r="K1112" s="4">
        <f t="shared" si="1255"/>
        <v>0.93408544996511333</v>
      </c>
      <c r="L1112" s="4">
        <f t="shared" ref="L1112" si="1256">IFERROR(L1063/L998,"-")</f>
        <v>0.94072389972506365</v>
      </c>
      <c r="N1112" s="1"/>
    </row>
    <row r="1113" spans="2:14" x14ac:dyDescent="0.35">
      <c r="B1113" s="5" t="str">
        <f t="shared" si="1248"/>
        <v>SPS1</v>
      </c>
      <c r="C1113" s="5" t="str">
        <f t="shared" si="1249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257">IFERROR(G1064/G999,"-")</f>
        <v>-</v>
      </c>
      <c r="H1113" s="4">
        <f t="shared" si="1257"/>
        <v>1.8607086627637814</v>
      </c>
      <c r="I1113" s="4">
        <f t="shared" si="1257"/>
        <v>1.9380027147048504</v>
      </c>
      <c r="J1113" s="4">
        <f t="shared" si="1257"/>
        <v>1.9648838817534555</v>
      </c>
      <c r="K1113" s="4">
        <f t="shared" si="1257"/>
        <v>1.9958979074119947</v>
      </c>
      <c r="L1113" s="4">
        <f t="shared" ref="L1113" si="1258">IFERROR(L1064/L999,"-")</f>
        <v>2.1078725944068406</v>
      </c>
      <c r="N1113" s="1"/>
    </row>
    <row r="1114" spans="2:14" x14ac:dyDescent="0.35">
      <c r="B1114" s="5" t="str">
        <f t="shared" si="1248"/>
        <v>SPS1</v>
      </c>
      <c r="C1114" s="5" t="str">
        <f t="shared" si="1249"/>
        <v>CH</v>
      </c>
      <c r="D1114" t="s">
        <v>1095</v>
      </c>
      <c r="E1114" t="s">
        <v>240</v>
      </c>
      <c r="F1114" s="4">
        <f>IFERROR(F1066/F1017,"-")</f>
        <v>0.71999999999999909</v>
      </c>
      <c r="G1114" s="4">
        <f t="shared" ref="G1114:K1114" si="1259">IFERROR(G1066/G1017,"-")</f>
        <v>0.71999999999999964</v>
      </c>
      <c r="H1114" s="4">
        <f t="shared" si="1259"/>
        <v>0.79930067180127806</v>
      </c>
      <c r="I1114" s="4">
        <f t="shared" si="1259"/>
        <v>0.79999999999999982</v>
      </c>
      <c r="J1114" s="4" t="str">
        <f t="shared" si="1259"/>
        <v>-</v>
      </c>
      <c r="K1114" s="4" t="str">
        <f t="shared" si="1259"/>
        <v>-</v>
      </c>
      <c r="L1114" s="4" t="str">
        <f t="shared" ref="L1114" si="1260">IFERROR(L1066/L1017,"-")</f>
        <v>-</v>
      </c>
      <c r="N1114" s="1"/>
    </row>
    <row r="1115" spans="2:14" x14ac:dyDescent="0.35">
      <c r="B1115" s="5" t="str">
        <f t="shared" si="1248"/>
        <v>SPS1</v>
      </c>
      <c r="C1115" s="5" t="str">
        <f t="shared" si="1249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N1115" s="1"/>
    </row>
    <row r="1116" spans="2:14" x14ac:dyDescent="0.35">
      <c r="B1116" s="5" t="str">
        <f t="shared" si="1248"/>
        <v>SPS1</v>
      </c>
      <c r="C1116" s="5" t="str">
        <f t="shared" si="1249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N1116" s="1"/>
    </row>
    <row r="1117" spans="2:14" x14ac:dyDescent="0.35">
      <c r="B1117" s="5" t="str">
        <f t="shared" si="1248"/>
        <v>SPS1</v>
      </c>
      <c r="C1117" s="5" t="str">
        <f t="shared" si="1249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N1117" s="1"/>
    </row>
    <row r="1118" spans="2:14" x14ac:dyDescent="0.35">
      <c r="B1118" s="5" t="str">
        <f t="shared" si="1248"/>
        <v>SPS1</v>
      </c>
      <c r="C1118" s="5" t="str">
        <f t="shared" si="1249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N1118" s="1"/>
    </row>
    <row r="1119" spans="2:14" x14ac:dyDescent="0.35">
      <c r="B1119" s="5" t="str">
        <f t="shared" si="1248"/>
        <v>SPS1</v>
      </c>
      <c r="C1119" s="5" t="str">
        <f t="shared" si="1249"/>
        <v>CH</v>
      </c>
      <c r="D1119" t="s">
        <v>1100</v>
      </c>
      <c r="E1119" t="s">
        <v>240</v>
      </c>
      <c r="F1119" s="4">
        <f>IFERROR(F1074/F1022,"-")</f>
        <v>0.72000000000000042</v>
      </c>
      <c r="G1119" s="4">
        <f t="shared" ref="G1119:K1119" si="1261">IFERROR(G1074/G1022,"-")</f>
        <v>0.71999999999999953</v>
      </c>
      <c r="H1119" s="4">
        <f t="shared" si="1261"/>
        <v>0.71955649543430034</v>
      </c>
      <c r="I1119" s="4">
        <f t="shared" si="1261"/>
        <v>0.72595753141996811</v>
      </c>
      <c r="J1119" s="4">
        <f t="shared" si="1261"/>
        <v>0.72766587412361794</v>
      </c>
      <c r="K1119" s="4">
        <f t="shared" si="1261"/>
        <v>0.72991995416218569</v>
      </c>
      <c r="L1119" s="4">
        <f t="shared" ref="L1119" si="1262">IFERROR(L1074/L1022,"-")</f>
        <v>0.75255316746245104</v>
      </c>
      <c r="N1119" s="1"/>
    </row>
    <row r="1120" spans="2:14" x14ac:dyDescent="0.35">
      <c r="B1120" s="5" t="str">
        <f t="shared" si="1248"/>
        <v>SPS1</v>
      </c>
      <c r="C1120" s="5" t="str">
        <f t="shared" si="1249"/>
        <v>CH</v>
      </c>
      <c r="D1120" t="s">
        <v>1101</v>
      </c>
      <c r="E1120" t="s">
        <v>240</v>
      </c>
      <c r="F1120" s="4">
        <f>IFERROR(F1076/F1027,"-")</f>
        <v>0.8999999999999998</v>
      </c>
      <c r="G1120" s="4">
        <f t="shared" ref="G1120:K1120" si="1263">IFERROR(G1076/G1027,"-")</f>
        <v>0.9</v>
      </c>
      <c r="H1120" s="4">
        <f t="shared" si="1263"/>
        <v>0.73465899905094845</v>
      </c>
      <c r="I1120" s="4">
        <f t="shared" si="1263"/>
        <v>0.73624066792158793</v>
      </c>
      <c r="J1120" s="4">
        <f t="shared" si="1263"/>
        <v>0.73697368811529418</v>
      </c>
      <c r="K1120" s="4">
        <f t="shared" si="1263"/>
        <v>0.741441203049927</v>
      </c>
      <c r="L1120" s="4">
        <f t="shared" ref="L1120" si="1264">IFERROR(L1076/L1027,"-")</f>
        <v>0.75186426947941853</v>
      </c>
      <c r="N1120" s="1"/>
    </row>
    <row r="1121" spans="2:14" x14ac:dyDescent="0.35">
      <c r="B1121" s="5" t="str">
        <f t="shared" si="1248"/>
        <v>SPS1</v>
      </c>
      <c r="C1121" s="5" t="str">
        <f t="shared" si="1249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N1121" s="1"/>
    </row>
    <row r="1122" spans="2:14" x14ac:dyDescent="0.35">
      <c r="B1122" s="5" t="str">
        <f t="shared" si="1248"/>
        <v>SPS1</v>
      </c>
      <c r="C1122" s="5" t="str">
        <f t="shared" si="1249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265">IFERROR(G1080/G1039,"-")</f>
        <v>-</v>
      </c>
      <c r="H1122" s="4" t="str">
        <f t="shared" si="1265"/>
        <v>-</v>
      </c>
      <c r="I1122" s="4" t="str">
        <f t="shared" si="1265"/>
        <v>-</v>
      </c>
      <c r="J1122" s="4" t="str">
        <f t="shared" si="1265"/>
        <v>-</v>
      </c>
      <c r="K1122" s="4" t="str">
        <f t="shared" si="1265"/>
        <v>-</v>
      </c>
      <c r="L1122" s="4" t="str">
        <f t="shared" ref="L1122" si="1266">IFERROR(L1080/L1039,"-")</f>
        <v>-</v>
      </c>
      <c r="N1122" s="1"/>
    </row>
    <row r="1123" spans="2:14" x14ac:dyDescent="0.35">
      <c r="B1123" s="5" t="str">
        <f t="shared" si="1248"/>
        <v>SPS1</v>
      </c>
      <c r="C1123" s="5" t="str">
        <f t="shared" si="1249"/>
        <v>CH</v>
      </c>
      <c r="D1123" t="s">
        <v>1123</v>
      </c>
      <c r="E1123" t="s">
        <v>240</v>
      </c>
      <c r="F1123" s="4">
        <f>IFERROR(F1084/F978,"-")</f>
        <v>0.79000000000000015</v>
      </c>
      <c r="G1123" s="4">
        <f t="shared" ref="G1123:K1124" si="1267">IFERROR(G1084/G978,"-")</f>
        <v>0.79200000000000004</v>
      </c>
      <c r="H1123" s="4">
        <f t="shared" si="1267"/>
        <v>0.46575802235527497</v>
      </c>
      <c r="I1123" s="4">
        <f t="shared" si="1267"/>
        <v>0.48531240321047248</v>
      </c>
      <c r="J1123" s="4">
        <f t="shared" si="1267"/>
        <v>0.49619468484316909</v>
      </c>
      <c r="K1123" s="4">
        <f t="shared" si="1267"/>
        <v>0.50471517383700304</v>
      </c>
      <c r="L1123" s="4">
        <f t="shared" ref="L1123" si="1268">IFERROR(L1084/L978,"-")</f>
        <v>0.5193164395734029</v>
      </c>
      <c r="N1123" s="1"/>
    </row>
    <row r="1124" spans="2:14" x14ac:dyDescent="0.35">
      <c r="B1124" s="5" t="str">
        <f t="shared" si="1248"/>
        <v>SPS1</v>
      </c>
      <c r="C1124" s="5" t="str">
        <f t="shared" si="1249"/>
        <v>CH</v>
      </c>
      <c r="D1124" t="s">
        <v>1124</v>
      </c>
      <c r="E1124" t="s">
        <v>240</v>
      </c>
      <c r="F1124" s="4">
        <f>IFERROR(F1085/F979,"-")</f>
        <v>2.8200000000000007</v>
      </c>
      <c r="G1124" s="4">
        <f t="shared" si="1267"/>
        <v>2.8259999999999992</v>
      </c>
      <c r="H1124" s="4">
        <f t="shared" si="1267"/>
        <v>1.8795656633702611</v>
      </c>
      <c r="I1124" s="4">
        <f t="shared" si="1267"/>
        <v>2.0948176852255105</v>
      </c>
      <c r="J1124" s="4">
        <f t="shared" si="1267"/>
        <v>2.265054051201119</v>
      </c>
      <c r="K1124" s="4">
        <f t="shared" si="1267"/>
        <v>2.4196364161020099</v>
      </c>
      <c r="L1124" s="4">
        <f t="shared" ref="L1124" si="1269">IFERROR(L1085/L979,"-")</f>
        <v>2.724728920062399</v>
      </c>
      <c r="N1124" s="1"/>
    </row>
    <row r="1125" spans="2:14" x14ac:dyDescent="0.35">
      <c r="B1125" s="5" t="str">
        <f t="shared" si="1248"/>
        <v>SPS1</v>
      </c>
      <c r="C1125" s="5" t="str">
        <f t="shared" si="1249"/>
        <v>CH</v>
      </c>
      <c r="D1125" t="s">
        <v>1104</v>
      </c>
      <c r="E1125" t="s">
        <v>240</v>
      </c>
      <c r="F1125" s="4">
        <f>IFERROR(F1087/F991,"-")</f>
        <v>0.70833333333333337</v>
      </c>
      <c r="G1125" s="4">
        <f t="shared" ref="G1125:K1125" si="1270">IFERROR(G1087/G991,"-")</f>
        <v>0.71458333333333313</v>
      </c>
      <c r="H1125" s="4">
        <f t="shared" si="1270"/>
        <v>0.50203250571199487</v>
      </c>
      <c r="I1125" s="4">
        <f t="shared" si="1270"/>
        <v>0.53790969434062297</v>
      </c>
      <c r="J1125" s="4">
        <f t="shared" si="1270"/>
        <v>0.55132869296403708</v>
      </c>
      <c r="K1125" s="4">
        <f t="shared" si="1270"/>
        <v>0.55955700643874884</v>
      </c>
      <c r="L1125" s="4">
        <f t="shared" ref="L1125" si="1271">IFERROR(L1087/L991,"-")</f>
        <v>0.58984950286191706</v>
      </c>
      <c r="N1125" s="1"/>
    </row>
    <row r="1126" spans="2:14" x14ac:dyDescent="0.35">
      <c r="B1126" s="5" t="str">
        <f t="shared" si="1248"/>
        <v>SPS1</v>
      </c>
      <c r="C1126" s="5" t="str">
        <f t="shared" si="1249"/>
        <v>CH</v>
      </c>
      <c r="D1126" t="s">
        <v>1105</v>
      </c>
      <c r="E1126" t="s">
        <v>240</v>
      </c>
      <c r="F1126" s="4">
        <f>IFERROR(F1089/F1007,"-")</f>
        <v>0.74999999999999956</v>
      </c>
      <c r="G1126" s="4">
        <f t="shared" ref="G1126:K1126" si="1272">IFERROR(G1089/G1007,"-")</f>
        <v>0.75400000000000011</v>
      </c>
      <c r="H1126" s="4">
        <f t="shared" si="1272"/>
        <v>0.52892197897443249</v>
      </c>
      <c r="I1126" s="4">
        <f t="shared" si="1272"/>
        <v>0.55781247551014579</v>
      </c>
      <c r="J1126" s="4">
        <f t="shared" si="1272"/>
        <v>0.56028825239485625</v>
      </c>
      <c r="K1126" s="4">
        <f t="shared" si="1272"/>
        <v>0.56254452109329112</v>
      </c>
      <c r="L1126" s="4">
        <f t="shared" ref="L1126" si="1273">IFERROR(L1089/L1007,"-")</f>
        <v>0.56844503598562701</v>
      </c>
      <c r="N1126" s="1"/>
    </row>
    <row r="1127" spans="2:14" x14ac:dyDescent="0.35">
      <c r="B1127" s="5" t="str">
        <f t="shared" si="1248"/>
        <v>SPS1</v>
      </c>
      <c r="C1127" s="5" t="str">
        <f t="shared" si="1249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274">IFERROR(G1090/G1008,"-")</f>
        <v>-</v>
      </c>
      <c r="H1127" s="4">
        <f t="shared" si="1274"/>
        <v>2.02088621177325</v>
      </c>
      <c r="I1127" s="4">
        <f t="shared" si="1274"/>
        <v>2.3012847235341902</v>
      </c>
      <c r="J1127" s="4">
        <f t="shared" si="1274"/>
        <v>2.4343253483040113</v>
      </c>
      <c r="K1127" s="4">
        <f t="shared" si="1274"/>
        <v>2.5708470487104611</v>
      </c>
      <c r="L1127" s="4">
        <f t="shared" ref="L1127" si="1275">IFERROR(L1090/L1008,"-")</f>
        <v>3.0980428600802483</v>
      </c>
      <c r="N1127" s="1"/>
    </row>
    <row r="1128" spans="2:14" x14ac:dyDescent="0.35">
      <c r="B1128" s="5" t="str">
        <f t="shared" si="1248"/>
        <v>SPS1</v>
      </c>
      <c r="C1128" s="5" t="str">
        <f t="shared" si="1249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N1128" s="1"/>
    </row>
    <row r="1129" spans="2:14" x14ac:dyDescent="0.35">
      <c r="B1129" s="5" t="str">
        <f t="shared" si="1248"/>
        <v>SPS1</v>
      </c>
      <c r="C1129" s="5" t="str">
        <f t="shared" si="1249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N1129" s="1"/>
    </row>
    <row r="1130" spans="2:14" x14ac:dyDescent="0.35">
      <c r="B1130" s="5" t="str">
        <f t="shared" si="1248"/>
        <v>SPS1</v>
      </c>
      <c r="C1130" s="5" t="str">
        <f t="shared" si="1249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N1130" s="1"/>
    </row>
    <row r="1131" spans="2:14" x14ac:dyDescent="0.35">
      <c r="B1131" s="5" t="str">
        <f t="shared" si="1248"/>
        <v>SPS1</v>
      </c>
      <c r="C1131" s="5" t="str">
        <f t="shared" si="1249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N1131" s="1"/>
    </row>
    <row r="1132" spans="2:14" x14ac:dyDescent="0.35">
      <c r="B1132" s="5" t="str">
        <f t="shared" si="1248"/>
        <v>SPS1</v>
      </c>
      <c r="C1132" s="5" t="str">
        <f t="shared" si="1249"/>
        <v>CH</v>
      </c>
      <c r="D1132" t="s">
        <v>1111</v>
      </c>
      <c r="E1132" t="s">
        <v>240</v>
      </c>
      <c r="F1132" s="4">
        <f>IFERROR(F1100/F1024,"-")</f>
        <v>0.50000000000000044</v>
      </c>
      <c r="G1132" s="4">
        <f t="shared" ref="G1132:K1132" si="1276">IFERROR(G1100/G1024,"-")</f>
        <v>0.50000000000000033</v>
      </c>
      <c r="H1132" s="4">
        <f t="shared" si="1276"/>
        <v>0.43701951174377435</v>
      </c>
      <c r="I1132" s="4">
        <f t="shared" si="1276"/>
        <v>0.45013726959409683</v>
      </c>
      <c r="J1132" s="4">
        <f t="shared" si="1276"/>
        <v>0.45986766835713716</v>
      </c>
      <c r="K1132" s="4">
        <f t="shared" si="1276"/>
        <v>0.47108545568154192</v>
      </c>
      <c r="L1132" s="4">
        <f t="shared" ref="L1132" si="1277">IFERROR(L1100/L1024,"-")</f>
        <v>0.49825271200983057</v>
      </c>
      <c r="N1132" s="1"/>
    </row>
    <row r="1133" spans="2:14" x14ac:dyDescent="0.35">
      <c r="B1133" s="5" t="str">
        <f t="shared" si="1248"/>
        <v>SPS1</v>
      </c>
      <c r="C1133" s="5" t="str">
        <f t="shared" si="1249"/>
        <v>CH</v>
      </c>
      <c r="D1133" t="s">
        <v>1112</v>
      </c>
      <c r="E1133" t="s">
        <v>240</v>
      </c>
      <c r="F1133" s="4">
        <f>IFERROR(F1102/F1029,"-")</f>
        <v>0.62500000000000089</v>
      </c>
      <c r="G1133" s="4">
        <f t="shared" ref="G1133:K1133" si="1278">IFERROR(G1102/G1029,"-")</f>
        <v>0.62499999999999978</v>
      </c>
      <c r="H1133" s="4">
        <f t="shared" si="1278"/>
        <v>0.45224362210627111</v>
      </c>
      <c r="I1133" s="4">
        <f t="shared" si="1278"/>
        <v>0.46212952393595491</v>
      </c>
      <c r="J1133" s="4">
        <f t="shared" si="1278"/>
        <v>0.47008623414472583</v>
      </c>
      <c r="K1133" s="4">
        <f t="shared" si="1278"/>
        <v>0.48146951136897626</v>
      </c>
      <c r="L1133" s="4">
        <f t="shared" ref="L1133" si="1279">IFERROR(L1102/L1029,"-")</f>
        <v>0.50042688749363695</v>
      </c>
      <c r="N1133" s="1"/>
    </row>
    <row r="1134" spans="2:14" x14ac:dyDescent="0.35">
      <c r="B1134" s="5" t="str">
        <f t="shared" si="1248"/>
        <v>SPS1</v>
      </c>
      <c r="C1134" s="5" t="str">
        <f t="shared" si="1249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N1134" s="1"/>
    </row>
    <row r="1135" spans="2:14" x14ac:dyDescent="0.35">
      <c r="B1135" s="5" t="str">
        <f t="shared" si="1248"/>
        <v>SPS1</v>
      </c>
      <c r="C1135" s="5" t="str">
        <f t="shared" si="1249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280">IFERROR(G1106/G1041,"-")</f>
        <v>-</v>
      </c>
      <c r="H1135" s="4" t="str">
        <f t="shared" si="1280"/>
        <v>-</v>
      </c>
      <c r="I1135" s="4" t="str">
        <f t="shared" si="1280"/>
        <v>-</v>
      </c>
      <c r="J1135" s="4" t="str">
        <f t="shared" si="1280"/>
        <v>-</v>
      </c>
      <c r="K1135" s="4" t="str">
        <f t="shared" si="1280"/>
        <v>-</v>
      </c>
      <c r="L1135" s="4" t="str">
        <f t="shared" ref="L1135" si="1281">IFERROR(L1106/L1041,"-")</f>
        <v>-</v>
      </c>
      <c r="N1135" s="1"/>
    </row>
    <row r="1136" spans="2:14" x14ac:dyDescent="0.3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282">F1137+F1152+F1157+F1180+F1203</f>
        <v>141.10167328846083</v>
      </c>
      <c r="G1136" s="3">
        <f t="shared" si="1282"/>
        <v>134.8367750226968</v>
      </c>
      <c r="H1136" s="3">
        <f t="shared" si="1282"/>
        <v>121.54868769570562</v>
      </c>
      <c r="I1136" s="3">
        <f t="shared" si="1282"/>
        <v>88.037138183401552</v>
      </c>
      <c r="J1136" s="3">
        <f t="shared" si="1282"/>
        <v>58.472567467722612</v>
      </c>
      <c r="K1136" s="3">
        <f t="shared" si="1282"/>
        <v>48.753103880194608</v>
      </c>
      <c r="L1136" s="3">
        <f t="shared" ref="L1136" si="1283">L1137+L1152+L1157+L1180+L1203</f>
        <v>39.777453842479261</v>
      </c>
      <c r="N1136" s="1"/>
    </row>
    <row r="1137" spans="2:14" x14ac:dyDescent="0.3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0.75904311485990328</v>
      </c>
      <c r="G1137" s="1">
        <f t="shared" ref="G1137:K1137" si="1284">SUM(G1138:G1151)</f>
        <v>1.7792398401544249</v>
      </c>
      <c r="H1137" s="1">
        <f t="shared" si="1284"/>
        <v>4.4609875179463874</v>
      </c>
      <c r="I1137" s="1">
        <f t="shared" si="1284"/>
        <v>18.761652976295263</v>
      </c>
      <c r="J1137" s="1">
        <f t="shared" si="1284"/>
        <v>32.774999389766279</v>
      </c>
      <c r="K1137" s="1">
        <f t="shared" si="1284"/>
        <v>39.539568036939393</v>
      </c>
      <c r="L1137" s="1">
        <f t="shared" ref="L1137" si="1285">SUM(L1138:L1151)</f>
        <v>38.345027692276815</v>
      </c>
      <c r="N1137" s="1"/>
    </row>
    <row r="1138" spans="2:14" x14ac:dyDescent="0.35">
      <c r="B1138" s="5" t="str">
        <f t="shared" ref="B1138:B1217" si="1286">B1137</f>
        <v>SPS1</v>
      </c>
      <c r="C1138" s="5" t="str">
        <f t="shared" ref="C1138:C1217" si="1287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0.46775321103068807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0.37695569892784792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0.26206799058819863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0.11309438201948849</v>
      </c>
      <c r="J1138" s="1" cm="1">
        <f t="array" ref="J1138">SUMPRODUCT(("T_C-BATELCEXT"=[2]OUT_TransportEnergyCons!$A$3:$A$1000)*1,("Var_Fin"=[2]OUT_TransportEnergyCons!$B$3:$B$1000)*1,ISNUMBER(SEARCH("ELC",[2]OUT_TransportEnergyCons!$C$3:$C$1000))*1,[2]OUT_TransportEnergyCons!H$3:H$1000)</f>
        <v>0</v>
      </c>
      <c r="K1138" s="1" cm="1">
        <f t="array" ref="K1138">SUMPRODUCT(("T_C-BATELCEXT"=[2]OUT_TransportEnergyCons!$A$3:$A$1000)*1,("Var_Fin"=[2]OUT_TransportEnergyCons!$B$3:$B$1000)*1,ISNUMBER(SEARCH("ELC",[2]OUT_TransportEnergyCons!$C$3:$C$1000))*1,[2]OUT_TransportEnergyCons!I$3:I$1000)</f>
        <v>0</v>
      </c>
      <c r="L1138" s="1" cm="1">
        <f t="array" ref="L1138">SUMPRODUCT(("T_C-BATELCEXT"=[2]OUT_TransportEnergyCons!$A$3:$A$1000)*1,("Var_Fin"=[2]OUT_TransportEnergyCons!$B$3:$B$1000)*1,ISNUMBER(SEARCH("ELC",[2]OUT_TransportEnergyCons!$C$3:$C$1000))*1,[2]OUT_TransportEnergyCons!J$3:J$1000)</f>
        <v>0</v>
      </c>
      <c r="N1138" s="1"/>
    </row>
    <row r="1139" spans="2:14" x14ac:dyDescent="0.35">
      <c r="B1139" s="5" t="str">
        <f t="shared" si="1286"/>
        <v>SPS1</v>
      </c>
      <c r="C1139" s="5" t="str">
        <f t="shared" si="1287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1.1753470285554044E-2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2.1992886307014767E-2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2.0899358540414026E-2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0.48150132464017859</v>
      </c>
      <c r="J1139" s="1" cm="1">
        <f t="array" ref="J1139">SUMPRODUCT(("T_C-BAT-ELC-S1"=[2]OUT_TransportEnergyCons!$A$3:$A$1000)*1,("Var_Fin"=[2]OUT_TransportEnergyCons!$B$3:$B$1000)*1,ISNUMBER(SEARCH("ELC",[2]OUT_TransportEnergyCons!$C$3:$C$1000))*1,[2]OUT_TransportEnergyCons!H$3:H$1000)</f>
        <v>0.99746651058846003</v>
      </c>
      <c r="K1139" s="1" cm="1">
        <f t="array" ref="K1139">SUMPRODUCT(("T_C-BAT-ELC-S1"=[2]OUT_TransportEnergyCons!$A$3:$A$1000)*1,("Var_Fin"=[2]OUT_TransportEnergyCons!$B$3:$B$1000)*1,ISNUMBER(SEARCH("ELC",[2]OUT_TransportEnergyCons!$C$3:$C$1000))*1,[2]OUT_TransportEnergyCons!I$3:I$1000)</f>
        <v>1.2028796031375968</v>
      </c>
      <c r="L1139" s="1" cm="1">
        <f t="array" ref="L1139">SUMPRODUCT(("T_C-BAT-ELC-S1"=[2]OUT_TransportEnergyCons!$A$3:$A$1000)*1,("Var_Fin"=[2]OUT_TransportEnergyCons!$B$3:$B$1000)*1,ISNUMBER(SEARCH("ELC",[2]OUT_TransportEnergyCons!$C$3:$C$1000))*1,[2]OUT_TransportEnergyCons!J$3:J$1000)</f>
        <v>1.1578707062152247</v>
      </c>
      <c r="N1139" s="1"/>
    </row>
    <row r="1140" spans="2:14" x14ac:dyDescent="0.35">
      <c r="B1140" s="5" t="str">
        <f t="shared" si="1286"/>
        <v>SPS1</v>
      </c>
      <c r="C1140" s="5" t="str">
        <f t="shared" si="1287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6.6747486115301083E-2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0.12307832929795047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0.16273543280500249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5.1355658757097356</v>
      </c>
      <c r="J1140" s="1" cm="1">
        <f t="array" ref="J1140">SUMPRODUCT(("T_C-BAT-ELC-S2"=[2]OUT_TransportEnergyCons!$A$3:$A$1000)*1,("Var_Fin"=[2]OUT_TransportEnergyCons!$B$3:$B$1000)*1,ISNUMBER(SEARCH("ELC",[2]OUT_TransportEnergyCons!$C$3:$C$1000))*1,[2]OUT_TransportEnergyCons!H$3:H$1000)</f>
        <v>10.57418575193469</v>
      </c>
      <c r="K1140" s="1" cm="1">
        <f t="array" ref="K1140">SUMPRODUCT(("T_C-BAT-ELC-S2"=[2]OUT_TransportEnergyCons!$A$3:$A$1000)*1,("Var_Fin"=[2]OUT_TransportEnergyCons!$B$3:$B$1000)*1,ISNUMBER(SEARCH("ELC",[2]OUT_TransportEnergyCons!$C$3:$C$1000))*1,[2]OUT_TransportEnergyCons!I$3:I$1000)</f>
        <v>11.688567349506107</v>
      </c>
      <c r="L1140" s="1" cm="1">
        <f t="array" ref="L1140">SUMPRODUCT(("T_C-BAT-ELC-S2"=[2]OUT_TransportEnergyCons!$A$3:$A$1000)*1,("Var_Fin"=[2]OUT_TransportEnergyCons!$B$3:$B$1000)*1,ISNUMBER(SEARCH("ELC",[2]OUT_TransportEnergyCons!$C$3:$C$1000))*1,[2]OUT_TransportEnergyCons!J$3:J$1000)</f>
        <v>10.501335891687109</v>
      </c>
      <c r="N1140" s="1"/>
    </row>
    <row r="1141" spans="2:14" x14ac:dyDescent="0.35">
      <c r="B1141" s="5" t="str">
        <f t="shared" si="1286"/>
        <v>SPS1</v>
      </c>
      <c r="C1141" s="5" t="str">
        <f t="shared" si="1287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5.0569751806782734E-2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0.25759536963994467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0.83973041352650502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0.88313155516653929</v>
      </c>
      <c r="J1141" s="1" cm="1">
        <f t="array" ref="J1141">SUMPRODUCT(("T_C-BAT-ELC-S3"=[2]OUT_TransportEnergyCons!$A$3:$A$1000)*1,("Var_Fin"=[2]OUT_TransportEnergyCons!$B$3:$B$1000)*1,ISNUMBER(SEARCH("ELC",[2]OUT_TransportEnergyCons!$C$3:$C$1000))*1,[2]OUT_TransportEnergyCons!H$3:H$1000)</f>
        <v>0.69075217933125488</v>
      </c>
      <c r="K1141" s="1" cm="1">
        <f t="array" ref="K1141">SUMPRODUCT(("T_C-BAT-ELC-S3"=[2]OUT_TransportEnergyCons!$A$3:$A$1000)*1,("Var_Fin"=[2]OUT_TransportEnergyCons!$B$3:$B$1000)*1,ISNUMBER(SEARCH("ELC",[2]OUT_TransportEnergyCons!$C$3:$C$1000))*1,[2]OUT_TransportEnergyCons!I$3:I$1000)</f>
        <v>6.1268201732062586</v>
      </c>
      <c r="L1141" s="1" cm="1">
        <f t="array" ref="L1141">SUMPRODUCT(("T_C-BAT-ELC-S3"=[2]OUT_TransportEnergyCons!$A$3:$A$1000)*1,("Var_Fin"=[2]OUT_TransportEnergyCons!$B$3:$B$1000)*1,ISNUMBER(SEARCH("ELC",[2]OUT_TransportEnergyCons!$C$3:$C$1000))*1,[2]OUT_TransportEnergyCons!J$3:J$1000)</f>
        <v>9.1191060976868137</v>
      </c>
      <c r="N1141" s="1"/>
    </row>
    <row r="1142" spans="2:14" x14ac:dyDescent="0.35">
      <c r="B1142" s="5" t="str">
        <f t="shared" si="1286"/>
        <v>SPS1</v>
      </c>
      <c r="C1142" s="5" t="str">
        <f t="shared" si="1287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0.15882112619722877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0.90074557057290427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2.8599676467840207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9.907725329674534</v>
      </c>
      <c r="J1142" s="1" cm="1">
        <f t="array" ref="J1142">SUMPRODUCT(("T_C-BAT-ELC-S4"=[2]OUT_TransportEnergyCons!$A$3:$A$1000)*1,("Var_Fin"=[2]OUT_TransportEnergyCons!$B$3:$B$1000)*1,ISNUMBER(SEARCH("ELC",[2]OUT_TransportEnergyCons!$C$3:$C$1000))*1,[2]OUT_TransportEnergyCons!H$3:H$1000)</f>
        <v>16.138407983767628</v>
      </c>
      <c r="K1142" s="1" cm="1">
        <f t="array" ref="K1142">SUMPRODUCT(("T_C-BAT-ELC-S4"=[2]OUT_TransportEnergyCons!$A$3:$A$1000)*1,("Var_Fin"=[2]OUT_TransportEnergyCons!$B$3:$B$1000)*1,ISNUMBER(SEARCH("ELC",[2]OUT_TransportEnergyCons!$C$3:$C$1000))*1,[2]OUT_TransportEnergyCons!I$3:I$1000)</f>
        <v>16.581583264194084</v>
      </c>
      <c r="L1142" s="1" cm="1">
        <f t="array" ref="L1142">SUMPRODUCT(("T_C-BAT-ELC-S4"=[2]OUT_TransportEnergyCons!$A$3:$A$1000)*1,("Var_Fin"=[2]OUT_TransportEnergyCons!$B$3:$B$1000)*1,ISNUMBER(SEARCH("ELC",[2]OUT_TransportEnergyCons!$C$3:$C$1000))*1,[2]OUT_TransportEnergyCons!J$3:J$1000)</f>
        <v>15.43663888978188</v>
      </c>
      <c r="N1142" s="1"/>
    </row>
    <row r="1143" spans="2:14" x14ac:dyDescent="0.35">
      <c r="B1143" s="5" t="str">
        <f t="shared" si="1286"/>
        <v>SPS1</v>
      </c>
      <c r="C1143" s="5" t="str">
        <f t="shared" si="1287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5.9062578061176599E-4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9.0864607574338491E-4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4.2894209844528356E-3</v>
      </c>
      <c r="J1143" s="1" cm="1">
        <f t="array" ref="J1143">SUMPRODUCT(("T-Plg-elc-gsl_S1"=[2]OUT_TransportEnergyCons!$A$3:$A$1000)*1,("Var_Fin"=[2]OUT_TransportEnergyCons!$B$3:$B$1000)*1,ISNUMBER(SEARCH("ELC",[2]OUT_TransportEnergyCons!$C$3:$C$1000))*1,[2]OUT_TransportEnergyCons!H$3:H$1000)</f>
        <v>2.7663945405967605E-4</v>
      </c>
      <c r="K1143" s="1" cm="1">
        <f t="array" ref="K1143">SUMPRODUCT(("T-Plg-elc-gsl_S1"=[2]OUT_TransportEnergyCons!$A$3:$A$1000)*1,("Var_Fin"=[2]OUT_TransportEnergyCons!$B$3:$B$1000)*1,ISNUMBER(SEARCH("ELC",[2]OUT_TransportEnergyCons!$C$3:$C$1000))*1,[2]OUT_TransportEnergyCons!I$3:I$1000)</f>
        <v>2.2015363717523578E-4</v>
      </c>
      <c r="L1143" s="1" cm="1">
        <f t="array" ref="L1143">SUMPRODUCT(("T-Plg-elc-gsl_S1"=[2]OUT_TransportEnergyCons!$A$3:$A$1000)*1,("Var_Fin"=[2]OUT_TransportEnergyCons!$B$3:$B$1000)*1,ISNUMBER(SEARCH("ELC",[2]OUT_TransportEnergyCons!$C$3:$C$1000))*1,[2]OUT_TransportEnergyCons!J$3:J$1000)</f>
        <v>5.8812999007553675E-5</v>
      </c>
      <c r="N1143" s="1"/>
    </row>
    <row r="1144" spans="2:14" x14ac:dyDescent="0.35">
      <c r="B1144" s="5" t="str">
        <f t="shared" si="1286"/>
        <v>SPS1</v>
      </c>
      <c r="C1144" s="5" t="str">
        <f t="shared" si="1287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3.3805307952949662E-3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8.4363186840827678E-3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1.0781298760179536E-2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2.2762196762880653E-2</v>
      </c>
      <c r="J1144" s="1" cm="1">
        <f t="array" ref="J1144">SUMPRODUCT(("T-Plg-elc-gsl_S2"=[2]OUT_TransportEnergyCons!$A$3:$A$1000)*1,("Var_Fin"=[2]OUT_TransportEnergyCons!$B$3:$B$1000)*1,ISNUMBER(SEARCH("ELC",[2]OUT_TransportEnergyCons!$C$3:$C$1000))*1,[2]OUT_TransportEnergyCons!H$3:H$1000)</f>
        <v>3.4147783670538307E-3</v>
      </c>
      <c r="K1144" s="1" cm="1">
        <f t="array" ref="K1144">SUMPRODUCT(("T-Plg-elc-gsl_S2"=[2]OUT_TransportEnergyCons!$A$3:$A$1000)*1,("Var_Fin"=[2]OUT_TransportEnergyCons!$B$3:$B$1000)*1,ISNUMBER(SEARCH("ELC",[2]OUT_TransportEnergyCons!$C$3:$C$1000))*1,[2]OUT_TransportEnergyCons!I$3:I$1000)</f>
        <v>1.7877435515289946E-3</v>
      </c>
      <c r="L1144" s="1" cm="1">
        <f t="array" ref="L1144">SUMPRODUCT(("T-Plg-elc-gsl_S2"=[2]OUT_TransportEnergyCons!$A$3:$A$1000)*1,("Var_Fin"=[2]OUT_TransportEnergyCons!$B$3:$B$1000)*1,ISNUMBER(SEARCH("ELC",[2]OUT_TransportEnergyCons!$C$3:$C$1000))*1,[2]OUT_TransportEnergyCons!J$3:J$1000)</f>
        <v>6.4200408186440875E-4</v>
      </c>
      <c r="N1144" s="1"/>
    </row>
    <row r="1145" spans="2:14" x14ac:dyDescent="0.35">
      <c r="B1145" s="5" t="str">
        <f t="shared" si="1286"/>
        <v>SPS1</v>
      </c>
      <c r="C1145" s="5" t="str">
        <f t="shared" si="1287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4.2257203478147223E-2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0.14392859340708863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1.0459420047492505</v>
      </c>
      <c r="J1145" s="1" cm="1">
        <f t="array" ref="J1145">SUMPRODUCT(("T-Plg-elc-gsl_S3"=[2]OUT_TransportEnergyCons!$A$3:$A$1000)*1,("Var_Fin"=[2]OUT_TransportEnergyCons!$B$3:$B$1000)*1,ISNUMBER(SEARCH("ELC",[2]OUT_TransportEnergyCons!$C$3:$C$1000))*1,[2]OUT_TransportEnergyCons!H$3:H$1000)</f>
        <v>2.482527391481876</v>
      </c>
      <c r="K1145" s="1" cm="1">
        <f t="array" ref="K1145">SUMPRODUCT(("T-Plg-elc-gsl_S3"=[2]OUT_TransportEnergyCons!$A$3:$A$1000)*1,("Var_Fin"=[2]OUT_TransportEnergyCons!$B$3:$B$1000)*1,ISNUMBER(SEARCH("ELC",[2]OUT_TransportEnergyCons!$C$3:$C$1000))*1,[2]OUT_TransportEnergyCons!I$3:I$1000)</f>
        <v>1.7508432670679286</v>
      </c>
      <c r="L1145" s="1" cm="1">
        <f t="array" ref="L1145">SUMPRODUCT(("T-Plg-elc-gsl_S3"=[2]OUT_TransportEnergyCons!$A$3:$A$1000)*1,("Var_Fin"=[2]OUT_TransportEnergyCons!$B$3:$B$1000)*1,ISNUMBER(SEARCH("ELC",[2]OUT_TransportEnergyCons!$C$3:$C$1000))*1,[2]OUT_TransportEnergyCons!J$3:J$1000)</f>
        <v>0.59575156137918162</v>
      </c>
      <c r="N1145" s="1"/>
    </row>
    <row r="1146" spans="2:14" x14ac:dyDescent="0.35">
      <c r="B1146" s="5" t="str">
        <f t="shared" si="1286"/>
        <v>SPS1</v>
      </c>
      <c r="C1146" s="5" t="str">
        <f t="shared" si="1287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2.1512532490701893E-2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2.9159853456187105E-2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4.9684470895111313E-2</v>
      </c>
      <c r="J1146" s="1" cm="1">
        <f t="array" ref="J1146">SUMPRODUCT(("T-Plg-elc-gsl_S4"=[2]OUT_TransportEnergyCons!$A$3:$A$1000)*1,("Var_Fin"=[2]OUT_TransportEnergyCons!$B$3:$B$1000)*1,ISNUMBER(SEARCH("ELC",[2]OUT_TransportEnergyCons!$C$3:$C$1000))*1,[2]OUT_TransportEnergyCons!H$3:H$1000)</f>
        <v>5.853259089703894E-3</v>
      </c>
      <c r="K1146" s="1" cm="1">
        <f t="array" ref="K1146">SUMPRODUCT(("T-Plg-elc-gsl_S4"=[2]OUT_TransportEnergyCons!$A$3:$A$1000)*1,("Var_Fin"=[2]OUT_TransportEnergyCons!$B$3:$B$1000)*1,ISNUMBER(SEARCH("ELC",[2]OUT_TransportEnergyCons!$C$3:$C$1000))*1,[2]OUT_TransportEnergyCons!I$3:I$1000)</f>
        <v>1.2812129489638416E-3</v>
      </c>
      <c r="L1146" s="1" cm="1">
        <f t="array" ref="L1146">SUMPRODUCT(("T-Plg-elc-gsl_S4"=[2]OUT_TransportEnergyCons!$A$3:$A$1000)*1,("Var_Fin"=[2]OUT_TransportEnergyCons!$B$3:$B$1000)*1,ISNUMBER(SEARCH("ELC",[2]OUT_TransportEnergyCons!$C$3:$C$1000))*1,[2]OUT_TransportEnergyCons!J$3:J$1000)</f>
        <v>3.9413965586456752E-4</v>
      </c>
      <c r="N1146" s="1"/>
    </row>
    <row r="1147" spans="2:14" x14ac:dyDescent="0.35">
      <c r="B1147" s="5" t="str">
        <f t="shared" ref="B1147:B1151" si="1288">B1146</f>
        <v>SPS1</v>
      </c>
      <c r="C1147" s="5" t="str">
        <f t="shared" ref="C1147:C1151" si="1289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5.8439034758114719E-4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8.981745409123497E-4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4.4203831369525369E-3</v>
      </c>
      <c r="J1147" s="1" cm="1">
        <f t="array" ref="J1147">SUMPRODUCT(("T-Plg-elc-dsl_S1"=[2]OUT_TransportEnergyCons!$A$3:$A$1000)*1,("Var_Fin"=[2]OUT_TransportEnergyCons!$B$3:$B$1000)*1,ISNUMBER(SEARCH("ELC",[2]OUT_TransportEnergyCons!$C$3:$C$1000))*1,[2]OUT_TransportEnergyCons!H$3:H$1000)</f>
        <v>2.8440712836501494E-4</v>
      </c>
      <c r="K1147" s="1" cm="1">
        <f t="array" ref="K1147">SUMPRODUCT(("T-Plg-elc-dsl_S1"=[2]OUT_TransportEnergyCons!$A$3:$A$1000)*1,("Var_Fin"=[2]OUT_TransportEnergyCons!$B$3:$B$1000)*1,ISNUMBER(SEARCH("ELC",[2]OUT_TransportEnergyCons!$C$3:$C$1000))*1,[2]OUT_TransportEnergyCons!I$3:I$1000)</f>
        <v>2.2596744851286656E-4</v>
      </c>
      <c r="L1147" s="1" cm="1">
        <f t="array" ref="L1147">SUMPRODUCT(("T-Plg-elc-dsl_S1"=[2]OUT_TransportEnergyCons!$A$3:$A$1000)*1,("Var_Fin"=[2]OUT_TransportEnergyCons!$B$3:$B$1000)*1,ISNUMBER(SEARCH("ELC",[2]OUT_TransportEnergyCons!$C$3:$C$1000))*1,[2]OUT_TransportEnergyCons!J$3:J$1000)</f>
        <v>5.9406233798249187E-5</v>
      </c>
      <c r="N1147" s="1"/>
    </row>
    <row r="1148" spans="2:14" x14ac:dyDescent="0.35">
      <c r="B1148" s="5" t="str">
        <f t="shared" si="1288"/>
        <v>SPS1</v>
      </c>
      <c r="C1148" s="5" t="str">
        <f t="shared" si="1289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1.753862905357987E-5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7.1664915616044447E-4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2.3839631952658324E-3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1.1473215028926158E-2</v>
      </c>
      <c r="J1148" s="1" cm="1">
        <f t="array" ref="J1148">SUMPRODUCT(("T-Plg-elc-dsl_S2"=[2]OUT_TransportEnergyCons!$A$3:$A$1000)*1,("Var_Fin"=[2]OUT_TransportEnergyCons!$B$3:$B$1000)*1,ISNUMBER(SEARCH("ELC",[2]OUT_TransportEnergyCons!$C$3:$C$1000))*1,[2]OUT_TransportEnergyCons!H$3:H$1000)</f>
        <v>2.0775843791398332E-3</v>
      </c>
      <c r="K1148" s="1" cm="1">
        <f t="array" ref="K1148">SUMPRODUCT(("T-Plg-elc-dsl_S2"=[2]OUT_TransportEnergyCons!$A$3:$A$1000)*1,("Var_Fin"=[2]OUT_TransportEnergyCons!$B$3:$B$1000)*1,ISNUMBER(SEARCH("ELC",[2]OUT_TransportEnergyCons!$C$3:$C$1000))*1,[2]OUT_TransportEnergyCons!I$3:I$1000)</f>
        <v>2.0989929903499271E-3</v>
      </c>
      <c r="L1148" s="1" cm="1">
        <f t="array" ref="L1148">SUMPRODUCT(("T-Plg-elc-dsl_S2"=[2]OUT_TransportEnergyCons!$A$3:$A$1000)*1,("Var_Fin"=[2]OUT_TransportEnergyCons!$B$3:$B$1000)*1,ISNUMBER(SEARCH("ELC",[2]OUT_TransportEnergyCons!$C$3:$C$1000))*1,[2]OUT_TransportEnergyCons!J$3:J$1000)</f>
        <v>7.5533276827476894E-4</v>
      </c>
      <c r="N1148" s="1"/>
    </row>
    <row r="1149" spans="2:14" x14ac:dyDescent="0.35">
      <c r="B1149" s="5" t="str">
        <f t="shared" si="1288"/>
        <v>SPS1</v>
      </c>
      <c r="C1149" s="5" t="str">
        <f t="shared" si="1289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1.901278548490257E-2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0.11598673387917731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0.73985860106067414</v>
      </c>
      <c r="J1149" s="1" cm="1">
        <f t="array" ref="J1149">SUMPRODUCT(("T-Plg-elc-dsl_S3"=[2]OUT_TransportEnergyCons!$A$3:$A$1000)*1,("Var_Fin"=[2]OUT_TransportEnergyCons!$B$3:$B$1000)*1,ISNUMBER(SEARCH("ELC",[2]OUT_TransportEnergyCons!$C$3:$C$1000))*1,[2]OUT_TransportEnergyCons!H$3:H$1000)</f>
        <v>1.7938385256438201</v>
      </c>
      <c r="K1149" s="1" cm="1">
        <f t="array" ref="K1149">SUMPRODUCT(("T-Plg-elc-dsl_S3"=[2]OUT_TransportEnergyCons!$A$3:$A$1000)*1,("Var_Fin"=[2]OUT_TransportEnergyCons!$B$3:$B$1000)*1,ISNUMBER(SEARCH("ELC",[2]OUT_TransportEnergyCons!$C$3:$C$1000))*1,[2]OUT_TransportEnergyCons!I$3:I$1000)</f>
        <v>1.2598067024008839</v>
      </c>
      <c r="L1149" s="1" cm="1">
        <f t="array" ref="L1149">SUMPRODUCT(("T-Plg-elc-dsl_S3"=[2]OUT_TransportEnergyCons!$A$3:$A$1000)*1,("Var_Fin"=[2]OUT_TransportEnergyCons!$B$3:$B$1000)*1,ISNUMBER(SEARCH("ELC",[2]OUT_TransportEnergyCons!$C$3:$C$1000))*1,[2]OUT_TransportEnergyCons!J$3:J$1000)</f>
        <v>0.41536947391014462</v>
      </c>
      <c r="N1149" s="1"/>
    </row>
    <row r="1150" spans="2:14" x14ac:dyDescent="0.35">
      <c r="B1150" s="5" t="str">
        <f t="shared" si="1288"/>
        <v>SPS1</v>
      </c>
      <c r="C1150" s="5" t="str">
        <f t="shared" si="1289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5.7614799865749241E-3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1.1539412387691706E-2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2.8220086517950566E-2</v>
      </c>
      <c r="J1150" s="1" cm="1">
        <f t="array" ref="J1150">SUMPRODUCT(("T-Plg-elc-dsl_S4"=[2]OUT_TransportEnergyCons!$A$3:$A$1000)*1,("Var_Fin"=[2]OUT_TransportEnergyCons!$B$3:$B$1000)*1,ISNUMBER(SEARCH("ELC",[2]OUT_TransportEnergyCons!$C$3:$C$1000))*1,[2]OUT_TransportEnergyCons!H$3:H$1000)</f>
        <v>2.3007109909477723E-3</v>
      </c>
      <c r="K1150" s="1" cm="1">
        <f t="array" ref="K1150">SUMPRODUCT(("T-Plg-elc-dsl_S4"=[2]OUT_TransportEnergyCons!$A$3:$A$1000)*1,("Var_Fin"=[2]OUT_TransportEnergyCons!$B$3:$B$1000)*1,ISNUMBER(SEARCH("ELC",[2]OUT_TransportEnergyCons!$C$3:$C$1000))*1,[2]OUT_TransportEnergyCons!I$3:I$1000)</f>
        <v>1.3917988077629068E-3</v>
      </c>
      <c r="L1150" s="1" cm="1">
        <f t="array" ref="L1150">SUMPRODUCT(("T-Plg-elc-dsl_S4"=[2]OUT_TransportEnergyCons!$A$3:$A$1000)*1,("Var_Fin"=[2]OUT_TransportEnergyCons!$B$3:$B$1000)*1,ISNUMBER(SEARCH("ELC",[2]OUT_TransportEnergyCons!$C$3:$C$1000))*1,[2]OUT_TransportEnergyCons!J$3:J$1000)</f>
        <v>4.18173319001977E-4</v>
      </c>
      <c r="N1150" s="1"/>
    </row>
    <row r="1151" spans="2:14" x14ac:dyDescent="0.35">
      <c r="B1151" s="5" t="str">
        <f t="shared" si="1288"/>
        <v>SPS1</v>
      </c>
      <c r="C1151" s="5" t="str">
        <f t="shared" si="1289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0.33398412994859022</v>
      </c>
      <c r="J1151" s="1">
        <f>[2]Transport!F$32</f>
        <v>8.361366760928006E-2</v>
      </c>
      <c r="K1151" s="1">
        <f>[2]Transport!G$32</f>
        <v>0.92206180804225379</v>
      </c>
      <c r="L1151" s="1">
        <f>[2]Transport!H$32</f>
        <v>1.1166272025586534</v>
      </c>
      <c r="N1151" s="1"/>
    </row>
    <row r="1152" spans="2:14" x14ac:dyDescent="0.3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1.2578995250666642E-3</v>
      </c>
      <c r="G1152" s="1">
        <f t="shared" ref="G1152:K1152" si="1290">SUM(G1153:G1156)</f>
        <v>3.8052827299271423E-3</v>
      </c>
      <c r="H1152" s="1">
        <f t="shared" si="1290"/>
        <v>4.5313552833252547E-3</v>
      </c>
      <c r="I1152" s="1">
        <f t="shared" si="1290"/>
        <v>1.9073786592888461E-3</v>
      </c>
      <c r="J1152" s="1">
        <f t="shared" si="1290"/>
        <v>8.8435473946094328E-5</v>
      </c>
      <c r="K1152" s="1">
        <f t="shared" si="1290"/>
        <v>7.0247232702152463E-5</v>
      </c>
      <c r="L1152" s="1">
        <f t="shared" ref="L1152" si="1291">SUM(L1153:L1156)</f>
        <v>6.6743885393040183E-5</v>
      </c>
      <c r="N1152" s="1"/>
    </row>
    <row r="1153" spans="2:14" x14ac:dyDescent="0.35">
      <c r="B1153" s="5" t="str">
        <f t="shared" si="1286"/>
        <v>SPS1</v>
      </c>
      <c r="C1153" s="5" t="str">
        <f t="shared" si="1287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4.3658869685289696E-4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5.3358819465656277E-4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1.6326303284530698E-4</v>
      </c>
      <c r="J1153" s="1" cm="1">
        <f t="array" ref="J1153">SUMPRODUCT(("T_C-FC-H2O-S1"=[2]OUT_TransportEnergyCons!$A$3:$A$1000)*1,("Var_Fin"=[2]OUT_TransportEnergyCons!$B$3:$B$1000)*1,ISNUMBER(SEARCH("H2",[2]OUT_TransportEnergyCons!$C$3:$C$1000))*1,[2]OUT_TransportEnergyCons!H$3:H$1000)</f>
        <v>1.156207757076652E-5</v>
      </c>
      <c r="K1153" s="1" cm="1">
        <f t="array" ref="K1153">SUMPRODUCT(("T_C-FC-H2O-S1"=[2]OUT_TransportEnergyCons!$A$3:$A$1000)*1,("Var_Fin"=[2]OUT_TransportEnergyCons!$B$3:$B$1000)*1,ISNUMBER(SEARCH("H2",[2]OUT_TransportEnergyCons!$C$3:$C$1000))*1,[2]OUT_TransportEnergyCons!I$3:I$1000)</f>
        <v>1.0844266102934319E-5</v>
      </c>
      <c r="L1153" s="1" cm="1">
        <f t="array" ref="L1153">SUMPRODUCT(("T_C-FC-H2O-S1"=[2]OUT_TransportEnergyCons!$A$3:$A$1000)*1,("Var_Fin"=[2]OUT_TransportEnergyCons!$B$3:$B$1000)*1,ISNUMBER(SEARCH("H2",[2]OUT_TransportEnergyCons!$C$3:$C$1000))*1,[2]OUT_TransportEnergyCons!J$3:J$1000)</f>
        <v>8.434221132239123E-6</v>
      </c>
      <c r="N1153" s="1"/>
    </row>
    <row r="1154" spans="2:14" x14ac:dyDescent="0.35">
      <c r="B1154" s="5" t="str">
        <f t="shared" si="1286"/>
        <v>SPS1</v>
      </c>
      <c r="C1154" s="5" t="str">
        <f t="shared" si="1287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1.7188339485569516E-4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5.6304296400316596E-4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8.2354125241344714E-4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4.7247021116697188E-4</v>
      </c>
      <c r="J1154" s="1" cm="1">
        <f t="array" ref="J1154">SUMPRODUCT(("T_C-FC-H2O-S2"=[2]OUT_TransportEnergyCons!$A$3:$A$1000)*1,("Var_Fin"=[2]OUT_TransportEnergyCons!$B$3:$B$1000)*1,ISNUMBER(SEARCH("H2",[2]OUT_TransportEnergyCons!$C$3:$C$1000))*1,[2]OUT_TransportEnergyCons!H$3:H$1000)</f>
        <v>2.1804005896147103E-5</v>
      </c>
      <c r="K1154" s="1" cm="1">
        <f t="array" ref="K1154">SUMPRODUCT(("T_C-FC-H2O-S2"=[2]OUT_TransportEnergyCons!$A$3:$A$1000)*1,("Var_Fin"=[2]OUT_TransportEnergyCons!$B$3:$B$1000)*1,ISNUMBER(SEARCH("H2",[2]OUT_TransportEnergyCons!$C$3:$C$1000))*1,[2]OUT_TransportEnergyCons!I$3:I$1000)</f>
        <v>1.8690962759225802E-5</v>
      </c>
      <c r="L1154" s="1" cm="1">
        <f t="array" ref="L1154">SUMPRODUCT(("T_C-FC-H2O-S2"=[2]OUT_TransportEnergyCons!$A$3:$A$1000)*1,("Var_Fin"=[2]OUT_TransportEnergyCons!$B$3:$B$1000)*1,ISNUMBER(SEARCH("H2",[2]OUT_TransportEnergyCons!$C$3:$C$1000))*1,[2]OUT_TransportEnergyCons!J$3:J$1000)</f>
        <v>1.6807504673342613E-5</v>
      </c>
      <c r="N1154" s="1"/>
    </row>
    <row r="1155" spans="2:14" x14ac:dyDescent="0.35">
      <c r="B1155" s="5" t="str">
        <f t="shared" si="1286"/>
        <v>SPS1</v>
      </c>
      <c r="C1155" s="5" t="str">
        <f t="shared" si="1287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1.0860161302109692E-3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2.3279316316985187E-3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2.4352966495347528E-3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8.9185712049433372E-4</v>
      </c>
      <c r="J1155" s="1" cm="1">
        <f t="array" ref="J1155">SUMPRODUCT(("T_C-FC-H2O-S3"=[2]OUT_TransportEnergyCons!$A$3:$A$1000)*1,("Var_Fin"=[2]OUT_TransportEnergyCons!$B$3:$B$1000)*1,ISNUMBER(SEARCH("H2",[2]OUT_TransportEnergyCons!$C$3:$C$1000))*1,[2]OUT_TransportEnergyCons!H$3:H$1000)</f>
        <v>3.2391115644875717E-5</v>
      </c>
      <c r="K1155" s="1" cm="1">
        <f t="array" ref="K1155">SUMPRODUCT(("T_C-FC-H2O-S3"=[2]OUT_TransportEnergyCons!$A$3:$A$1000)*1,("Var_Fin"=[2]OUT_TransportEnergyCons!$B$3:$B$1000)*1,ISNUMBER(SEARCH("H2",[2]OUT_TransportEnergyCons!$C$3:$C$1000))*1,[2]OUT_TransportEnergyCons!I$3:I$1000)</f>
        <v>2.0839238245635004E-5</v>
      </c>
      <c r="L1155" s="1" cm="1">
        <f t="array" ref="L1155">SUMPRODUCT(("T_C-FC-H2O-S3"=[2]OUT_TransportEnergyCons!$A$3:$A$1000)*1,("Var_Fin"=[2]OUT_TransportEnergyCons!$B$3:$B$1000)*1,ISNUMBER(SEARCH("H2",[2]OUT_TransportEnergyCons!$C$3:$C$1000))*1,[2]OUT_TransportEnergyCons!J$3:J$1000)</f>
        <v>2.094720132291058E-5</v>
      </c>
      <c r="N1155" s="1"/>
    </row>
    <row r="1156" spans="2:14" x14ac:dyDescent="0.35">
      <c r="B1156" s="5" t="str">
        <f t="shared" si="1286"/>
        <v>SPS1</v>
      </c>
      <c r="C1156" s="5" t="str">
        <f t="shared" si="1287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4.7771943737256084E-4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7.3892918672049208E-4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3.7978829478223371E-4</v>
      </c>
      <c r="J1156" s="1" cm="1">
        <f t="array" ref="J1156">SUMPRODUCT(("T_C-FC-H2O-S4"=[2]OUT_TransportEnergyCons!$A$3:$A$1000)*1,("Var_Fin"=[2]OUT_TransportEnergyCons!$B$3:$B$1000)*1,ISNUMBER(SEARCH("H2",[2]OUT_TransportEnergyCons!$C$3:$C$1000))*1,[2]OUT_TransportEnergyCons!H$3:H$1000)</f>
        <v>2.2678274834304988E-5</v>
      </c>
      <c r="K1156" s="1" cm="1">
        <f t="array" ref="K1156">SUMPRODUCT(("T_C-FC-H2O-S4"=[2]OUT_TransportEnergyCons!$A$3:$A$1000)*1,("Var_Fin"=[2]OUT_TransportEnergyCons!$B$3:$B$1000)*1,ISNUMBER(SEARCH("H2",[2]OUT_TransportEnergyCons!$C$3:$C$1000))*1,[2]OUT_TransportEnergyCons!I$3:I$1000)</f>
        <v>1.9872765594357335E-5</v>
      </c>
      <c r="L1156" s="1" cm="1">
        <f t="array" ref="L1156">SUMPRODUCT(("T_C-FC-H2O-S4"=[2]OUT_TransportEnergyCons!$A$3:$A$1000)*1,("Var_Fin"=[2]OUT_TransportEnergyCons!$B$3:$B$1000)*1,ISNUMBER(SEARCH("H2",[2]OUT_TransportEnergyCons!$C$3:$C$1000))*1,[2]OUT_TransportEnergyCons!J$3:J$1000)</f>
        <v>2.0554958264547868E-5</v>
      </c>
      <c r="N1156" s="1"/>
    </row>
    <row r="1157" spans="2:14" x14ac:dyDescent="0.35">
      <c r="B1157" s="5" t="str">
        <f t="shared" si="1286"/>
        <v>SPS1</v>
      </c>
      <c r="C1157" s="5" t="str">
        <f t="shared" si="1287"/>
        <v>CH</v>
      </c>
      <c r="D1157" t="s">
        <v>1257</v>
      </c>
      <c r="E1157" t="s">
        <v>8</v>
      </c>
      <c r="F1157" s="1">
        <f>SUM(F1162:F1179)</f>
        <v>76.403697980924306</v>
      </c>
      <c r="G1157" s="1">
        <f t="shared" ref="G1157:K1157" si="1292">SUM(G1162:G1179)</f>
        <v>74.211040865357049</v>
      </c>
      <c r="H1157" s="1">
        <f t="shared" si="1292"/>
        <v>71.059371752578983</v>
      </c>
      <c r="I1157" s="1">
        <f t="shared" si="1292"/>
        <v>41.517091035693113</v>
      </c>
      <c r="J1157" s="1">
        <f t="shared" si="1292"/>
        <v>16.501707615954164</v>
      </c>
      <c r="K1157" s="1">
        <f t="shared" si="1292"/>
        <v>5.5650554719424736</v>
      </c>
      <c r="L1157" s="1">
        <f t="shared" ref="L1157" si="1293">SUM(L1162:L1179)</f>
        <v>0.84821782860687156</v>
      </c>
      <c r="N1157" s="1"/>
    </row>
    <row r="1158" spans="2:14" x14ac:dyDescent="0.35">
      <c r="B1158" s="5" t="str">
        <f>B1157</f>
        <v>SPS1</v>
      </c>
      <c r="C1158" s="5" t="str">
        <f t="shared" si="1287"/>
        <v>CH</v>
      </c>
      <c r="D1158" t="s">
        <v>1258</v>
      </c>
      <c r="E1158" t="str">
        <f>E1157</f>
        <v>PJ/yr.</v>
      </c>
      <c r="F1158" s="1">
        <f t="shared" ref="F1158:J1158" si="1294">IF(F1157-F1159&lt;0,0,F1157-F1159)</f>
        <v>72.221314310536769</v>
      </c>
      <c r="G1158" s="1">
        <f t="shared" si="1294"/>
        <v>70.147979472645815</v>
      </c>
      <c r="H1158" s="1">
        <f t="shared" si="1294"/>
        <v>67.168634536209225</v>
      </c>
      <c r="I1158" s="1">
        <f t="shared" si="1294"/>
        <v>37.883048080696092</v>
      </c>
      <c r="J1158" s="1">
        <f t="shared" si="1294"/>
        <v>15.250977167395346</v>
      </c>
      <c r="K1158" s="1">
        <f>IF(K1157-K1159&lt;0,0,K1157-K1159)</f>
        <v>2.8781015586602807</v>
      </c>
      <c r="L1158" s="1">
        <f>IF(L1157-L1159&lt;0,0,L1157-L1159)</f>
        <v>0</v>
      </c>
      <c r="N1158" s="1"/>
    </row>
    <row r="1159" spans="2:14" x14ac:dyDescent="0.35">
      <c r="B1159" s="5" t="str">
        <f t="shared" ref="B1159:B1161" si="1295">B1158</f>
        <v>SPS1</v>
      </c>
      <c r="C1159" s="5" t="str">
        <f t="shared" si="1287"/>
        <v>CH</v>
      </c>
      <c r="D1159" t="s">
        <v>1259</v>
      </c>
      <c r="E1159" t="str">
        <f>E1158</f>
        <v>PJ/yr.</v>
      </c>
      <c r="F1159" s="1">
        <f>SUM(F1160:F1161)</f>
        <v>4.1823836703875417</v>
      </c>
      <c r="G1159" s="1">
        <f t="shared" ref="G1159" si="1296">SUM(G1160:G1161)</f>
        <v>4.0630613927112389</v>
      </c>
      <c r="H1159" s="1">
        <f t="shared" ref="H1159" si="1297">SUM(H1160:H1161)</f>
        <v>3.8907372163697502</v>
      </c>
      <c r="I1159" s="1">
        <f t="shared" ref="I1159" si="1298">SUM(I1160:I1161)</f>
        <v>3.6340429549970179</v>
      </c>
      <c r="J1159" s="1">
        <f t="shared" ref="J1159" si="1299">SUM(J1160:J1161)</f>
        <v>1.2507304485588169</v>
      </c>
      <c r="K1159" s="1">
        <f t="shared" ref="K1159:L1159" si="1300">SUM(K1160:K1161)</f>
        <v>2.6869539132821929</v>
      </c>
      <c r="L1159" s="1">
        <f t="shared" si="1300"/>
        <v>0.85961259555902914</v>
      </c>
      <c r="N1159" s="1"/>
    </row>
    <row r="1160" spans="2:14" x14ac:dyDescent="0.35">
      <c r="B1160" s="5" t="str">
        <f t="shared" si="1295"/>
        <v>SPS1</v>
      </c>
      <c r="C1160" s="5" t="str">
        <f t="shared" si="1287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4.1823836703875417</v>
      </c>
      <c r="G1160" s="1">
        <f>[1]Transport!C$25/SUM([1]Transport!C$21,[1]Transport!C$25)*G1157*(G$35+G$600)/(G$35+G$600+G$39)</f>
        <v>4.0630613927112389</v>
      </c>
      <c r="H1160" s="1">
        <f>[1]Transport!D$25/SUM([1]Transport!D$21,[1]Transport!D$25)*H1157*(H$35+H$600)/(H$35+H$600+H$39)</f>
        <v>3.8907372163697502</v>
      </c>
      <c r="I1160" s="1">
        <f>[1]Transport!E$25/SUM([1]Transport!E$21,[1]Transport!E$25)*I1157*(I$35+I$600)/(I$35+I$600+I$39)</f>
        <v>3.6340429549970179</v>
      </c>
      <c r="J1160" s="1">
        <f>[2]Transport!F$25/SUM([2]Transport!F$21,[2]Transport!F$25)*J1157*(J$35+J$600)/(J$35+J$600+J$39)</f>
        <v>1.2507304485588169</v>
      </c>
      <c r="K1160" s="1">
        <f>[2]Transport!G$25/SUM([2]Transport!G$21,[2]Transport!G$25)*K1157*(K$35+K$600)/(K$35+K$600+K$39)</f>
        <v>1.1464102716373774</v>
      </c>
      <c r="L1160" s="1">
        <f>[2]Transport!H$25/SUM([2]Transport!H$21,[2]Transport!H$25)*L1157*(L$35+L$600)/(L$35+L$600+L$39)</f>
        <v>8.4316566966427239E-2</v>
      </c>
      <c r="N1160" s="1"/>
    </row>
    <row r="1161" spans="2:14" x14ac:dyDescent="0.35">
      <c r="B1161" s="5" t="str">
        <f t="shared" si="1295"/>
        <v>SPS1</v>
      </c>
      <c r="C1161" s="5" t="str">
        <f t="shared" si="1287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(J$39+J$719)/([2]Transport!F$21+[2]Transport!F$25)*J1157</f>
        <v>0</v>
      </c>
      <c r="K1161" s="1">
        <f>(K$39+K$719)/([2]Transport!G$21+[2]Transport!G$25)*K1157</f>
        <v>1.5405436416448155</v>
      </c>
      <c r="L1161" s="1">
        <f>(L$39+L$719)/([2]Transport!H$21+[2]Transport!H$25)*L1157</f>
        <v>0.77529602859260194</v>
      </c>
      <c r="N1161" s="1"/>
    </row>
    <row r="1162" spans="2:14" x14ac:dyDescent="0.3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1.2541470702660853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1.2428984975155788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0.92492862340533555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0.43894306232193969</v>
      </c>
      <c r="J1162" s="1" cm="1">
        <f t="array" ref="J1162">SUMPRODUCT(("T_C-HYBGSLEXT"=[2]OUT_TransportEnergyCons!$A$3:$A$1000)*1,("Var_Fin"=[2]OUT_TransportEnergyCons!$B$3:$B$1000)*1,ISNUMBER(SEARCH("GSL",[2]OUT_TransportEnergyCons!$C$3:$C$1000))*1,[2]OUT_TransportEnergyCons!H$3:H$1000)</f>
        <v>0</v>
      </c>
      <c r="K1162" s="1" cm="1">
        <f t="array" ref="K1162">SUMPRODUCT(("T_C-HYBGSLEXT"=[2]OUT_TransportEnergyCons!$A$3:$A$1000)*1,("Var_Fin"=[2]OUT_TransportEnergyCons!$B$3:$B$1000)*1,ISNUMBER(SEARCH("GSL",[2]OUT_TransportEnergyCons!$C$3:$C$1000))*1,[2]OUT_TransportEnergyCons!I$3:I$1000)</f>
        <v>0</v>
      </c>
      <c r="L1162" s="1" cm="1">
        <f t="array" ref="L1162">SUMPRODUCT(("T_C-HYBGSLEXT"=[2]OUT_TransportEnergyCons!$A$3:$A$1000)*1,("Var_Fin"=[2]OUT_TransportEnergyCons!$B$3:$B$1000)*1,ISNUMBER(SEARCH("GSL",[2]OUT_TransportEnergyCons!$C$3:$C$1000))*1,[2]OUT_TransportEnergyCons!J$3:J$1000)</f>
        <v>0</v>
      </c>
      <c r="N1162" s="1"/>
    </row>
    <row r="1163" spans="2:14" x14ac:dyDescent="0.35">
      <c r="B1163" s="5" t="str">
        <f t="shared" si="1286"/>
        <v>SPS1</v>
      </c>
      <c r="C1163" s="5" t="str">
        <f t="shared" si="1287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3.4562473782819222E-2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6.8500025871825715E-2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5.3669332781251342E-2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5.0380087696886809E-2</v>
      </c>
      <c r="J1163" s="1" cm="1">
        <f t="array" ref="J1163">SUMPRODUCT(("T_C-HY-GSL-S1"=[2]OUT_TransportEnergyCons!$A$3:$A$1000)*1,("Var_Fin"=[2]OUT_TransportEnergyCons!$B$3:$B$1000)*1,ISNUMBER(SEARCH("GSL",[2]OUT_TransportEnergyCons!$C$3:$C$1000))*1,[2]OUT_TransportEnergyCons!H$3:H$1000)</f>
        <v>2.2061635994209895E-3</v>
      </c>
      <c r="K1163" s="1" cm="1">
        <f t="array" ref="K1163">SUMPRODUCT(("T_C-HY-GSL-S1"=[2]OUT_TransportEnergyCons!$A$3:$A$1000)*1,("Var_Fin"=[2]OUT_TransportEnergyCons!$B$3:$B$1000)*1,ISNUMBER(SEARCH("GSL",[2]OUT_TransportEnergyCons!$C$3:$C$1000))*1,[2]OUT_TransportEnergyCons!I$3:I$1000)</f>
        <v>1.5994161909739583E-4</v>
      </c>
      <c r="L1163" s="1" cm="1">
        <f t="array" ref="L1163">SUMPRODUCT(("T_C-HY-GSL-S1"=[2]OUT_TransportEnergyCons!$A$3:$A$1000)*1,("Var_Fin"=[2]OUT_TransportEnergyCons!$B$3:$B$1000)*1,ISNUMBER(SEARCH("GSL",[2]OUT_TransportEnergyCons!$C$3:$C$1000))*1,[2]OUT_TransportEnergyCons!J$3:J$1000)</f>
        <v>0</v>
      </c>
      <c r="N1163" s="1"/>
    </row>
    <row r="1164" spans="2:14" x14ac:dyDescent="0.35">
      <c r="B1164" s="5" t="str">
        <f t="shared" si="1286"/>
        <v>SPS1</v>
      </c>
      <c r="C1164" s="5" t="str">
        <f t="shared" si="1287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0.10671818056945617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0.26178464552735076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0.90818979571190506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0.79148744138545257</v>
      </c>
      <c r="J1164" s="1" cm="1">
        <f t="array" ref="J1164">SUMPRODUCT(("T_C-HY-GSL-S2"=[2]OUT_TransportEnergyCons!$A$3:$A$1000)*1,("Var_Fin"=[2]OUT_TransportEnergyCons!$B$3:$B$1000)*1,ISNUMBER(SEARCH("GSL",[2]OUT_TransportEnergyCons!$C$3:$C$1000))*1,[2]OUT_TransportEnergyCons!H$3:H$1000)</f>
        <v>0.40049322083199501</v>
      </c>
      <c r="K1164" s="1" cm="1">
        <f t="array" ref="K1164">SUMPRODUCT(("T_C-HY-GSL-S2"=[2]OUT_TransportEnergyCons!$A$3:$A$1000)*1,("Var_Fin"=[2]OUT_TransportEnergyCons!$B$3:$B$1000)*1,ISNUMBER(SEARCH("GSL",[2]OUT_TransportEnergyCons!$C$3:$C$1000))*1,[2]OUT_TransportEnergyCons!I$3:I$1000)</f>
        <v>4.5066599655964566E-2</v>
      </c>
      <c r="L1164" s="1" cm="1">
        <f t="array" ref="L1164">SUMPRODUCT(("T_C-HY-GSL-S2"=[2]OUT_TransportEnergyCons!$A$3:$A$1000)*1,("Var_Fin"=[2]OUT_TransportEnergyCons!$B$3:$B$1000)*1,ISNUMBER(SEARCH("GSL",[2]OUT_TransportEnergyCons!$C$3:$C$1000))*1,[2]OUT_TransportEnergyCons!J$3:J$1000)</f>
        <v>0</v>
      </c>
      <c r="N1164" s="1"/>
    </row>
    <row r="1165" spans="2:14" x14ac:dyDescent="0.35">
      <c r="B1165" s="5" t="str">
        <f t="shared" si="1286"/>
        <v>SPS1</v>
      </c>
      <c r="C1165" s="5" t="str">
        <f t="shared" si="1287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7.838652094740918E-2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1.1181971759736442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1.0629788244473974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0.85473147739132882</v>
      </c>
      <c r="J1165" s="1" cm="1">
        <f t="array" ref="J1165">SUMPRODUCT(("T_C-HY-GSL-S3"=[2]OUT_TransportEnergyCons!$A$3:$A$1000)*1,("Var_Fin"=[2]OUT_TransportEnergyCons!$B$3:$B$1000)*1,ISNUMBER(SEARCH("GSL",[2]OUT_TransportEnergyCons!$C$3:$C$1000))*1,[2]OUT_TransportEnergyCons!H$3:H$1000)</f>
        <v>0.27584739675449116</v>
      </c>
      <c r="K1165" s="1" cm="1">
        <f t="array" ref="K1165">SUMPRODUCT(("T_C-HY-GSL-S3"=[2]OUT_TransportEnergyCons!$A$3:$A$1000)*1,("Var_Fin"=[2]OUT_TransportEnergyCons!$B$3:$B$1000)*1,ISNUMBER(SEARCH("GSL",[2]OUT_TransportEnergyCons!$C$3:$C$1000))*1,[2]OUT_TransportEnergyCons!I$3:I$1000)</f>
        <v>8.408000850496169E-5</v>
      </c>
      <c r="L1165" s="1" cm="1">
        <f t="array" ref="L1165">SUMPRODUCT(("T_C-HY-GSL-S3"=[2]OUT_TransportEnergyCons!$A$3:$A$1000)*1,("Var_Fin"=[2]OUT_TransportEnergyCons!$B$3:$B$1000)*1,ISNUMBER(SEARCH("GSL",[2]OUT_TransportEnergyCons!$C$3:$C$1000))*1,[2]OUT_TransportEnergyCons!J$3:J$1000)</f>
        <v>0</v>
      </c>
      <c r="N1165" s="1"/>
    </row>
    <row r="1166" spans="2:14" x14ac:dyDescent="0.35">
      <c r="B1166" s="5" t="str">
        <f t="shared" si="1286"/>
        <v>SPS1</v>
      </c>
      <c r="C1166" s="5" t="str">
        <f t="shared" si="1287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6.7089267003846625E-2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0.14587901738327488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0.14443568959558051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0.12548771866292832</v>
      </c>
      <c r="J1166" s="1" cm="1">
        <f t="array" ref="J1166">SUMPRODUCT(("T_C-HY-GSL-S4"=[2]OUT_TransportEnergyCons!$A$3:$A$1000)*1,("Var_Fin"=[2]OUT_TransportEnergyCons!$B$3:$B$1000)*1,ISNUMBER(SEARCH("GSL",[2]OUT_TransportEnergyCons!$C$3:$C$1000))*1,[2]OUT_TransportEnergyCons!H$3:H$1000)</f>
        <v>1.5781592779949311E-2</v>
      </c>
      <c r="K1166" s="1" cm="1">
        <f t="array" ref="K1166">SUMPRODUCT(("T_C-HY-GSL-S4"=[2]OUT_TransportEnergyCons!$A$3:$A$1000)*1,("Var_Fin"=[2]OUT_TransportEnergyCons!$B$3:$B$1000)*1,ISNUMBER(SEARCH("GSL",[2]OUT_TransportEnergyCons!$C$3:$C$1000))*1,[2]OUT_TransportEnergyCons!I$3:I$1000)</f>
        <v>8.2474165013396146E-5</v>
      </c>
      <c r="L1166" s="1" cm="1">
        <f t="array" ref="L1166">SUMPRODUCT(("T_C-HY-GSL-S4"=[2]OUT_TransportEnergyCons!$A$3:$A$1000)*1,("Var_Fin"=[2]OUT_TransportEnergyCons!$B$3:$B$1000)*1,ISNUMBER(SEARCH("GSL",[2]OUT_TransportEnergyCons!$C$3:$C$1000))*1,[2]OUT_TransportEnergyCons!J$3:J$1000)</f>
        <v>0</v>
      </c>
      <c r="N1166" s="1"/>
    </row>
    <row r="1167" spans="2:14" x14ac:dyDescent="0.35">
      <c r="B1167" s="5" t="str">
        <f t="shared" si="1286"/>
        <v>SPS1</v>
      </c>
      <c r="C1167" s="5" t="str">
        <f t="shared" si="1287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63.987699774017699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53.341730855357618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42.583417893718476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13.115073269860021</v>
      </c>
      <c r="J1167" s="1" cm="1">
        <f t="array" ref="J1167">SUMPRODUCT(("T_C-ICEGSLEXT"=[2]OUT_TransportEnergyCons!$A$3:$A$1000)*1,("Var_Fin"=[2]OUT_TransportEnergyCons!$B$3:$B$1000)*1,ISNUMBER(SEARCH("GSL",[2]OUT_TransportEnergyCons!$C$3:$C$1000))*1,[2]OUT_TransportEnergyCons!H$3:H$1000)</f>
        <v>0</v>
      </c>
      <c r="K1167" s="1" cm="1">
        <f t="array" ref="K1167">SUMPRODUCT(("T_C-ICEGSLEXT"=[2]OUT_TransportEnergyCons!$A$3:$A$1000)*1,("Var_Fin"=[2]OUT_TransportEnergyCons!$B$3:$B$1000)*1,ISNUMBER(SEARCH("GSL",[2]OUT_TransportEnergyCons!$C$3:$C$1000))*1,[2]OUT_TransportEnergyCons!I$3:I$1000)</f>
        <v>0</v>
      </c>
      <c r="L1167" s="1" cm="1">
        <f t="array" ref="L1167">SUMPRODUCT(("T_C-ICEGSLEXT"=[2]OUT_TransportEnergyCons!$A$3:$A$1000)*1,("Var_Fin"=[2]OUT_TransportEnergyCons!$B$3:$B$1000)*1,ISNUMBER(SEARCH("GSL",[2]OUT_TransportEnergyCons!$C$3:$C$1000))*1,[2]OUT_TransportEnergyCons!J$3:J$1000)</f>
        <v>0</v>
      </c>
      <c r="N1167" s="1"/>
    </row>
    <row r="1168" spans="2:14" x14ac:dyDescent="0.35">
      <c r="B1168" s="5" t="str">
        <f t="shared" si="1286"/>
        <v>SPS1</v>
      </c>
      <c r="C1168" s="5" t="str">
        <f t="shared" si="1287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0.35399510982523313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0.593377402922726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1.3337314082094138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1.1340892671018696</v>
      </c>
      <c r="J1168" s="1" cm="1">
        <f t="array" ref="J1168">SUMPRODUCT(("T_C-ICE-GSL-S1"=[2]OUT_TransportEnergyCons!$A$3:$A$1000)*1,("Var_Fin"=[2]OUT_TransportEnergyCons!$B$3:$B$1000)*1,ISNUMBER(SEARCH("GSL",[2]OUT_TransportEnergyCons!$C$3:$C$1000))*1,[2]OUT_TransportEnergyCons!H$3:H$1000)</f>
        <v>0.65014482712391897</v>
      </c>
      <c r="K1168" s="1" cm="1">
        <f t="array" ref="K1168">SUMPRODUCT(("T_C-ICE-GSL-S1"=[2]OUT_TransportEnergyCons!$A$3:$A$1000)*1,("Var_Fin"=[2]OUT_TransportEnergyCons!$B$3:$B$1000)*1,ISNUMBER(SEARCH("GSL",[2]OUT_TransportEnergyCons!$C$3:$C$1000))*1,[2]OUT_TransportEnergyCons!I$3:I$1000)</f>
        <v>8.5826385723535542E-2</v>
      </c>
      <c r="L1168" s="1" cm="1">
        <f t="array" ref="L1168">SUMPRODUCT(("T_C-ICE-GSL-S1"=[2]OUT_TransportEnergyCons!$A$3:$A$1000)*1,("Var_Fin"=[2]OUT_TransportEnergyCons!$B$3:$B$1000)*1,ISNUMBER(SEARCH("GSL",[2]OUT_TransportEnergyCons!$C$3:$C$1000))*1,[2]OUT_TransportEnergyCons!J$3:J$1000)</f>
        <v>0</v>
      </c>
      <c r="N1168" s="1"/>
    </row>
    <row r="1169" spans="2:18" x14ac:dyDescent="0.35">
      <c r="B1169" s="5" t="str">
        <f t="shared" si="1286"/>
        <v>SPS1</v>
      </c>
      <c r="C1169" s="5" t="str">
        <f t="shared" si="1287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3.4258884500046296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5.3189068088880536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5.9344730508635477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4.7386420001443739</v>
      </c>
      <c r="J1169" s="1" cm="1">
        <f t="array" ref="J1169">SUMPRODUCT(("T_C-ICE-GSL-S2"=[2]OUT_TransportEnergyCons!$A$3:$A$1000)*1,("Var_Fin"=[2]OUT_TransportEnergyCons!$B$3:$B$1000)*1,ISNUMBER(SEARCH("GSL",[2]OUT_TransportEnergyCons!$C$3:$C$1000))*1,[2]OUT_TransportEnergyCons!H$3:H$1000)</f>
        <v>0.58518822128617609</v>
      </c>
      <c r="K1169" s="1" cm="1">
        <f t="array" ref="K1169">SUMPRODUCT(("T_C-ICE-GSL-S2"=[2]OUT_TransportEnergyCons!$A$3:$A$1000)*1,("Var_Fin"=[2]OUT_TransportEnergyCons!$B$3:$B$1000)*1,ISNUMBER(SEARCH("GSL",[2]OUT_TransportEnergyCons!$C$3:$C$1000))*1,[2]OUT_TransportEnergyCons!I$3:I$1000)</f>
        <v>5.7484733705752258E-2</v>
      </c>
      <c r="L1169" s="1" cm="1">
        <f t="array" ref="L1169">SUMPRODUCT(("T_C-ICE-GSL-S2"=[2]OUT_TransportEnergyCons!$A$3:$A$1000)*1,("Var_Fin"=[2]OUT_TransportEnergyCons!$B$3:$B$1000)*1,ISNUMBER(SEARCH("GSL",[2]OUT_TransportEnergyCons!$C$3:$C$1000))*1,[2]OUT_TransportEnergyCons!J$3:J$1000)</f>
        <v>0</v>
      </c>
      <c r="N1169" s="1"/>
    </row>
    <row r="1170" spans="2:18" x14ac:dyDescent="0.35">
      <c r="B1170" s="5" t="str">
        <f t="shared" si="1286"/>
        <v>SPS1</v>
      </c>
      <c r="C1170" s="5" t="str">
        <f t="shared" si="1287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3.5980241919660059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5.7634447537405382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5.863588079970528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4.7454739339923995</v>
      </c>
      <c r="J1170" s="1" cm="1">
        <f t="array" ref="J1170">SUMPRODUCT(("T_C-ICE-GSL-S3"=[2]OUT_TransportEnergyCons!$A$3:$A$1000)*1,("Var_Fin"=[2]OUT_TransportEnergyCons!$B$3:$B$1000)*1,ISNUMBER(SEARCH("GSL",[2]OUT_TransportEnergyCons!$C$3:$C$1000))*1,[2]OUT_TransportEnergyCons!H$3:H$1000)</f>
        <v>0.96203053566261687</v>
      </c>
      <c r="K1170" s="1" cm="1">
        <f t="array" ref="K1170">SUMPRODUCT(("T_C-ICE-GSL-S3"=[2]OUT_TransportEnergyCons!$A$3:$A$1000)*1,("Var_Fin"=[2]OUT_TransportEnergyCons!$B$3:$B$1000)*1,ISNUMBER(SEARCH("GSL",[2]OUT_TransportEnergyCons!$C$3:$C$1000))*1,[2]OUT_TransportEnergyCons!I$3:I$1000)</f>
        <v>6.6802774056151842E-2</v>
      </c>
      <c r="L1170" s="1" cm="1">
        <f t="array" ref="L1170">SUMPRODUCT(("T_C-ICE-GSL-S3"=[2]OUT_TransportEnergyCons!$A$3:$A$1000)*1,("Var_Fin"=[2]OUT_TransportEnergyCons!$B$3:$B$1000)*1,ISNUMBER(SEARCH("GSL",[2]OUT_TransportEnergyCons!$C$3:$C$1000))*1,[2]OUT_TransportEnergyCons!J$3:J$1000)</f>
        <v>0</v>
      </c>
      <c r="N1170" s="1"/>
    </row>
    <row r="1171" spans="2:18" x14ac:dyDescent="0.35">
      <c r="B1171" s="5" t="str">
        <f t="shared" si="1286"/>
        <v>SPS1</v>
      </c>
      <c r="C1171" s="5" t="str">
        <f t="shared" si="1287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3.2235515767342031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5.2671578420897625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10.110914407919049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8.4513605575928619</v>
      </c>
      <c r="J1171" s="1" cm="1">
        <f t="array" ref="J1171">SUMPRODUCT(("T_C-ICE-GSL-S4"=[2]OUT_TransportEnergyCons!$A$3:$A$1000)*1,("Var_Fin"=[2]OUT_TransportEnergyCons!$B$3:$B$1000)*1,ISNUMBER(SEARCH("GSL",[2]OUT_TransportEnergyCons!$C$3:$C$1000))*1,[2]OUT_TransportEnergyCons!H$3:H$1000)</f>
        <v>1.9196066355438608</v>
      </c>
      <c r="K1171" s="1" cm="1">
        <f t="array" ref="K1171">SUMPRODUCT(("T_C-ICE-GSL-S4"=[2]OUT_TransportEnergyCons!$A$3:$A$1000)*1,("Var_Fin"=[2]OUT_TransportEnergyCons!$B$3:$B$1000)*1,ISNUMBER(SEARCH("GSL",[2]OUT_TransportEnergyCons!$C$3:$C$1000))*1,[2]OUT_TransportEnergyCons!I$3:I$1000)</f>
        <v>0.23459127706685429</v>
      </c>
      <c r="L1171" s="1" cm="1">
        <f t="array" ref="L1171">SUMPRODUCT(("T_C-ICE-GSL-S4"=[2]OUT_TransportEnergyCons!$A$3:$A$1000)*1,("Var_Fin"=[2]OUT_TransportEnergyCons!$B$3:$B$1000)*1,ISNUMBER(SEARCH("GSL",[2]OUT_TransportEnergyCons!$C$3:$C$1000))*1,[2]OUT_TransportEnergyCons!J$3:J$1000)</f>
        <v>0</v>
      </c>
      <c r="N1171" s="1"/>
    </row>
    <row r="1172" spans="2:18" x14ac:dyDescent="0.35">
      <c r="B1172" s="5" t="str">
        <f t="shared" si="1286"/>
        <v>SPS1</v>
      </c>
      <c r="C1172" s="5" t="str">
        <f t="shared" si="1287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5.2251862294734877E-3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9.9901798112381063E-3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1.3943183261774164E-2</v>
      </c>
      <c r="J1172" s="1" cm="1">
        <f t="array" ref="J1172">SUMPRODUCT(("T_C-MHY-GSL-S1"=[2]OUT_TransportEnergyCons!$A$3:$A$1000)*1,("Var_Fin"=[2]OUT_TransportEnergyCons!$B$3:$B$1000)*1,ISNUMBER(SEARCH("GSL",[2]OUT_TransportEnergyCons!$C$3:$C$1000))*1,[2]OUT_TransportEnergyCons!H$3:H$1000)</f>
        <v>4.4164500717685026E-4</v>
      </c>
      <c r="K1172" s="1" cm="1">
        <f t="array" ref="K1172">SUMPRODUCT(("T_C-MHY-GSL-S1"=[2]OUT_TransportEnergyCons!$A$3:$A$1000)*1,("Var_Fin"=[2]OUT_TransportEnergyCons!$B$3:$B$1000)*1,ISNUMBER(SEARCH("GSL",[2]OUT_TransportEnergyCons!$C$3:$C$1000))*1,[2]OUT_TransportEnergyCons!I$3:I$1000)</f>
        <v>1.3124363238558201E-4</v>
      </c>
      <c r="L1172" s="1" cm="1">
        <f t="array" ref="L1172">SUMPRODUCT(("T_C-MHY-GSL-S1"=[2]OUT_TransportEnergyCons!$A$3:$A$1000)*1,("Var_Fin"=[2]OUT_TransportEnergyCons!$B$3:$B$1000)*1,ISNUMBER(SEARCH("GSL",[2]OUT_TransportEnergyCons!$C$3:$C$1000))*1,[2]OUT_TransportEnergyCons!J$3:J$1000)</f>
        <v>0</v>
      </c>
      <c r="N1172" s="1"/>
    </row>
    <row r="1173" spans="2:18" x14ac:dyDescent="0.35">
      <c r="B1173" s="5" t="str">
        <f t="shared" si="1286"/>
        <v>SPS1</v>
      </c>
      <c r="C1173" s="5" t="str">
        <f t="shared" si="1287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4.710348116162175E-3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1.3444635349838592E-2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1.7768605984967153E-2</v>
      </c>
      <c r="J1173" s="1" cm="1">
        <f t="array" ref="J1173">SUMPRODUCT(("T_C-MHY-GSL-S2"=[2]OUT_TransportEnergyCons!$A$3:$A$1000)*1,("Var_Fin"=[2]OUT_TransportEnergyCons!$B$3:$B$1000)*1,ISNUMBER(SEARCH("GSL",[2]OUT_TransportEnergyCons!$C$3:$C$1000))*1,[2]OUT_TransportEnergyCons!H$3:H$1000)</f>
        <v>4.3783761633671664E-4</v>
      </c>
      <c r="K1173" s="1" cm="1">
        <f t="array" ref="K1173">SUMPRODUCT(("T_C-MHY-GSL-S2"=[2]OUT_TransportEnergyCons!$A$3:$A$1000)*1,("Var_Fin"=[2]OUT_TransportEnergyCons!$B$3:$B$1000)*1,ISNUMBER(SEARCH("GSL",[2]OUT_TransportEnergyCons!$C$3:$C$1000))*1,[2]OUT_TransportEnergyCons!I$3:I$1000)</f>
        <v>1.1451938110207453E-4</v>
      </c>
      <c r="L1173" s="1" cm="1">
        <f t="array" ref="L1173">SUMPRODUCT(("T_C-MHY-GSL-S2"=[2]OUT_TransportEnergyCons!$A$3:$A$1000)*1,("Var_Fin"=[2]OUT_TransportEnergyCons!$B$3:$B$1000)*1,ISNUMBER(SEARCH("GSL",[2]OUT_TransportEnergyCons!$C$3:$C$1000))*1,[2]OUT_TransportEnergyCons!J$3:J$1000)</f>
        <v>0</v>
      </c>
      <c r="N1173" s="1"/>
    </row>
    <row r="1174" spans="2:18" x14ac:dyDescent="0.35">
      <c r="B1174" s="5" t="str">
        <f t="shared" si="1286"/>
        <v>SPS1</v>
      </c>
      <c r="C1174" s="5" t="str">
        <f t="shared" si="1287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6.1885180990463983E-3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1.634376145083432E-2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1.9505784989402912E-2</v>
      </c>
      <c r="J1174" s="1" cm="1">
        <f t="array" ref="J1174">SUMPRODUCT(("T_C-MHY-GSL-S3"=[2]OUT_TransportEnergyCons!$A$3:$A$1000)*1,("Var_Fin"=[2]OUT_TransportEnergyCons!$B$3:$B$1000)*1,ISNUMBER(SEARCH("GSL",[2]OUT_TransportEnergyCons!$C$3:$C$1000))*1,[2]OUT_TransportEnergyCons!H$3:H$1000)</f>
        <v>4.6994639316376365E-4</v>
      </c>
      <c r="K1174" s="1" cm="1">
        <f t="array" ref="K1174">SUMPRODUCT(("T_C-MHY-GSL-S3"=[2]OUT_TransportEnergyCons!$A$3:$A$1000)*1,("Var_Fin"=[2]OUT_TransportEnergyCons!$B$3:$B$1000)*1,ISNUMBER(SEARCH("GSL",[2]OUT_TransportEnergyCons!$C$3:$C$1000))*1,[2]OUT_TransportEnergyCons!I$3:I$1000)</f>
        <v>1.1308001165844073E-4</v>
      </c>
      <c r="L1174" s="1" cm="1">
        <f t="array" ref="L1174">SUMPRODUCT(("T_C-MHY-GSL-S3"=[2]OUT_TransportEnergyCons!$A$3:$A$1000)*1,("Var_Fin"=[2]OUT_TransportEnergyCons!$B$3:$B$1000)*1,ISNUMBER(SEARCH("GSL",[2]OUT_TransportEnergyCons!$C$3:$C$1000))*1,[2]OUT_TransportEnergyCons!J$3:J$1000)</f>
        <v>0</v>
      </c>
      <c r="N1174" s="1"/>
    </row>
    <row r="1175" spans="2:18" x14ac:dyDescent="0.35">
      <c r="B1175" s="5" t="str">
        <f t="shared" si="1286"/>
        <v>SPS1</v>
      </c>
      <c r="C1175" s="5" t="str">
        <f t="shared" si="1287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7.2911228055128627E-3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2.0417147427044927E-2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2.4000461696184167E-2</v>
      </c>
      <c r="J1175" s="1" cm="1">
        <f t="array" ref="J1175">SUMPRODUCT(("T_C-MHY-GSL-S4"=[2]OUT_TransportEnergyCons!$A$3:$A$1000)*1,("Var_Fin"=[2]OUT_TransportEnergyCons!$B$3:$B$1000)*1,ISNUMBER(SEARCH("GSL",[2]OUT_TransportEnergyCons!$C$3:$C$1000))*1,[2]OUT_TransportEnergyCons!H$3:H$1000)</f>
        <v>5.5886230663047256E-4</v>
      </c>
      <c r="K1175" s="1" cm="1">
        <f t="array" ref="K1175">SUMPRODUCT(("T_C-MHY-GSL-S4"=[2]OUT_TransportEnergyCons!$A$3:$A$1000)*1,("Var_Fin"=[2]OUT_TransportEnergyCons!$B$3:$B$1000)*1,ISNUMBER(SEARCH("GSL",[2]OUT_TransportEnergyCons!$C$3:$C$1000))*1,[2]OUT_TransportEnergyCons!I$3:I$1000)</f>
        <v>1.3404955998407264E-4</v>
      </c>
      <c r="L1175" s="1" cm="1">
        <f t="array" ref="L1175">SUMPRODUCT(("T_C-MHY-GSL-S4"=[2]OUT_TransportEnergyCons!$A$3:$A$1000)*1,("Var_Fin"=[2]OUT_TransportEnergyCons!$B$3:$B$1000)*1,ISNUMBER(SEARCH("GSL",[2]OUT_TransportEnergyCons!$C$3:$C$1000))*1,[2]OUT_TransportEnergyCons!J$3:J$1000)</f>
        <v>0</v>
      </c>
      <c r="N1175" s="1"/>
    </row>
    <row r="1176" spans="2:18" x14ac:dyDescent="0.35">
      <c r="B1176" s="5" t="str">
        <f t="shared" si="1286"/>
        <v>SPS1</v>
      </c>
      <c r="C1176" s="5" t="str">
        <f t="shared" si="1287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3.7884489438780506E-4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1.3199730675547194E-2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1.6192371056587721E-2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4.3534366629421332E-2</v>
      </c>
      <c r="J1176" s="1" cm="1">
        <f t="array" ref="J1176">SUMPRODUCT(("T-Plg-GSL-mix_S1"=[2]OUT_TransportEnergyCons!$A$3:$A$1000)*1,("Var_Fin"=[2]OUT_TransportEnergyCons!$B$3:$B$1000)*1,ISNUMBER(SEARCH("GSL",[2]OUT_TransportEnergyCons!$C$3:$C$1000))*1,[2]OUT_TransportEnergyCons!H$3:H$1000)</f>
        <v>2.1078460053646428E-3</v>
      </c>
      <c r="K1176" s="1" cm="1">
        <f t="array" ref="K1176">SUMPRODUCT(("T-Plg-GSL-mix_S1"=[2]OUT_TransportEnergyCons!$A$3:$A$1000)*1,("Var_Fin"=[2]OUT_TransportEnergyCons!$B$3:$B$1000)*1,ISNUMBER(SEARCH("GSL",[2]OUT_TransportEnergyCons!$C$3:$C$1000))*1,[2]OUT_TransportEnergyCons!I$3:I$1000)</f>
        <v>1.0424960884500224E-3</v>
      </c>
      <c r="L1176" s="1" cm="1">
        <f t="array" ref="L1176">SUMPRODUCT(("T-Plg-GSL-mix_S1"=[2]OUT_TransportEnergyCons!$A$3:$A$1000)*1,("Var_Fin"=[2]OUT_TransportEnergyCons!$B$3:$B$1000)*1,ISNUMBER(SEARCH("GSL",[2]OUT_TransportEnergyCons!$C$3:$C$1000))*1,[2]OUT_TransportEnergyCons!J$3:J$1000)</f>
        <v>1.3848887811197799E-4</v>
      </c>
      <c r="N1176" s="1"/>
    </row>
    <row r="1177" spans="2:18" x14ac:dyDescent="0.35">
      <c r="B1177" s="5" t="str">
        <f t="shared" si="1286"/>
        <v>SPS1</v>
      </c>
      <c r="C1177" s="5" t="str">
        <f t="shared" si="1287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7.1247759812954198E-2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0.15693809918198898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0.15940138058342432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0.19111354729543278</v>
      </c>
      <c r="J1177" s="1" cm="1">
        <f t="array" ref="J1177">SUMPRODUCT(("T-Plg-GSL-mix_S2"=[2]OUT_TransportEnergyCons!$A$3:$A$1000)*1,("Var_Fin"=[2]OUT_TransportEnergyCons!$B$3:$B$1000)*1,ISNUMBER(SEARCH("GSL",[2]OUT_TransportEnergyCons!$C$3:$C$1000))*1,[2]OUT_TransportEnergyCons!H$3:H$1000)</f>
        <v>2.1748313671361832E-2</v>
      </c>
      <c r="K1177" s="1" cm="1">
        <f t="array" ref="K1177">SUMPRODUCT(("T-Plg-GSL-mix_S2"=[2]OUT_TransportEnergyCons!$A$3:$A$1000)*1,("Var_Fin"=[2]OUT_TransportEnergyCons!$B$3:$B$1000)*1,ISNUMBER(SEARCH("GSL",[2]OUT_TransportEnergyCons!$C$3:$C$1000))*1,[2]OUT_TransportEnergyCons!I$3:I$1000)</f>
        <v>7.0087850902287906E-3</v>
      </c>
      <c r="L1177" s="1" cm="1">
        <f t="array" ref="L1177">SUMPRODUCT(("T-Plg-GSL-mix_S2"=[2]OUT_TransportEnergyCons!$A$3:$A$1000)*1,("Var_Fin"=[2]OUT_TransportEnergyCons!$B$3:$B$1000)*1,ISNUMBER(SEARCH("GSL",[2]OUT_TransportEnergyCons!$C$3:$C$1000))*1,[2]OUT_TransportEnergyCons!J$3:J$1000)</f>
        <v>1.2571776111512804E-3</v>
      </c>
      <c r="N1177" s="1"/>
    </row>
    <row r="1178" spans="2:18" x14ac:dyDescent="0.35">
      <c r="B1178" s="5" t="str">
        <f t="shared" si="1286"/>
        <v>SPS1</v>
      </c>
      <c r="C1178" s="5" t="str">
        <f t="shared" si="1287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7.670031938117032E-2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0.57608454027746359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1.5573973378062411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6.425498922820216</v>
      </c>
      <c r="J1178" s="1" cm="1">
        <f t="array" ref="J1178">SUMPRODUCT(("T-Plg-GSL-mix_S3"=[2]OUT_TransportEnergyCons!$A$3:$A$1000)*1,("Var_Fin"=[2]OUT_TransportEnergyCons!$B$3:$B$1000)*1,ISNUMBER(SEARCH("GSL",[2]OUT_TransportEnergyCons!$C$3:$C$1000))*1,[2]OUT_TransportEnergyCons!H$3:H$1000)</f>
        <v>11.63460039663352</v>
      </c>
      <c r="K1178" s="1" cm="1">
        <f t="array" ref="K1178">SUMPRODUCT(("T-Plg-GSL-mix_S3"=[2]OUT_TransportEnergyCons!$A$3:$A$1000)*1,("Var_Fin"=[2]OUT_TransportEnergyCons!$B$3:$B$1000)*1,ISNUMBER(SEARCH("GSL",[2]OUT_TransportEnergyCons!$C$3:$C$1000))*1,[2]OUT_TransportEnergyCons!I$3:I$1000)</f>
        <v>5.0623871713392301</v>
      </c>
      <c r="L1178" s="1" cm="1">
        <f t="array" ref="L1178">SUMPRODUCT(("T-Plg-GSL-mix_S3"=[2]OUT_TransportEnergyCons!$A$3:$A$1000)*1,("Var_Fin"=[2]OUT_TransportEnergyCons!$B$3:$B$1000)*1,ISNUMBER(SEARCH("GSL",[2]OUT_TransportEnergyCons!$C$3:$C$1000))*1,[2]OUT_TransportEnergyCons!J$3:J$1000)</f>
        <v>0.8462145708049853</v>
      </c>
      <c r="N1178" s="1"/>
    </row>
    <row r="1179" spans="2:18" x14ac:dyDescent="0.35">
      <c r="B1179" s="5" t="str">
        <f t="shared" si="1286"/>
        <v>SPS1</v>
      </c>
      <c r="C1179" s="5" t="str">
        <f t="shared" si="1287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0.12530844171840649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0.31952629470149346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0.34585783247129392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0.33605734686565342</v>
      </c>
      <c r="J1179" s="1" cm="1">
        <f t="array" ref="J1179">SUMPRODUCT(("T-Plg-GSL-mix_S4"=[2]OUT_TransportEnergyCons!$A$3:$A$1000)*1,("Var_Fin"=[2]OUT_TransportEnergyCons!$B$3:$B$1000)*1,ISNUMBER(SEARCH("GSL",[2]OUT_TransportEnergyCons!$C$3:$C$1000))*1,[2]OUT_TransportEnergyCons!H$3:H$1000)</f>
        <v>3.0044174738178803E-2</v>
      </c>
      <c r="K1179" s="1" cm="1">
        <f t="array" ref="K1179">SUMPRODUCT(("T-Plg-GSL-mix_S4"=[2]OUT_TransportEnergyCons!$A$3:$A$1000)*1,("Var_Fin"=[2]OUT_TransportEnergyCons!$B$3:$B$1000)*1,ISNUMBER(SEARCH("GSL",[2]OUT_TransportEnergyCons!$C$3:$C$1000))*1,[2]OUT_TransportEnergyCons!I$3:I$1000)</f>
        <v>4.0258608385596219E-3</v>
      </c>
      <c r="L1179" s="1" cm="1">
        <f t="array" ref="L1179">SUMPRODUCT(("T-Plg-GSL-mix_S4"=[2]OUT_TransportEnergyCons!$A$3:$A$1000)*1,("Var_Fin"=[2]OUT_TransportEnergyCons!$B$3:$B$1000)*1,ISNUMBER(SEARCH("GSL",[2]OUT_TransportEnergyCons!$C$3:$C$1000))*1,[2]OUT_TransportEnergyCons!J$3:J$1000)</f>
        <v>6.0759131262304062E-4</v>
      </c>
      <c r="N1179" s="1"/>
    </row>
    <row r="1180" spans="2:18" x14ac:dyDescent="0.35">
      <c r="B1180" s="5" t="str">
        <f t="shared" si="1286"/>
        <v>SPS1</v>
      </c>
      <c r="C1180" s="5" t="str">
        <f t="shared" si="1287"/>
        <v>CH</v>
      </c>
      <c r="D1180" t="s">
        <v>1280</v>
      </c>
      <c r="E1180" t="s">
        <v>8</v>
      </c>
      <c r="F1180" s="1">
        <f>SUM(F1185:F1202)</f>
        <v>63.830657839193577</v>
      </c>
      <c r="G1180" s="1">
        <f t="shared" ref="G1180:K1180" si="1301">SUM(G1185:G1202)</f>
        <v>58.732613456278386</v>
      </c>
      <c r="H1180" s="1">
        <f t="shared" si="1301"/>
        <v>45.911417899058442</v>
      </c>
      <c r="I1180" s="1">
        <f t="shared" si="1301"/>
        <v>27.729181234819883</v>
      </c>
      <c r="J1180" s="1">
        <f t="shared" si="1301"/>
        <v>9.1955001558249414</v>
      </c>
      <c r="K1180" s="1">
        <f t="shared" si="1301"/>
        <v>3.6483830641900084</v>
      </c>
      <c r="L1180" s="1">
        <f t="shared" ref="L1180" si="1302">SUM(L1185:L1202)</f>
        <v>0.58414157771018282</v>
      </c>
      <c r="N1180" s="1"/>
    </row>
    <row r="1181" spans="2:18" x14ac:dyDescent="0.3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62.289807569495366</v>
      </c>
      <c r="G1181" s="1">
        <f t="shared" ref="G1181:L1181" si="1303">IF(G1180-G1182&lt;0,0,G1180-G1182)</f>
        <v>57.201379556424826</v>
      </c>
      <c r="H1181" s="1">
        <f t="shared" si="1303"/>
        <v>43.859840215355717</v>
      </c>
      <c r="I1181" s="1">
        <f t="shared" si="1303"/>
        <v>26.333784318249954</v>
      </c>
      <c r="J1181" s="1">
        <f t="shared" si="1303"/>
        <v>8.4119595493684525</v>
      </c>
      <c r="K1181" s="1">
        <f t="shared" si="1303"/>
        <v>2.9865840751295623</v>
      </c>
      <c r="L1181" s="1">
        <f t="shared" si="1303"/>
        <v>0</v>
      </c>
      <c r="N1181" s="1"/>
    </row>
    <row r="1182" spans="2:18" x14ac:dyDescent="0.35">
      <c r="B1182" s="5" t="str">
        <f t="shared" ref="B1182:B1184" si="1304">B1181</f>
        <v>SPS1</v>
      </c>
      <c r="C1182" s="5" t="str">
        <f t="shared" ref="C1182:C1184" si="1305">C1181</f>
        <v>CH</v>
      </c>
      <c r="D1182" t="s">
        <v>1282</v>
      </c>
      <c r="E1182" t="str">
        <f t="shared" ref="E1182:E1184" si="1306">E1181</f>
        <v>PJ/yr.</v>
      </c>
      <c r="F1182" s="1">
        <f>SUM(F1183:F1184)</f>
        <v>1.5408502696982103</v>
      </c>
      <c r="G1182" s="1">
        <f t="shared" ref="G1182" si="1307">SUM(G1183:G1184)</f>
        <v>1.5312338998535608</v>
      </c>
      <c r="H1182" s="1">
        <f t="shared" ref="H1182" si="1308">SUM(H1183:H1184)</f>
        <v>2.0515776837027264</v>
      </c>
      <c r="I1182" s="1">
        <f t="shared" ref="I1182" si="1309">SUM(I1183:I1184)</f>
        <v>1.395396916569928</v>
      </c>
      <c r="J1182" s="1">
        <f t="shared" ref="J1182" si="1310">SUM(J1183:J1184)</f>
        <v>0.78354060645648849</v>
      </c>
      <c r="K1182" s="1">
        <f t="shared" ref="K1182:L1182" si="1311">SUM(K1183:K1184)</f>
        <v>0.6617989890604461</v>
      </c>
      <c r="L1182" s="1">
        <f t="shared" si="1311"/>
        <v>0.58845754231501146</v>
      </c>
      <c r="N1182" s="1"/>
    </row>
    <row r="1183" spans="2:18" x14ac:dyDescent="0.35">
      <c r="B1183" s="5" t="str">
        <f t="shared" si="1304"/>
        <v>SPS1</v>
      </c>
      <c r="C1183" s="5" t="str">
        <f t="shared" si="1305"/>
        <v>CH</v>
      </c>
      <c r="D1183" t="s">
        <v>1283</v>
      </c>
      <c r="E1183" t="str">
        <f t="shared" si="1306"/>
        <v>PJ/yr.</v>
      </c>
      <c r="F1183" s="1">
        <f>[1]Transport!B$26/SUM([1]Transport!B$22,[1]Transport!B$26)*F1180*(F$34+F$582)/(F$34+F$582+F$38)</f>
        <v>1.5408502696982103</v>
      </c>
      <c r="G1183" s="1">
        <f>[1]Transport!C$26/SUM([1]Transport!C$22,[1]Transport!C$26)*G1180*(G$34+G$582)/(G$34+G$582+G$38)</f>
        <v>1.5312338998535608</v>
      </c>
      <c r="H1183" s="1">
        <f>[1]Transport!D$26/SUM([1]Transport!D$22,[1]Transport!D$26)*H1180*(H$34+H$582)/(H$34+H$582+H$38)</f>
        <v>2.0515776837027264</v>
      </c>
      <c r="I1183" s="1">
        <f>[1]Transport!E$26/SUM([1]Transport!E$22,[1]Transport!E$26)*I1180*(I$34+I$582)/(I$34+I$582+I$38)</f>
        <v>1.395396916569928</v>
      </c>
      <c r="J1183" s="1">
        <f>[2]Transport!F$26/SUM([2]Transport!F$22,[2]Transport!F$26)*J1180*(J$34+J$582)/(J$34+J$582+J$38)</f>
        <v>0.78354060645648849</v>
      </c>
      <c r="K1183" s="1">
        <f>[2]Transport!G$26/SUM([2]Transport!G$22,[2]Transport!G$26)*K1180*(K$34+K$582)/(K$34+K$582+K$38)</f>
        <v>0.61956723125604252</v>
      </c>
      <c r="L1183" s="1">
        <f>[2]Transport!H$26/SUM([2]Transport!H$22,[2]Transport!H$26)*L1180*(L$34+L$582)/(L$34+L$582+L$38)</f>
        <v>0.29477668713746208</v>
      </c>
      <c r="N1183" s="1"/>
    </row>
    <row r="1184" spans="2:18" x14ac:dyDescent="0.35">
      <c r="B1184" s="5" t="str">
        <f t="shared" si="1304"/>
        <v>SPS1</v>
      </c>
      <c r="C1184" s="5" t="str">
        <f t="shared" si="1305"/>
        <v>CH</v>
      </c>
      <c r="D1184" t="s">
        <v>1284</v>
      </c>
      <c r="E1184" t="str">
        <f t="shared" si="1306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(J$38+J$718)/([2]Transport!F$22+[2]Transport!F$26)*J1180</f>
        <v>0</v>
      </c>
      <c r="K1184" s="1">
        <f>(K$38+K$718)/([2]Transport!G$22+[2]Transport!G$26)*K1180</f>
        <v>4.2231757804403608E-2</v>
      </c>
      <c r="L1184" s="1">
        <f>(L$38+L$718)/([2]Transport!H$22+[2]Transport!H$26)*L1180</f>
        <v>0.29368085517754938</v>
      </c>
      <c r="M1184" s="1"/>
      <c r="N1184" s="1"/>
      <c r="O1184" s="1"/>
      <c r="P1184" s="1"/>
      <c r="Q1184" s="1"/>
      <c r="R1184" s="1"/>
    </row>
    <row r="1185" spans="2:18" x14ac:dyDescent="0.3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SUMPRODUCT(("T_C-HYBDSLEXT"=[2]OUT_TransportEnergyCons!$A$3:$A$1000)*1,("Var_Fin"=[2]OUT_TransportEnergyCons!$B$3:$B$1000)*1,ISNUMBER(SEARCH("DSL",[2]OUT_TransportEnergyCons!$C$3:$C$1000))*1,[2]OUT_TransportEnergyCons!H$3:H$1000)</f>
        <v>0</v>
      </c>
      <c r="K1185" s="1" cm="1">
        <f t="array" ref="K1185">SUMPRODUCT(("T_C-HYBDSLEXT"=[2]OUT_TransportEnergyCons!$A$3:$A$1000)*1,("Var_Fin"=[2]OUT_TransportEnergyCons!$B$3:$B$1000)*1,ISNUMBER(SEARCH("DSL",[2]OUT_TransportEnergyCons!$C$3:$C$1000))*1,[2]OUT_TransportEnergyCons!I$3:I$1000)</f>
        <v>0</v>
      </c>
      <c r="L1185" s="1" cm="1">
        <f t="array" ref="L1185">SUMPRODUCT(("T_C-HYBDSLEXT"=[2]OUT_TransportEnergyCons!$A$3:$A$1000)*1,("Var_Fin"=[2]OUT_TransportEnergyCons!$B$3:$B$1000)*1,ISNUMBER(SEARCH("DSL",[2]OUT_TransportEnergyCons!$C$3:$C$1000))*1,[2]OUT_TransportEnergyCons!J$3:J$1000)</f>
        <v>0</v>
      </c>
      <c r="N1185" s="1"/>
    </row>
    <row r="1186" spans="2:18" x14ac:dyDescent="0.35">
      <c r="B1186" s="5" t="str">
        <f t="shared" si="1286"/>
        <v>SPS1</v>
      </c>
      <c r="C1186" s="5" t="str">
        <f t="shared" si="1287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5.7508868030672554E-5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0.11288426234783268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8.0292405616189652E-2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6.8773114482277367E-2</v>
      </c>
      <c r="J1186" s="1" cm="1">
        <f t="array" ref="J1186">SUMPRODUCT(("T_C-HY-DSL-S1"=[2]OUT_TransportEnergyCons!$A$3:$A$1000)*1,("Var_Fin"=[2]OUT_TransportEnergyCons!$B$3:$B$1000)*1,ISNUMBER(SEARCH("DSL",[2]OUT_TransportEnergyCons!$C$3:$C$1000))*1,[2]OUT_TransportEnergyCons!H$3:H$1000)</f>
        <v>3.1185519143980198E-2</v>
      </c>
      <c r="K1186" s="1" cm="1">
        <f t="array" ref="K1186">SUMPRODUCT(("T_C-HY-DSL-S1"=[2]OUT_TransportEnergyCons!$A$3:$A$1000)*1,("Var_Fin"=[2]OUT_TransportEnergyCons!$B$3:$B$1000)*1,ISNUMBER(SEARCH("DSL",[2]OUT_TransportEnergyCons!$C$3:$C$1000))*1,[2]OUT_TransportEnergyCons!I$3:I$1000)</f>
        <v>9.5288715754362246E-5</v>
      </c>
      <c r="L1186" s="1" cm="1">
        <f t="array" ref="L1186">SUMPRODUCT(("T_C-HY-DSL-S1"=[2]OUT_TransportEnergyCons!$A$3:$A$1000)*1,("Var_Fin"=[2]OUT_TransportEnergyCons!$B$3:$B$1000)*1,ISNUMBER(SEARCH("DSL",[2]OUT_TransportEnergyCons!$C$3:$C$1000))*1,[2]OUT_TransportEnergyCons!J$3:J$1000)</f>
        <v>0</v>
      </c>
      <c r="N1186" s="1"/>
      <c r="R1186" s="1"/>
    </row>
    <row r="1187" spans="2:18" x14ac:dyDescent="0.35">
      <c r="B1187" s="5" t="str">
        <f t="shared" si="1286"/>
        <v>SPS1</v>
      </c>
      <c r="C1187" s="5" t="str">
        <f t="shared" si="1287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2.6620007396196323E-3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0.54496626784881763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1.290310101044863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1.0993347628420445</v>
      </c>
      <c r="J1187" s="1" cm="1">
        <f t="array" ref="J1187">SUMPRODUCT(("T_C-HY-DSL-S2"=[2]OUT_TransportEnergyCons!$A$3:$A$1000)*1,("Var_Fin"=[2]OUT_TransportEnergyCons!$B$3:$B$1000)*1,ISNUMBER(SEARCH("DSL",[2]OUT_TransportEnergyCons!$C$3:$C$1000))*1,[2]OUT_TransportEnergyCons!H$3:H$1000)</f>
        <v>0.59615550975066212</v>
      </c>
      <c r="K1187" s="1" cm="1">
        <f t="array" ref="K1187">SUMPRODUCT(("T_C-HY-DSL-S2"=[2]OUT_TransportEnergyCons!$A$3:$A$1000)*1,("Var_Fin"=[2]OUT_TransportEnergyCons!$B$3:$B$1000)*1,ISNUMBER(SEARCH("DSL",[2]OUT_TransportEnergyCons!$C$3:$C$1000))*1,[2]OUT_TransportEnergyCons!I$3:I$1000)</f>
        <v>4.2648926554892712E-2</v>
      </c>
      <c r="L1187" s="1" cm="1">
        <f t="array" ref="L1187">SUMPRODUCT(("T_C-HY-DSL-S2"=[2]OUT_TransportEnergyCons!$A$3:$A$1000)*1,("Var_Fin"=[2]OUT_TransportEnergyCons!$B$3:$B$1000)*1,ISNUMBER(SEARCH("DSL",[2]OUT_TransportEnergyCons!$C$3:$C$1000))*1,[2]OUT_TransportEnergyCons!J$3:J$1000)</f>
        <v>0</v>
      </c>
      <c r="N1187" s="1"/>
    </row>
    <row r="1188" spans="2:18" x14ac:dyDescent="0.35">
      <c r="B1188" s="5" t="str">
        <f t="shared" si="1286"/>
        <v>SPS1</v>
      </c>
      <c r="C1188" s="5" t="str">
        <f t="shared" si="1287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2.6633986253751213E-2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5.6195667339234347E-2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5.9392820452294506E-2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4.8487289274720791E-2</v>
      </c>
      <c r="J1188" s="1" cm="1">
        <f t="array" ref="J1188">SUMPRODUCT(("T_C-HY-DSL-S3"=[2]OUT_TransportEnergyCons!$A$3:$A$1000)*1,("Var_Fin"=[2]OUT_TransportEnergyCons!$B$3:$B$1000)*1,ISNUMBER(SEARCH("DSL",[2]OUT_TransportEnergyCons!$C$3:$C$1000))*1,[2]OUT_TransportEnergyCons!H$3:H$1000)</f>
        <v>6.2860572437403546E-3</v>
      </c>
      <c r="K1188" s="1" cm="1">
        <f t="array" ref="K1188">SUMPRODUCT(("T_C-HY-DSL-S3"=[2]OUT_TransportEnergyCons!$A$3:$A$1000)*1,("Var_Fin"=[2]OUT_TransportEnergyCons!$B$3:$B$1000)*1,ISNUMBER(SEARCH("DSL",[2]OUT_TransportEnergyCons!$C$3:$C$1000))*1,[2]OUT_TransportEnergyCons!I$3:I$1000)</f>
        <v>6.4813343721147889E-5</v>
      </c>
      <c r="L1188" s="1" cm="1">
        <f t="array" ref="L1188">SUMPRODUCT(("T_C-HY-DSL-S3"=[2]OUT_TransportEnergyCons!$A$3:$A$1000)*1,("Var_Fin"=[2]OUT_TransportEnergyCons!$B$3:$B$1000)*1,ISNUMBER(SEARCH("DSL",[2]OUT_TransportEnergyCons!$C$3:$C$1000))*1,[2]OUT_TransportEnergyCons!J$3:J$1000)</f>
        <v>0</v>
      </c>
      <c r="N1188" s="1"/>
    </row>
    <row r="1189" spans="2:18" x14ac:dyDescent="0.35">
      <c r="B1189" s="5" t="str">
        <f t="shared" si="1286"/>
        <v>SPS1</v>
      </c>
      <c r="C1189" s="5" t="str">
        <f t="shared" si="1287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3.461676317366575E-2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8.5017528116905133E-2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8.6868394884900446E-2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7.4341389127635729E-2</v>
      </c>
      <c r="J1189" s="1" cm="1">
        <f t="array" ref="J1189">SUMPRODUCT(("T_C-HY-DSL-S4"=[2]OUT_TransportEnergyCons!$A$3:$A$1000)*1,("Var_Fin"=[2]OUT_TransportEnergyCons!$B$3:$B$1000)*1,ISNUMBER(SEARCH("DSL",[2]OUT_TransportEnergyCons!$C$3:$C$1000))*1,[2]OUT_TransportEnergyCons!H$3:H$1000)</f>
        <v>1.2457229971232813E-2</v>
      </c>
      <c r="K1189" s="1" cm="1">
        <f t="array" ref="K1189">SUMPRODUCT(("T_C-HY-DSL-S4"=[2]OUT_TransportEnergyCons!$A$3:$A$1000)*1,("Var_Fin"=[2]OUT_TransportEnergyCons!$B$3:$B$1000)*1,ISNUMBER(SEARCH("DSL",[2]OUT_TransportEnergyCons!$C$3:$C$1000))*1,[2]OUT_TransportEnergyCons!I$3:I$1000)</f>
        <v>6.6719614370409414E-5</v>
      </c>
      <c r="L1189" s="1" cm="1">
        <f t="array" ref="L1189">SUMPRODUCT(("T_C-HY-DSL-S4"=[2]OUT_TransportEnergyCons!$A$3:$A$1000)*1,("Var_Fin"=[2]OUT_TransportEnergyCons!$B$3:$B$1000)*1,ISNUMBER(SEARCH("DSL",[2]OUT_TransportEnergyCons!$C$3:$C$1000))*1,[2]OUT_TransportEnergyCons!J$3:J$1000)</f>
        <v>0</v>
      </c>
      <c r="N1189" s="1"/>
    </row>
    <row r="1190" spans="2:18" x14ac:dyDescent="0.35">
      <c r="B1190" s="5" t="str">
        <f t="shared" si="1286"/>
        <v>SPS1</v>
      </c>
      <c r="C1190" s="5" t="str">
        <f t="shared" si="1287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56.862333133602064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48.701009412538738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34.366996579087619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15.124975144400606</v>
      </c>
      <c r="J1190" s="1" cm="1">
        <f t="array" ref="J1190">SUMPRODUCT(("T_C-ICEDSLEXT"=[2]OUT_TransportEnergyCons!$A$3:$A$1000)*1,("Var_Fin"=[2]OUT_TransportEnergyCons!$B$3:$B$1000)*1,ISNUMBER(SEARCH("DSL",[2]OUT_TransportEnergyCons!$C$3:$C$1000))*1,[2]OUT_TransportEnergyCons!H$3:H$1000)</f>
        <v>0</v>
      </c>
      <c r="K1190" s="1" cm="1">
        <f t="array" ref="K1190">SUMPRODUCT(("T_C-ICEDSLEXT"=[2]OUT_TransportEnergyCons!$A$3:$A$1000)*1,("Var_Fin"=[2]OUT_TransportEnergyCons!$B$3:$B$1000)*1,ISNUMBER(SEARCH("DSL",[2]OUT_TransportEnergyCons!$C$3:$C$1000))*1,[2]OUT_TransportEnergyCons!I$3:I$1000)</f>
        <v>0</v>
      </c>
      <c r="L1190" s="1" cm="1">
        <f t="array" ref="L1190">SUMPRODUCT(("T_C-ICEDSLEXT"=[2]OUT_TransportEnergyCons!$A$3:$A$1000)*1,("Var_Fin"=[2]OUT_TransportEnergyCons!$B$3:$B$1000)*1,ISNUMBER(SEARCH("DSL",[2]OUT_TransportEnergyCons!$C$3:$C$1000))*1,[2]OUT_TransportEnergyCons!J$3:J$1000)</f>
        <v>0</v>
      </c>
      <c r="N1190" s="1"/>
    </row>
    <row r="1191" spans="2:18" x14ac:dyDescent="0.35">
      <c r="B1191" s="5" t="str">
        <f t="shared" si="1286"/>
        <v>SPS1</v>
      </c>
      <c r="C1191" s="5" t="str">
        <f t="shared" si="1287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5.113645657383317E-3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1.872510548088327E-2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2.0787617333625094E-2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2.0716478813665961E-2</v>
      </c>
      <c r="J1191" s="1" cm="1">
        <f t="array" ref="J1191">SUMPRODUCT(("T_C-ICE-DSL-S1"=[2]OUT_TransportEnergyCons!$A$3:$A$1000)*1,("Var_Fin"=[2]OUT_TransportEnergyCons!$B$3:$B$1000)*1,ISNUMBER(SEARCH("DSL",[2]OUT_TransportEnergyCons!$C$3:$C$1000))*1,[2]OUT_TransportEnergyCons!H$3:H$1000)</f>
        <v>5.9601782859974449E-4</v>
      </c>
      <c r="K1191" s="1" cm="1">
        <f t="array" ref="K1191">SUMPRODUCT(("T_C-ICE-DSL-S1"=[2]OUT_TransportEnergyCons!$A$3:$A$1000)*1,("Var_Fin"=[2]OUT_TransportEnergyCons!$B$3:$B$1000)*1,ISNUMBER(SEARCH("DSL",[2]OUT_TransportEnergyCons!$C$3:$C$1000))*1,[2]OUT_TransportEnergyCons!I$3:I$1000)</f>
        <v>1.0104792190578981E-4</v>
      </c>
      <c r="L1191" s="1" cm="1">
        <f t="array" ref="L1191">SUMPRODUCT(("T_C-ICE-DSL-S1"=[2]OUT_TransportEnergyCons!$A$3:$A$1000)*1,("Var_Fin"=[2]OUT_TransportEnergyCons!$B$3:$B$1000)*1,ISNUMBER(SEARCH("DSL",[2]OUT_TransportEnergyCons!$C$3:$C$1000))*1,[2]OUT_TransportEnergyCons!J$3:J$1000)</f>
        <v>0</v>
      </c>
      <c r="N1191" s="1"/>
    </row>
    <row r="1192" spans="2:18" x14ac:dyDescent="0.35">
      <c r="B1192" s="5" t="str">
        <f t="shared" si="1286"/>
        <v>SPS1</v>
      </c>
      <c r="C1192" s="5" t="str">
        <f t="shared" si="1287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0.93556175462924263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1.2886117717252081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1.0977562077827692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0.85334610247168574</v>
      </c>
      <c r="J1192" s="1" cm="1">
        <f t="array" ref="J1192">SUMPRODUCT(("T_C-ICE-DSL-S2"=[2]OUT_TransportEnergyCons!$A$3:$A$1000)*1,("Var_Fin"=[2]OUT_TransportEnergyCons!$B$3:$B$1000)*1,ISNUMBER(SEARCH("DSL",[2]OUT_TransportEnergyCons!$C$3:$C$1000))*1,[2]OUT_TransportEnergyCons!H$3:H$1000)</f>
        <v>2.0828792772018254E-2</v>
      </c>
      <c r="K1192" s="1" cm="1">
        <f t="array" ref="K1192">SUMPRODUCT(("T_C-ICE-DSL-S2"=[2]OUT_TransportEnergyCons!$A$3:$A$1000)*1,("Var_Fin"=[2]OUT_TransportEnergyCons!$B$3:$B$1000)*1,ISNUMBER(SEARCH("DSL",[2]OUT_TransportEnergyCons!$C$3:$C$1000))*1,[2]OUT_TransportEnergyCons!I$3:I$1000)</f>
        <v>9.040449591878821E-5</v>
      </c>
      <c r="L1192" s="1" cm="1">
        <f t="array" ref="L1192">SUMPRODUCT(("T_C-ICE-DSL-S2"=[2]OUT_TransportEnergyCons!$A$3:$A$1000)*1,("Var_Fin"=[2]OUT_TransportEnergyCons!$B$3:$B$1000)*1,ISNUMBER(SEARCH("DSL",[2]OUT_TransportEnergyCons!$C$3:$C$1000))*1,[2]OUT_TransportEnergyCons!J$3:J$1000)</f>
        <v>0</v>
      </c>
      <c r="N1192" s="1"/>
    </row>
    <row r="1193" spans="2:18" x14ac:dyDescent="0.35">
      <c r="B1193" s="5" t="str">
        <f t="shared" si="1286"/>
        <v>SPS1</v>
      </c>
      <c r="C1193" s="5" t="str">
        <f t="shared" si="1287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4.0275380249776651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5.3313518822747357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5.2827989190884885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4.0391726993573265</v>
      </c>
      <c r="J1193" s="1" cm="1">
        <f t="array" ref="J1193">SUMPRODUCT(("T_C-ICE-DSL-S3"=[2]OUT_TransportEnergyCons!$A$3:$A$1000)*1,("Var_Fin"=[2]OUT_TransportEnergyCons!$B$3:$B$1000)*1,ISNUMBER(SEARCH("DSL",[2]OUT_TransportEnergyCons!$C$3:$C$1000))*1,[2]OUT_TransportEnergyCons!H$3:H$1000)</f>
        <v>0.13810553398394065</v>
      </c>
      <c r="K1193" s="1" cm="1">
        <f t="array" ref="K1193">SUMPRODUCT(("T_C-ICE-DSL-S3"=[2]OUT_TransportEnergyCons!$A$3:$A$1000)*1,("Var_Fin"=[2]OUT_TransportEnergyCons!$B$3:$B$1000)*1,ISNUMBER(SEARCH("DSL",[2]OUT_TransportEnergyCons!$C$3:$C$1000))*1,[2]OUT_TransportEnergyCons!I$3:I$1000)</f>
        <v>8.5616550395930751E-5</v>
      </c>
      <c r="L1193" s="1" cm="1">
        <f t="array" ref="L1193">SUMPRODUCT(("T_C-ICE-DSL-S3"=[2]OUT_TransportEnergyCons!$A$3:$A$1000)*1,("Var_Fin"=[2]OUT_TransportEnergyCons!$B$3:$B$1000)*1,ISNUMBER(SEARCH("DSL",[2]OUT_TransportEnergyCons!$C$3:$C$1000))*1,[2]OUT_TransportEnergyCons!J$3:J$1000)</f>
        <v>0</v>
      </c>
      <c r="N1193" s="1"/>
    </row>
    <row r="1194" spans="2:18" x14ac:dyDescent="0.35">
      <c r="B1194" s="5" t="str">
        <f t="shared" si="1286"/>
        <v>SPS1</v>
      </c>
      <c r="C1194" s="5" t="str">
        <f t="shared" si="1287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1.9295561383593771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2.2103243238560788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2.1622437766486806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1.5443498489322112</v>
      </c>
      <c r="J1194" s="1" cm="1">
        <f t="array" ref="J1194">SUMPRODUCT(("T_C-ICE-DSL-S4"=[2]OUT_TransportEnergyCons!$A$3:$A$1000)*1,("Var_Fin"=[2]OUT_TransportEnergyCons!$B$3:$B$1000)*1,ISNUMBER(SEARCH("DSL",[2]OUT_TransportEnergyCons!$C$3:$C$1000))*1,[2]OUT_TransportEnergyCons!H$3:H$1000)</f>
        <v>7.7361732070103773E-2</v>
      </c>
      <c r="K1194" s="1" cm="1">
        <f t="array" ref="K1194">SUMPRODUCT(("T_C-ICE-DSL-S4"=[2]OUT_TransportEnergyCons!$A$3:$A$1000)*1,("Var_Fin"=[2]OUT_TransportEnergyCons!$B$3:$B$1000)*1,ISNUMBER(SEARCH("DSL",[2]OUT_TransportEnergyCons!$C$3:$C$1000))*1,[2]OUT_TransportEnergyCons!I$3:I$1000)</f>
        <v>6.2375156563297779E-5</v>
      </c>
      <c r="L1194" s="1" cm="1">
        <f t="array" ref="L1194">SUMPRODUCT(("T_C-ICE-DSL-S4"=[2]OUT_TransportEnergyCons!$A$3:$A$1000)*1,("Var_Fin"=[2]OUT_TransportEnergyCons!$B$3:$B$1000)*1,ISNUMBER(SEARCH("DSL",[2]OUT_TransportEnergyCons!$C$3:$C$1000))*1,[2]OUT_TransportEnergyCons!J$3:J$1000)</f>
        <v>0</v>
      </c>
      <c r="N1194" s="1"/>
    </row>
    <row r="1195" spans="2:18" x14ac:dyDescent="0.35">
      <c r="B1195" s="5" t="str">
        <f t="shared" si="1286"/>
        <v>SPS1</v>
      </c>
      <c r="C1195" s="5" t="str">
        <f t="shared" si="1287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4.2666712583478142E-3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7.7981901919990269E-3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1.0691449807472823E-2</v>
      </c>
      <c r="J1195" s="1" cm="1">
        <f t="array" ref="J1195">SUMPRODUCT(("T_C-MHY-DSL-S1"=[2]OUT_TransportEnergyCons!$A$3:$A$1000)*1,("Var_Fin"=[2]OUT_TransportEnergyCons!$B$3:$B$1000)*1,ISNUMBER(SEARCH("DSL",[2]OUT_TransportEnergyCons!$C$3:$C$1000))*1,[2]OUT_TransportEnergyCons!H$3:H$1000)</f>
        <v>3.313818403394539E-4</v>
      </c>
      <c r="K1195" s="1" cm="1">
        <f t="array" ref="K1195">SUMPRODUCT(("T_C-MHY-DSL-S1"=[2]OUT_TransportEnergyCons!$A$3:$A$1000)*1,("Var_Fin"=[2]OUT_TransportEnergyCons!$B$3:$B$1000)*1,ISNUMBER(SEARCH("DSL",[2]OUT_TransportEnergyCons!$C$3:$C$1000))*1,[2]OUT_TransportEnergyCons!I$3:I$1000)</f>
        <v>9.6272734577809295E-5</v>
      </c>
      <c r="L1195" s="1" cm="1">
        <f t="array" ref="L1195">SUMPRODUCT(("T_C-MHY-DSL-S1"=[2]OUT_TransportEnergyCons!$A$3:$A$1000)*1,("Var_Fin"=[2]OUT_TransportEnergyCons!$B$3:$B$1000)*1,ISNUMBER(SEARCH("DSL",[2]OUT_TransportEnergyCons!$C$3:$C$1000))*1,[2]OUT_TransportEnergyCons!J$3:J$1000)</f>
        <v>0</v>
      </c>
      <c r="N1195" s="1"/>
    </row>
    <row r="1196" spans="2:18" x14ac:dyDescent="0.35">
      <c r="B1196" s="5" t="str">
        <f t="shared" si="1286"/>
        <v>SPS1</v>
      </c>
      <c r="C1196" s="5" t="str">
        <f t="shared" si="1287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4.0438172509281601E-3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1.0462134986676341E-2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1.3462336258832605E-2</v>
      </c>
      <c r="J1196" s="1" cm="1">
        <f t="array" ref="J1196">SUMPRODUCT(("T_C-MHY-DSL-S2"=[2]OUT_TransportEnergyCons!$A$3:$A$1000)*1,("Var_Fin"=[2]OUT_TransportEnergyCons!$B$3:$B$1000)*1,ISNUMBER(SEARCH("DSL",[2]OUT_TransportEnergyCons!$C$3:$C$1000))*1,[2]OUT_TransportEnergyCons!H$3:H$1000)</f>
        <v>3.3468451245877E-4</v>
      </c>
      <c r="K1196" s="1" cm="1">
        <f t="array" ref="K1196">SUMPRODUCT(("T_C-MHY-DSL-S2"=[2]OUT_TransportEnergyCons!$A$3:$A$1000)*1,("Var_Fin"=[2]OUT_TransportEnergyCons!$B$3:$B$1000)*1,ISNUMBER(SEARCH("DSL",[2]OUT_TransportEnergyCons!$C$3:$C$1000))*1,[2]OUT_TransportEnergyCons!I$3:I$1000)</f>
        <v>8.7331112550521645E-5</v>
      </c>
      <c r="L1196" s="1" cm="1">
        <f t="array" ref="L1196">SUMPRODUCT(("T_C-MHY-DSL-S2"=[2]OUT_TransportEnergyCons!$A$3:$A$1000)*1,("Var_Fin"=[2]OUT_TransportEnergyCons!$B$3:$B$1000)*1,ISNUMBER(SEARCH("DSL",[2]OUT_TransportEnergyCons!$C$3:$C$1000))*1,[2]OUT_TransportEnergyCons!J$3:J$1000)</f>
        <v>0</v>
      </c>
      <c r="N1196" s="1"/>
    </row>
    <row r="1197" spans="2:18" x14ac:dyDescent="0.35">
      <c r="B1197" s="5" t="str">
        <f t="shared" si="1286"/>
        <v>SPS1</v>
      </c>
      <c r="C1197" s="5" t="str">
        <f t="shared" si="1287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5.07259037882623E-3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1.2107849347895468E-2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1.4374686791663833E-2</v>
      </c>
      <c r="J1197" s="1" cm="1">
        <f t="array" ref="J1197">SUMPRODUCT(("T_C-MHY-DSL-S3"=[2]OUT_TransportEnergyCons!$A$3:$A$1000)*1,("Var_Fin"=[2]OUT_TransportEnergyCons!$B$3:$B$1000)*1,ISNUMBER(SEARCH("DSL",[2]OUT_TransportEnergyCons!$C$3:$C$1000))*1,[2]OUT_TransportEnergyCons!H$3:H$1000)</f>
        <v>3.455950684394946E-4</v>
      </c>
      <c r="K1197" s="1" cm="1">
        <f t="array" ref="K1197">SUMPRODUCT(("T_C-MHY-DSL-S3"=[2]OUT_TransportEnergyCons!$A$3:$A$1000)*1,("Var_Fin"=[2]OUT_TransportEnergyCons!$B$3:$B$1000)*1,ISNUMBER(SEARCH("DSL",[2]OUT_TransportEnergyCons!$C$3:$C$1000))*1,[2]OUT_TransportEnergyCons!I$3:I$1000)</f>
        <v>8.456713259007731E-5</v>
      </c>
      <c r="L1197" s="1" cm="1">
        <f t="array" ref="L1197">SUMPRODUCT(("T_C-MHY-DSL-S3"=[2]OUT_TransportEnergyCons!$A$3:$A$1000)*1,("Var_Fin"=[2]OUT_TransportEnergyCons!$B$3:$B$1000)*1,ISNUMBER(SEARCH("DSL",[2]OUT_TransportEnergyCons!$C$3:$C$1000))*1,[2]OUT_TransportEnergyCons!J$3:J$1000)</f>
        <v>0</v>
      </c>
      <c r="N1197" s="1"/>
    </row>
    <row r="1198" spans="2:18" x14ac:dyDescent="0.35">
      <c r="B1198" s="5" t="str">
        <f t="shared" si="1286"/>
        <v>SPS1</v>
      </c>
      <c r="C1198" s="5" t="str">
        <f t="shared" si="1287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3.9737014036536587E-3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9.047261878089052E-3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1.0870382096841612E-2</v>
      </c>
      <c r="J1198" s="1" cm="1">
        <f t="array" ref="J1198">SUMPRODUCT(("T_C-MHY-DSL-S4"=[2]OUT_TransportEnergyCons!$A$3:$A$1000)*1,("Var_Fin"=[2]OUT_TransportEnergyCons!$B$3:$B$1000)*1,ISNUMBER(SEARCH("DSL",[2]OUT_TransportEnergyCons!$C$3:$C$1000))*1,[2]OUT_TransportEnergyCons!H$3:H$1000)</f>
        <v>2.5088622528507664E-4</v>
      </c>
      <c r="K1198" s="1" cm="1">
        <f t="array" ref="K1198">SUMPRODUCT(("T_C-MHY-DSL-S4"=[2]OUT_TransportEnergyCons!$A$3:$A$1000)*1,("Var_Fin"=[2]OUT_TransportEnergyCons!$B$3:$B$1000)*1,ISNUMBER(SEARCH("DSL",[2]OUT_TransportEnergyCons!$C$3:$C$1000))*1,[2]OUT_TransportEnergyCons!I$3:I$1000)</f>
        <v>6.3053472706147928E-5</v>
      </c>
      <c r="L1198" s="1" cm="1">
        <f t="array" ref="L1198">SUMPRODUCT(("T_C-MHY-DSL-S4"=[2]OUT_TransportEnergyCons!$A$3:$A$1000)*1,("Var_Fin"=[2]OUT_TransportEnergyCons!$B$3:$B$1000)*1,ISNUMBER(SEARCH("DSL",[2]OUT_TransportEnergyCons!$C$3:$C$1000))*1,[2]OUT_TransportEnergyCons!J$3:J$1000)</f>
        <v>0</v>
      </c>
      <c r="N1198" s="1"/>
    </row>
    <row r="1199" spans="2:18" x14ac:dyDescent="0.35">
      <c r="B1199" s="5" t="str">
        <f t="shared" si="1286"/>
        <v>SPS1</v>
      </c>
      <c r="C1199" s="5" t="str">
        <f t="shared" si="1287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3.205461885737698E-5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1.2886631398702613E-2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1.5774433335830628E-2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4.4012758568556042E-2</v>
      </c>
      <c r="J1199" s="1" cm="1">
        <f t="array" ref="J1199">SUMPRODUCT(("T-Plg-DSL-mix_S1"=[2]OUT_TransportEnergyCons!$A$3:$A$1000)*1,("Var_Fin"=[2]OUT_TransportEnergyCons!$B$3:$B$1000)*1,ISNUMBER(SEARCH("DSL",[2]OUT_TransportEnergyCons!$C$3:$C$1000))*1,[2]OUT_TransportEnergyCons!H$3:H$1000)</f>
        <v>2.1148459233725774E-3</v>
      </c>
      <c r="K1199" s="1" cm="1">
        <f t="array" ref="K1199">SUMPRODUCT(("T-Plg-DSL-mix_S1"=[2]OUT_TransportEnergyCons!$A$3:$A$1000)*1,("Var_Fin"=[2]OUT_TransportEnergyCons!$B$3:$B$1000)*1,ISNUMBER(SEARCH("DSL",[2]OUT_TransportEnergyCons!$C$3:$C$1000))*1,[2]OUT_TransportEnergyCons!I$3:I$1000)</f>
        <v>1.0472493000782354E-3</v>
      </c>
      <c r="L1199" s="1" cm="1">
        <f t="array" ref="L1199">SUMPRODUCT(("T-Plg-DSL-mix_S1"=[2]OUT_TransportEnergyCons!$A$3:$A$1000)*1,("Var_Fin"=[2]OUT_TransportEnergyCons!$B$3:$B$1000)*1,ISNUMBER(SEARCH("DSL",[2]OUT_TransportEnergyCons!$C$3:$C$1000))*1,[2]OUT_TransportEnergyCons!J$3:J$1000)</f>
        <v>1.3897793773450439E-4</v>
      </c>
      <c r="N1199" s="1"/>
    </row>
    <row r="1200" spans="2:18" x14ac:dyDescent="0.35">
      <c r="B1200" s="5" t="str">
        <f t="shared" si="1286"/>
        <v>SPS1</v>
      </c>
      <c r="C1200" s="5" t="str">
        <f t="shared" si="1287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1.6812579385667848E-4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1.3164356501286428E-2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3.4816719584350453E-2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9.4833796726028291E-2</v>
      </c>
      <c r="J1200" s="1" cm="1">
        <f t="array" ref="J1200">SUMPRODUCT(("T-Plg-DSL-mix_S2"=[2]OUT_TransportEnergyCons!$A$3:$A$1000)*1,("Var_Fin"=[2]OUT_TransportEnergyCons!$B$3:$B$1000)*1,ISNUMBER(SEARCH("DSL",[2]OUT_TransportEnergyCons!$C$3:$C$1000))*1,[2]OUT_TransportEnergyCons!H$3:H$1000)</f>
        <v>1.2966739233916391E-2</v>
      </c>
      <c r="K1200" s="1" cm="1">
        <f t="array" ref="K1200">SUMPRODUCT(("T-Plg-DSL-mix_S2"=[2]OUT_TransportEnergyCons!$A$3:$A$1000)*1,("Var_Fin"=[2]OUT_TransportEnergyCons!$B$3:$B$1000)*1,ISNUMBER(SEARCH("DSL",[2]OUT_TransportEnergyCons!$C$3:$C$1000))*1,[2]OUT_TransportEnergyCons!I$3:I$1000)</f>
        <v>8.1089265696856466E-3</v>
      </c>
      <c r="L1200" s="1" cm="1">
        <f t="array" ref="L1200">SUMPRODUCT(("T-Plg-DSL-mix_S2"=[2]OUT_TransportEnergyCons!$A$3:$A$1000)*1,("Var_Fin"=[2]OUT_TransportEnergyCons!$B$3:$B$1000)*1,ISNUMBER(SEARCH("DSL",[2]OUT_TransportEnergyCons!$C$3:$C$1000))*1,[2]OUT_TransportEnergyCons!J$3:J$1000)</f>
        <v>1.461074234975099E-3</v>
      </c>
      <c r="N1200" s="1"/>
    </row>
    <row r="1201" spans="2:14" x14ac:dyDescent="0.35">
      <c r="B1201" s="5" t="str">
        <f t="shared" si="1286"/>
        <v>SPS1</v>
      </c>
      <c r="C1201" s="5" t="str">
        <f t="shared" si="1287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3.9730697789353134E-4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0.25562654307571175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1.2368801095341613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4.4791301740350402</v>
      </c>
      <c r="J1201" s="1" cm="1">
        <f t="array" ref="J1201">SUMPRODUCT(("T-Plg-DSL-mix_S3"=[2]OUT_TransportEnergyCons!$A$3:$A$1000)*1,("Var_Fin"=[2]OUT_TransportEnergyCons!$B$3:$B$1000)*1,ISNUMBER(SEARCH("DSL",[2]OUT_TransportEnergyCons!$C$3:$C$1000))*1,[2]OUT_TransportEnergyCons!H$3:H$1000)</f>
        <v>8.2846174712306233</v>
      </c>
      <c r="K1201" s="1" cm="1">
        <f t="array" ref="K1201">SUMPRODUCT(("T-Plg-DSL-mix_S3"=[2]OUT_TransportEnergyCons!$A$3:$A$1000)*1,("Var_Fin"=[2]OUT_TransportEnergyCons!$B$3:$B$1000)*1,ISNUMBER(SEARCH("DSL",[2]OUT_TransportEnergyCons!$C$3:$C$1000))*1,[2]OUT_TransportEnergyCons!I$3:I$1000)</f>
        <v>3.5913684337111529</v>
      </c>
      <c r="L1201" s="1" cm="1">
        <f t="array" ref="L1201">SUMPRODUCT(("T-Plg-DSL-mix_S3"=[2]OUT_TransportEnergyCons!$A$3:$A$1000)*1,("Var_Fin"=[2]OUT_TransportEnergyCons!$B$3:$B$1000)*1,ISNUMBER(SEARCH("DSL",[2]OUT_TransportEnergyCons!$C$3:$C$1000))*1,[2]OUT_TransportEnergyCons!J$3:J$1000)</f>
        <v>0.58189431515705248</v>
      </c>
      <c r="N1201" s="1"/>
    </row>
    <row r="1202" spans="2:14" x14ac:dyDescent="0.35">
      <c r="B1202" s="5" t="str">
        <f t="shared" si="1286"/>
        <v>SPS1</v>
      </c>
      <c r="C1202" s="5" t="str">
        <f t="shared" si="1287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5.9873955421743119E-3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8.4492923482498344E-2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0.13708437826000472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0.18830882083327005</v>
      </c>
      <c r="J1202" s="1" cm="1">
        <f t="array" ref="J1202">SUMPRODUCT(("T-Plg-DSL-mix_S4"=[2]OUT_TransportEnergyCons!$A$3:$A$1000)*1,("Var_Fin"=[2]OUT_TransportEnergyCons!$B$3:$B$1000)*1,ISNUMBER(SEARCH("DSL",[2]OUT_TransportEnergyCons!$C$3:$C$1000))*1,[2]OUT_TransportEnergyCons!H$3:H$1000)</f>
        <v>1.156215902622886E-2</v>
      </c>
      <c r="K1202" s="1" cm="1">
        <f t="array" ref="K1202">SUMPRODUCT(("T-Plg-DSL-mix_S4"=[2]OUT_TransportEnergyCons!$A$3:$A$1000)*1,("Var_Fin"=[2]OUT_TransportEnergyCons!$B$3:$B$1000)*1,ISNUMBER(SEARCH("DSL",[2]OUT_TransportEnergyCons!$C$3:$C$1000))*1,[2]OUT_TransportEnergyCons!I$3:I$1000)</f>
        <v>4.3120378031447828E-3</v>
      </c>
      <c r="L1202" s="1" cm="1">
        <f t="array" ref="L1202">SUMPRODUCT(("T-Plg-DSL-mix_S4"=[2]OUT_TransportEnergyCons!$A$3:$A$1000)*1,("Var_Fin"=[2]OUT_TransportEnergyCons!$B$3:$B$1000)*1,ISNUMBER(SEARCH("DSL",[2]OUT_TransportEnergyCons!$C$3:$C$1000))*1,[2]OUT_TransportEnergyCons!J$3:J$1000)</f>
        <v>6.4721038042065554E-4</v>
      </c>
      <c r="N1202" s="1"/>
    </row>
    <row r="1203" spans="2:14" x14ac:dyDescent="0.35">
      <c r="B1203" s="5" t="str">
        <f t="shared" si="1286"/>
        <v>SPS1</v>
      </c>
      <c r="C1203" s="5" t="str">
        <f t="shared" si="1287"/>
        <v>CH</v>
      </c>
      <c r="D1203" t="s">
        <v>1303</v>
      </c>
      <c r="E1203" t="s">
        <v>8</v>
      </c>
      <c r="F1203" s="1">
        <f>SUM(F1208:F1212)</f>
        <v>0.10701645395797613</v>
      </c>
      <c r="G1203" s="1">
        <f t="shared" ref="G1203:K1203" si="1312">SUM(G1208:G1212)</f>
        <v>0.11007557817701388</v>
      </c>
      <c r="H1203" s="1">
        <f t="shared" si="1312"/>
        <v>0.11237917083847564</v>
      </c>
      <c r="I1203" s="1">
        <f t="shared" si="1312"/>
        <v>2.7305557934010825E-2</v>
      </c>
      <c r="J1203" s="1">
        <f t="shared" si="1312"/>
        <v>2.7187070327241579E-4</v>
      </c>
      <c r="K1203" s="1">
        <f t="shared" si="1312"/>
        <v>2.7059890033962221E-5</v>
      </c>
      <c r="L1203" s="1">
        <f t="shared" ref="L1203" si="1313">SUM(L1208:L1212)</f>
        <v>0</v>
      </c>
      <c r="N1203" s="1"/>
    </row>
    <row r="1204" spans="2:14" x14ac:dyDescent="0.35">
      <c r="B1204" s="5" t="str">
        <f t="shared" si="1286"/>
        <v>SPS1</v>
      </c>
      <c r="C1204" s="5" t="str">
        <f t="shared" si="1287"/>
        <v>CH</v>
      </c>
      <c r="D1204" t="s">
        <v>1335</v>
      </c>
      <c r="E1204" t="s">
        <v>8</v>
      </c>
      <c r="F1204" s="1">
        <f>IF(F1203-F1205&lt;0,0,F1203-F1205)</f>
        <v>9.8401853619462021E-2</v>
      </c>
      <c r="G1204" s="1">
        <f t="shared" ref="G1204:L1204" si="1314">IF(G1203-G1205&lt;0,0,G1203-G1205)</f>
        <v>9.9340382361580284E-2</v>
      </c>
      <c r="H1204" s="1">
        <f t="shared" si="1314"/>
        <v>0.10186739909231739</v>
      </c>
      <c r="I1204" s="1">
        <f t="shared" si="1314"/>
        <v>2.2736863742768454E-2</v>
      </c>
      <c r="J1204" s="1">
        <f t="shared" si="1314"/>
        <v>0</v>
      </c>
      <c r="K1204" s="1">
        <f t="shared" si="1314"/>
        <v>0</v>
      </c>
      <c r="L1204" s="1">
        <f t="shared" si="1314"/>
        <v>0</v>
      </c>
      <c r="N1204" s="1"/>
    </row>
    <row r="1205" spans="2:14" x14ac:dyDescent="0.35">
      <c r="B1205" s="5" t="str">
        <f t="shared" si="1286"/>
        <v>SPS1</v>
      </c>
      <c r="C1205" s="5" t="str">
        <f t="shared" si="1287"/>
        <v>CH</v>
      </c>
      <c r="D1205" t="s">
        <v>1336</v>
      </c>
      <c r="E1205" t="s">
        <v>8</v>
      </c>
      <c r="F1205" s="1">
        <f>SUM(F1206:F1207)</f>
        <v>8.6146003385141091E-3</v>
      </c>
      <c r="G1205" s="1">
        <f t="shared" ref="G1205" si="1315">SUM(G1206:G1207)</f>
        <v>1.0735195815433597E-2</v>
      </c>
      <c r="H1205" s="1">
        <f t="shared" ref="H1205" si="1316">SUM(H1206:H1207)</f>
        <v>1.0511771746158249E-2</v>
      </c>
      <c r="I1205" s="1">
        <f t="shared" ref="I1205" si="1317">SUM(I1206:I1207)</f>
        <v>4.5686941912423699E-3</v>
      </c>
      <c r="J1205" s="1">
        <f t="shared" ref="J1205" si="1318">SUM(J1206:J1207)</f>
        <v>3.391036249681742E-2</v>
      </c>
      <c r="K1205" s="1">
        <f t="shared" ref="K1205:L1205" si="1319">SUM(K1206:K1207)</f>
        <v>0.14957664439513571</v>
      </c>
      <c r="L1205" s="1">
        <f t="shared" si="1319"/>
        <v>0</v>
      </c>
      <c r="N1205" s="1"/>
    </row>
    <row r="1206" spans="2:14" x14ac:dyDescent="0.35">
      <c r="B1206" s="5" t="str">
        <f t="shared" si="1286"/>
        <v>SPS1</v>
      </c>
      <c r="C1206" s="5" t="str">
        <f t="shared" si="1287"/>
        <v>CH</v>
      </c>
      <c r="D1206" t="s">
        <v>1337</v>
      </c>
      <c r="E1206" t="s">
        <v>8</v>
      </c>
      <c r="F1206" s="1">
        <f>[1]Transport!B$27/SUM([1]Transport!B$24,[1]Transport!B$27)*F1203*(F$47+F$614)/(F$47+F$614+F$49)</f>
        <v>8.6146003385141091E-3</v>
      </c>
      <c r="G1206" s="1">
        <f>[1]Transport!C$27/SUM([1]Transport!C$24,[1]Transport!C$27)*G1203*(G$47+G$614)/(G$47+G$614+G$49)</f>
        <v>1.0735195815433597E-2</v>
      </c>
      <c r="H1206" s="1">
        <f>[1]Transport!D$27/SUM([1]Transport!D$24,[1]Transport!D$27)*H1203*(H$47+H$614)/(H$47+H$614+H$49)</f>
        <v>1.0511771746158249E-2</v>
      </c>
      <c r="I1206" s="1">
        <f>[1]Transport!E$27/SUM([1]Transport!E$24,[1]Transport!E$27)*I1203*(I$47+I$614)/(I$47+I$614+I$49)</f>
        <v>4.5686941912423699E-3</v>
      </c>
      <c r="J1206" s="1">
        <f>[2]Transport!F$27/SUM([2]Transport!F$24,[2]Transport!F$27)*J1203*(J$47+J$614)/(J$47+J$614+J$49)</f>
        <v>5.7050711826247683E-5</v>
      </c>
      <c r="K1206" s="1">
        <f>[2]Transport!G$27/SUM([2]Transport!G$24,[2]Transport!G$27)*K1203*(K$47+K$614)/(K$47+K$614+K$49)</f>
        <v>7.3550257625602479E-6</v>
      </c>
      <c r="L1206" s="1">
        <f>[2]Transport!H$27/SUM([2]Transport!H$24,[2]Transport!H$27)*L1203*(L$47+L$614)/(L$47+L$614+L$49)</f>
        <v>0</v>
      </c>
      <c r="N1206" s="1"/>
    </row>
    <row r="1207" spans="2:14" x14ac:dyDescent="0.35">
      <c r="B1207" s="5" t="str">
        <f t="shared" si="1286"/>
        <v>SPS1</v>
      </c>
      <c r="C1207" s="5" t="str">
        <f t="shared" si="1287"/>
        <v>CH</v>
      </c>
      <c r="D1207" t="s">
        <v>1338</v>
      </c>
      <c r="E1207" t="s">
        <v>8</v>
      </c>
      <c r="F1207" s="1">
        <f>(F$49+F$716)/([1]Transport!B$24+[1]Transport!B$27)*F1203</f>
        <v>0</v>
      </c>
      <c r="G1207" s="1">
        <f>(G$49+G$716)/([1]Transport!C$24+[1]Transport!C$27)*G1203</f>
        <v>0</v>
      </c>
      <c r="H1207" s="1">
        <f>(H$49+H$716)/([1]Transport!D$24+[1]Transport!D$27)*H1203</f>
        <v>0</v>
      </c>
      <c r="I1207" s="1">
        <f>(I$49+I$716)/([1]Transport!E$24+[1]Transport!E$27)*I1203</f>
        <v>0</v>
      </c>
      <c r="J1207" s="1">
        <f>(J$49+J$716)/([2]Transport!F$24+[2]Transport!F$27)*J1203</f>
        <v>3.3853311784991173E-2</v>
      </c>
      <c r="K1207" s="1">
        <f>(K$49+K$716)/([2]Transport!G$24+[2]Transport!G$27)*K1203</f>
        <v>0.14956928936937314</v>
      </c>
      <c r="L1207" s="1">
        <f>(L$49+L$716)/([2]Transport!H$24+[2]Transport!H$27)*L1203</f>
        <v>0</v>
      </c>
      <c r="N1207" s="1"/>
    </row>
    <row r="1208" spans="2:14" x14ac:dyDescent="0.3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SUMPRODUCT(("T_C-ICENGAEXT"=[2]OUT_TransportEnergyCons!$A$3:$A$1000)*1,("Var_Fin"=[2]OUT_TransportEnergyCons!$B$3:$B$1000)*1,ISNUMBER(SEARCH("NGA",[2]OUT_TransportEnergyCons!$C$3:$C$1000))*1,[2]OUT_TransportEnergyCons!H$3:H$1000)</f>
        <v>0</v>
      </c>
      <c r="K1208" s="1" cm="1">
        <f t="array" ref="K1208">SUMPRODUCT(("T_C-ICENGAEXT"=[2]OUT_TransportEnergyCons!$A$3:$A$1000)*1,("Var_Fin"=[2]OUT_TransportEnergyCons!$B$3:$B$1000)*1,ISNUMBER(SEARCH("NGA",[2]OUT_TransportEnergyCons!$C$3:$C$1000))*1,[2]OUT_TransportEnergyCons!I$3:I$1000)</f>
        <v>0</v>
      </c>
      <c r="L1208" s="1" cm="1">
        <f t="array" ref="L1208">SUMPRODUCT(("T_C-ICENGAEXT"=[2]OUT_TransportEnergyCons!$A$3:$A$1000)*1,("Var_Fin"=[2]OUT_TransportEnergyCons!$B$3:$B$1000)*1,ISNUMBER(SEARCH("NGA",[2]OUT_TransportEnergyCons!$C$3:$C$1000))*1,[2]OUT_TransportEnergyCons!J$3:J$1000)</f>
        <v>0</v>
      </c>
      <c r="N1208" s="1"/>
    </row>
    <row r="1209" spans="2:14" x14ac:dyDescent="0.35">
      <c r="B1209" s="5" t="str">
        <f t="shared" si="1286"/>
        <v>SPS1</v>
      </c>
      <c r="C1209" s="5" t="str">
        <f t="shared" si="1287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3.6152996598921281E-3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4.1075321129190982E-3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4.3521154003644449E-3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2.8844780859719299E-3</v>
      </c>
      <c r="J1209" s="1" cm="1">
        <f t="array" ref="J1209">SUMPRODUCT(("T_C-ICE-NGA-S1"=[2]OUT_TransportEnergyCons!$A$3:$A$1000)*1,("Var_Fin"=[2]OUT_TransportEnergyCons!$B$3:$B$1000)*1,ISNUMBER(SEARCH("NGA",[2]OUT_TransportEnergyCons!$C$3:$C$1000))*1,[2]OUT_TransportEnergyCons!H$3:H$1000)</f>
        <v>4.5421868400602246E-5</v>
      </c>
      <c r="K1209" s="1" cm="1">
        <f t="array" ref="K1209">SUMPRODUCT(("T_C-ICE-NGA-S1"=[2]OUT_TransportEnergyCons!$A$3:$A$1000)*1,("Var_Fin"=[2]OUT_TransportEnergyCons!$B$3:$B$1000)*1,ISNUMBER(SEARCH("NGA",[2]OUT_TransportEnergyCons!$C$3:$C$1000))*1,[2]OUT_TransportEnergyCons!I$3:I$1000)</f>
        <v>3.3431850784609946E-6</v>
      </c>
      <c r="L1209" s="1" cm="1">
        <f t="array" ref="L1209">SUMPRODUCT(("T_C-ICE-NGA-S1"=[2]OUT_TransportEnergyCons!$A$3:$A$1000)*1,("Var_Fin"=[2]OUT_TransportEnergyCons!$B$3:$B$1000)*1,ISNUMBER(SEARCH("NGA",[2]OUT_TransportEnergyCons!$C$3:$C$1000))*1,[2]OUT_TransportEnergyCons!J$3:J$1000)</f>
        <v>0</v>
      </c>
      <c r="N1209" s="1"/>
    </row>
    <row r="1210" spans="2:14" x14ac:dyDescent="0.35">
      <c r="B1210" s="5" t="str">
        <f t="shared" si="1286"/>
        <v>SPS1</v>
      </c>
      <c r="C1210" s="5" t="str">
        <f t="shared" si="1287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5.1000900720000422E-2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5.2144773369694718E-2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5.4166824796692443E-2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1.1199568113433638E-2</v>
      </c>
      <c r="J1210" s="1" cm="1">
        <f t="array" ref="J1210">SUMPRODUCT(("T_C-ICE-NGA-S2"=[2]OUT_TransportEnergyCons!$A$3:$A$1000)*1,("Var_Fin"=[2]OUT_TransportEnergyCons!$B$3:$B$1000)*1,ISNUMBER(SEARCH("NGA",[2]OUT_TransportEnergyCons!$C$3:$C$1000))*1,[2]OUT_TransportEnergyCons!H$3:H$1000)</f>
        <v>6.0621374366378359E-5</v>
      </c>
      <c r="K1210" s="1" cm="1">
        <f t="array" ref="K1210">SUMPRODUCT(("T_C-ICE-NGA-S2"=[2]OUT_TransportEnergyCons!$A$3:$A$1000)*1,("Var_Fin"=[2]OUT_TransportEnergyCons!$B$3:$B$1000)*1,ISNUMBER(SEARCH("NGA",[2]OUT_TransportEnergyCons!$C$3:$C$1000))*1,[2]OUT_TransportEnergyCons!I$3:I$1000)</f>
        <v>6.6611700511583034E-6</v>
      </c>
      <c r="L1210" s="1" cm="1">
        <f t="array" ref="L1210">SUMPRODUCT(("T_C-ICE-NGA-S2"=[2]OUT_TransportEnergyCons!$A$3:$A$1000)*1,("Var_Fin"=[2]OUT_TransportEnergyCons!$B$3:$B$1000)*1,ISNUMBER(SEARCH("NGA",[2]OUT_TransportEnergyCons!$C$3:$C$1000))*1,[2]OUT_TransportEnergyCons!J$3:J$1000)</f>
        <v>0</v>
      </c>
      <c r="N1210" s="1"/>
    </row>
    <row r="1211" spans="2:14" x14ac:dyDescent="0.35">
      <c r="B1211" s="5" t="str">
        <f t="shared" si="1286"/>
        <v>SPS1</v>
      </c>
      <c r="C1211" s="5" t="str">
        <f t="shared" si="1287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4.7779795070820906E-3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5.931798142028751E-3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7.8478699278894878E-3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7.3326300074867323E-3</v>
      </c>
      <c r="J1211" s="1" cm="1">
        <f t="array" ref="J1211">SUMPRODUCT(("T_C-ICE-NGA-S3"=[2]OUT_TransportEnergyCons!$A$3:$A$1000)*1,("Var_Fin"=[2]OUT_TransportEnergyCons!$B$3:$B$1000)*1,ISNUMBER(SEARCH("NGA",[2]OUT_TransportEnergyCons!$C$3:$C$1000))*1,[2]OUT_TransportEnergyCons!H$3:H$1000)</f>
        <v>1.0981896781837806E-4</v>
      </c>
      <c r="K1211" s="1" cm="1">
        <f t="array" ref="K1211">SUMPRODUCT(("T_C-ICE-NGA-S3"=[2]OUT_TransportEnergyCons!$A$3:$A$1000)*1,("Var_Fin"=[2]OUT_TransportEnergyCons!$B$3:$B$1000)*1,ISNUMBER(SEARCH("NGA",[2]OUT_TransportEnergyCons!$C$3:$C$1000))*1,[2]OUT_TransportEnergyCons!I$3:I$1000)</f>
        <v>9.6824801014636182E-6</v>
      </c>
      <c r="L1211" s="1" cm="1">
        <f t="array" ref="L1211">SUMPRODUCT(("T_C-ICE-NGA-S3"=[2]OUT_TransportEnergyCons!$A$3:$A$1000)*1,("Var_Fin"=[2]OUT_TransportEnergyCons!$B$3:$B$1000)*1,ISNUMBER(SEARCH("NGA",[2]OUT_TransportEnergyCons!$C$3:$C$1000))*1,[2]OUT_TransportEnergyCons!J$3:J$1000)</f>
        <v>0</v>
      </c>
      <c r="N1211" s="1"/>
    </row>
    <row r="1212" spans="2:14" x14ac:dyDescent="0.35">
      <c r="B1212" s="5" t="str">
        <f t="shared" si="1286"/>
        <v>SPS1</v>
      </c>
      <c r="C1212" s="5" t="str">
        <f t="shared" si="1287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4.7622274071001489E-2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4.7891474552371319E-2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4.6012360713529252E-2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5.8888817271185246E-3</v>
      </c>
      <c r="J1212" s="1" cm="1">
        <f t="array" ref="J1212">SUMPRODUCT(("T_C-ICE-NGA-S4"=[2]OUT_TransportEnergyCons!$A$3:$A$1000)*1,("Var_Fin"=[2]OUT_TransportEnergyCons!$B$3:$B$1000)*1,ISNUMBER(SEARCH("NGA",[2]OUT_TransportEnergyCons!$C$3:$C$1000))*1,[2]OUT_TransportEnergyCons!H$3:H$1000)</f>
        <v>5.600849268705713E-5</v>
      </c>
      <c r="K1212" s="1" cm="1">
        <f t="array" ref="K1212">SUMPRODUCT(("T_C-ICE-NGA-S4"=[2]OUT_TransportEnergyCons!$A$3:$A$1000)*1,("Var_Fin"=[2]OUT_TransportEnergyCons!$B$3:$B$1000)*1,ISNUMBER(SEARCH("NGA",[2]OUT_TransportEnergyCons!$C$3:$C$1000))*1,[2]OUT_TransportEnergyCons!I$3:I$1000)</f>
        <v>7.373054802879304E-6</v>
      </c>
      <c r="L1212" s="1" cm="1">
        <f t="array" ref="L1212">SUMPRODUCT(("T_C-ICE-NGA-S4"=[2]OUT_TransportEnergyCons!$A$3:$A$1000)*1,("Var_Fin"=[2]OUT_TransportEnergyCons!$B$3:$B$1000)*1,ISNUMBER(SEARCH("NGA",[2]OUT_TransportEnergyCons!$C$3:$C$1000))*1,[2]OUT_TransportEnergyCons!J$3:J$1000)</f>
        <v>0</v>
      </c>
      <c r="N1212" s="1"/>
    </row>
    <row r="1213" spans="2:14" x14ac:dyDescent="0.35">
      <c r="B1213" s="5" t="str">
        <f t="shared" si="1286"/>
        <v>SPS1</v>
      </c>
      <c r="C1213" s="5" t="str">
        <f t="shared" si="1287"/>
        <v>CH</v>
      </c>
      <c r="D1213" s="2" t="s">
        <v>1132</v>
      </c>
      <c r="E1213" s="2" t="s">
        <v>1131</v>
      </c>
      <c r="F1213" s="3">
        <f>SUM(F1214:F1263)</f>
        <v>49.007522712498542</v>
      </c>
      <c r="G1213" s="3">
        <f t="shared" ref="G1213:K1213" si="1320">SUM(G1214:G1263)</f>
        <v>55.674120021742709</v>
      </c>
      <c r="H1213" s="3">
        <f t="shared" si="1320"/>
        <v>58.443553720619185</v>
      </c>
      <c r="I1213" s="3">
        <f t="shared" si="1320"/>
        <v>62.343025856872885</v>
      </c>
      <c r="J1213" s="3">
        <f t="shared" si="1320"/>
        <v>62.615533636109092</v>
      </c>
      <c r="K1213" s="3">
        <f t="shared" si="1320"/>
        <v>62.341142673783821</v>
      </c>
      <c r="L1213" s="3">
        <f t="shared" ref="L1213" si="1321">SUM(L1214:L1263)</f>
        <v>61.140672292741151</v>
      </c>
      <c r="N1213" s="1"/>
    </row>
    <row r="1214" spans="2:14" x14ac:dyDescent="0.3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0.41607209159050434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0.36072601065105986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0.2772929438843833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0.13873048884991923</v>
      </c>
      <c r="J1214" s="1" cm="1">
        <f t="array" ref="J1214">SUMPRODUCT(("T_C-BATELCEXT"=[2]OUT_TransportEnergyCons!$A$3:$A$1000)*1,("var_fout"=[2]OUT_TransportEnergyCons!$B$3:$B$1000)*1,ISNUMBER(SEARCH("TPCAR",[2]OUT_TransportEnergyCons!$C$3:$C$1000))*1,[2]OUT_TransportEnergyCons!H$3:H$1000)</f>
        <v>0</v>
      </c>
      <c r="K1214" s="1" cm="1">
        <f t="array" ref="K1214">SUMPRODUCT(("T_C-BATELCEXT"=[2]OUT_TransportEnergyCons!$A$3:$A$1000)*1,("var_fout"=[2]OUT_TransportEnergyCons!$B$3:$B$1000)*1,ISNUMBER(SEARCH("TPCAR",[2]OUT_TransportEnergyCons!$C$3:$C$1000))*1,[2]OUT_TransportEnergyCons!I$3:I$1000)</f>
        <v>0</v>
      </c>
      <c r="L1214" s="1" cm="1">
        <f t="array" ref="L1214">SUMPRODUCT(("T_C-BATELCEXT"=[2]OUT_TransportEnergyCons!$A$3:$A$1000)*1,("var_fout"=[2]OUT_TransportEnergyCons!$B$3:$B$1000)*1,ISNUMBER(SEARCH("TPCAR",[2]OUT_TransportEnergyCons!$C$3:$C$1000))*1,[2]OUT_TransportEnergyCons!J$3:J$1000)</f>
        <v>0</v>
      </c>
      <c r="N1214" s="1"/>
    </row>
    <row r="1215" spans="2:14" x14ac:dyDescent="0.35">
      <c r="B1215" s="5" t="str">
        <f t="shared" si="1286"/>
        <v>SPS1</v>
      </c>
      <c r="C1215" s="5" t="str">
        <f t="shared" si="1287"/>
        <v>CH</v>
      </c>
      <c r="D1215" t="s">
        <v>1134</v>
      </c>
      <c r="E1215" t="str">
        <f t="shared" ref="E1215:E1263" si="1322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2.1293432707779118E-2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3.9843895738932503E-2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3.7862782131930714E-2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0.87232245505684225</v>
      </c>
      <c r="J1215" s="1" cm="1">
        <f t="array" ref="J1215">SUMPRODUCT(("T_C-BAT-ELC-S1"=[2]OUT_TransportEnergyCons!$A$3:$A$1000)*1,("var_fout"=[2]OUT_TransportEnergyCons!$B$3:$B$1000)*1,ISNUMBER(SEARCH("TPCAR",[2]OUT_TransportEnergyCons!$C$3:$C$1000))*1,[2]OUT_TransportEnergyCons!H$3:H$1000)</f>
        <v>1.8711266994768969</v>
      </c>
      <c r="K1215" s="1" cm="1">
        <f t="array" ref="K1215">SUMPRODUCT(("T_C-BAT-ELC-S1"=[2]OUT_TransportEnergyCons!$A$3:$A$1000)*1,("var_fout"=[2]OUT_TransportEnergyCons!$B$3:$B$1000)*1,ISNUMBER(SEARCH("TPCAR",[2]OUT_TransportEnergyCons!$C$3:$C$1000))*1,[2]OUT_TransportEnergyCons!I$3:I$1000)</f>
        <v>2.3163501142037521</v>
      </c>
      <c r="L1215" s="1" cm="1">
        <f t="array" ref="L1215">SUMPRODUCT(("T_C-BAT-ELC-S1"=[2]OUT_TransportEnergyCons!$A$3:$A$1000)*1,("var_fout"=[2]OUT_TransportEnergyCons!$B$3:$B$1000)*1,ISNUMBER(SEARCH("TPCAR",[2]OUT_TransportEnergyCons!$C$3:$C$1000))*1,[2]OUT_TransportEnergyCons!J$3:J$1000)</f>
        <v>2.4469115649237487</v>
      </c>
      <c r="N1215" s="1"/>
    </row>
    <row r="1216" spans="2:14" x14ac:dyDescent="0.35">
      <c r="B1216" s="5" t="str">
        <f t="shared" si="1286"/>
        <v>SPS1</v>
      </c>
      <c r="C1216" s="5" t="str">
        <f t="shared" si="1287"/>
        <v>CH</v>
      </c>
      <c r="D1216" t="s">
        <v>1135</v>
      </c>
      <c r="E1216" t="str">
        <f t="shared" si="1322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9.7704854510058434E-2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0.1801618451461148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0.23821184453865535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7.5174324295340993</v>
      </c>
      <c r="J1216" s="1" cm="1">
        <f t="array" ref="J1216">SUMPRODUCT(("T_C-BAT-ELC-S2"=[2]OUT_TransportEnergyCons!$A$3:$A$1000)*1,("var_fout"=[2]OUT_TransportEnergyCons!$B$3:$B$1000)*1,ISNUMBER(SEARCH("TPCAR",[2]OUT_TransportEnergyCons!$C$3:$C$1000))*1,[2]OUT_TransportEnergyCons!H$3:H$1000)</f>
        <v>16.06238661710071</v>
      </c>
      <c r="K1216" s="1" cm="1">
        <f t="array" ref="K1216">SUMPRODUCT(("T_C-BAT-ELC-S2"=[2]OUT_TransportEnergyCons!$A$3:$A$1000)*1,("var_fout"=[2]OUT_TransportEnergyCons!$B$3:$B$1000)*1,ISNUMBER(SEARCH("TPCAR",[2]OUT_TransportEnergyCons!$C$3:$C$1000))*1,[2]OUT_TransportEnergyCons!I$3:I$1000)</f>
        <v>18.185145709730769</v>
      </c>
      <c r="L1216" s="1" cm="1">
        <f t="array" ref="L1216">SUMPRODUCT(("T_C-BAT-ELC-S2"=[2]OUT_TransportEnergyCons!$A$3:$A$1000)*1,("var_fout"=[2]OUT_TransportEnergyCons!$B$3:$B$1000)*1,ISNUMBER(SEARCH("TPCAR",[2]OUT_TransportEnergyCons!$C$3:$C$1000))*1,[2]OUT_TransportEnergyCons!J$3:J$1000)</f>
        <v>18.041204635134623</v>
      </c>
      <c r="N1216" s="1"/>
    </row>
    <row r="1217" spans="2:14" x14ac:dyDescent="0.35">
      <c r="B1217" s="5" t="str">
        <f t="shared" si="1286"/>
        <v>SPS1</v>
      </c>
      <c r="C1217" s="5" t="str">
        <f t="shared" si="1287"/>
        <v>CH</v>
      </c>
      <c r="D1217" t="s">
        <v>1136</v>
      </c>
      <c r="E1217" t="str">
        <f t="shared" si="1322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6.7634652364100198E-2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0.3445216291107594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1.1230997299616892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1.1811467051227369</v>
      </c>
      <c r="J1217" s="1" cm="1">
        <f t="array" ref="J1217">SUMPRODUCT(("T_C-BAT-ELC-S3"=[2]OUT_TransportEnergyCons!$A$3:$A$1000)*1,("var_fout"=[2]OUT_TransportEnergyCons!$B$3:$B$1000)*1,ISNUMBER(SEARCH("TPCAR",[2]OUT_TransportEnergyCons!$C$3:$C$1000))*1,[2]OUT_TransportEnergyCons!H$3:H$1000)</f>
        <v>0.96316159719854366</v>
      </c>
      <c r="K1217" s="1" cm="1">
        <f t="array" ref="K1217">SUMPRODUCT(("T_C-BAT-ELC-S3"=[2]OUT_TransportEnergyCons!$A$3:$A$1000)*1,("var_fout"=[2]OUT_TransportEnergyCons!$B$3:$B$1000)*1,ISNUMBER(SEARCH("TPCAR",[2]OUT_TransportEnergyCons!$C$3:$C$1000))*1,[2]OUT_TransportEnergyCons!I$3:I$1000)</f>
        <v>9.036507103238911</v>
      </c>
      <c r="L1217" s="1" cm="1">
        <f t="array" ref="L1217">SUMPRODUCT(("T_C-BAT-ELC-S3"=[2]OUT_TransportEnergyCons!$A$3:$A$1000)*1,("var_fout"=[2]OUT_TransportEnergyCons!$B$3:$B$1000)*1,ISNUMBER(SEARCH("TPCAR",[2]OUT_TransportEnergyCons!$C$3:$C$1000))*1,[2]OUT_TransportEnergyCons!J$3:J$1000)</f>
        <v>14.483490696392611</v>
      </c>
      <c r="N1217" s="1"/>
    </row>
    <row r="1218" spans="2:14" x14ac:dyDescent="0.35">
      <c r="B1218" s="5" t="str">
        <f t="shared" ref="B1218:B1264" si="1323">B1217</f>
        <v>SPS1</v>
      </c>
      <c r="C1218" s="5" t="str">
        <f t="shared" ref="C1218:C1264" si="1324">C1217</f>
        <v>CH</v>
      </c>
      <c r="D1218" t="s">
        <v>1137</v>
      </c>
      <c r="E1218" t="str">
        <f t="shared" si="1322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0.20566905811202962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1.166441124893274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3.7035806647945315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12.830236035830476</v>
      </c>
      <c r="J1218" s="1" cm="1">
        <f t="array" ref="J1218">SUMPRODUCT(("T_C-BAT-ELC-S4"=[2]OUT_TransportEnergyCons!$A$3:$A$1000)*1,("var_fout"=[2]OUT_TransportEnergyCons!$B$3:$B$1000)*1,ISNUMBER(SEARCH("TPCAR",[2]OUT_TransportEnergyCons!$C$3:$C$1000))*1,[2]OUT_TransportEnergyCons!H$3:H$1000)</f>
        <v>21.41894303239512</v>
      </c>
      <c r="K1218" s="1" cm="1">
        <f t="array" ref="K1218">SUMPRODUCT(("T_C-BAT-ELC-S4"=[2]OUT_TransportEnergyCons!$A$3:$A$1000)*1,("var_fout"=[2]OUT_TransportEnergyCons!$B$3:$B$1000)*1,ISNUMBER(SEARCH("TPCAR",[2]OUT_TransportEnergyCons!$C$3:$C$1000))*1,[2]OUT_TransportEnergyCons!I$3:I$1000)</f>
        <v>22.723046065942786</v>
      </c>
      <c r="L1218" s="1" cm="1">
        <f t="array" ref="L1218">SUMPRODUCT(("T_C-BAT-ELC-S4"=[2]OUT_TransportEnergyCons!$A$3:$A$1000)*1,("var_fout"=[2]OUT_TransportEnergyCons!$B$3:$B$1000)*1,ISNUMBER(SEARCH("TPCAR",[2]OUT_TransportEnergyCons!$C$3:$C$1000))*1,[2]OUT_TransportEnergyCons!J$3:J$1000)</f>
        <v>23.57058543704693</v>
      </c>
      <c r="N1218" s="1"/>
    </row>
    <row r="1219" spans="2:14" x14ac:dyDescent="0.35">
      <c r="B1219" s="5" t="str">
        <f t="shared" si="1323"/>
        <v>SPS1</v>
      </c>
      <c r="C1219" s="5" t="str">
        <f t="shared" si="1324"/>
        <v>CH</v>
      </c>
      <c r="D1219" t="s">
        <v>1138</v>
      </c>
      <c r="E1219" t="str">
        <f t="shared" si="1322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2.7004314564777013E-4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1.0488069241603934E-2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1.3204893737117701E-2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3.8855983269832618E-2</v>
      </c>
      <c r="J1219" s="1" cm="1">
        <f t="array" ref="J1219">SUMPRODUCT(("T_C-PEV-GSL-S1"=[2]OUT_TransportEnergyCons!$A$3:$A$1000)*1,("var_fout"=[2]OUT_TransportEnergyCons!$B$3:$B$1000)*1,ISNUMBER(SEARCH("TPCAR",[2]OUT_TransportEnergyCons!$C$3:$C$1000))*1,[2]OUT_TransportEnergyCons!H$3:H$1000)</f>
        <v>2.0157397244618958E-3</v>
      </c>
      <c r="K1219" s="1" cm="1">
        <f t="array" ref="K1219">SUMPRODUCT(("T_C-PEV-GSL-S1"=[2]OUT_TransportEnergyCons!$A$3:$A$1000)*1,("var_fout"=[2]OUT_TransportEnergyCons!$B$3:$B$1000)*1,ISNUMBER(SEARCH("TPCAR",[2]OUT_TransportEnergyCons!$C$3:$C$1000))*1,[2]OUT_TransportEnergyCons!I$3:I$1000)</f>
        <v>1.1904003283835646E-3</v>
      </c>
      <c r="L1219" s="1" cm="1">
        <f t="array" ref="L1219">SUMPRODUCT(("T_C-PEV-GSL-S1"=[2]OUT_TransportEnergyCons!$A$3:$A$1000)*1,("var_fout"=[2]OUT_TransportEnergyCons!$B$3:$B$1000)*1,ISNUMBER(SEARCH("TPCAR",[2]OUT_TransportEnergyCons!$C$3:$C$1000))*1,[2]OUT_TransportEnergyCons!J$3:J$1000)</f>
        <v>2.1480287730529378E-4</v>
      </c>
      <c r="N1219" s="1"/>
    </row>
    <row r="1220" spans="2:14" x14ac:dyDescent="0.35">
      <c r="B1220" s="5" t="str">
        <f t="shared" si="1323"/>
        <v>SPS1</v>
      </c>
      <c r="C1220" s="5" t="str">
        <f t="shared" si="1324"/>
        <v>CH</v>
      </c>
      <c r="D1220" t="s">
        <v>1139</v>
      </c>
      <c r="E1220" t="str">
        <f t="shared" si="1322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4.6888309295433465E-2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0.10465728765346596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0.10963711729267106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0.14624126323797113</v>
      </c>
      <c r="J1220" s="1" cm="1">
        <f t="array" ref="J1220">SUMPRODUCT(("T_C-PEV-GSL-S2"=[2]OUT_TransportEnergyCons!$A$3:$A$1000)*1,("var_fout"=[2]OUT_TransportEnergyCons!$B$3:$B$1000)*1,ISNUMBER(SEARCH("TPCAR",[2]OUT_TransportEnergyCons!$C$3:$C$1000))*1,[2]OUT_TransportEnergyCons!H$3:H$1000)</f>
        <v>1.8068455531037489E-2</v>
      </c>
      <c r="K1220" s="1" cm="1">
        <f t="array" ref="K1220">SUMPRODUCT(("T_C-PEV-GSL-S2"=[2]OUT_TransportEnergyCons!$A$3:$A$1000)*1,("var_fout"=[2]OUT_TransportEnergyCons!$B$3:$B$1000)*1,ISNUMBER(SEARCH("TPCAR",[2]OUT_TransportEnergyCons!$C$3:$C$1000))*1,[2]OUT_TransportEnergyCons!I$3:I$1000)</f>
        <v>7.2027185645193561E-3</v>
      </c>
      <c r="L1220" s="1" cm="1">
        <f t="array" ref="L1220">SUMPRODUCT(("T_C-PEV-GSL-S2"=[2]OUT_TransportEnergyCons!$A$3:$A$1000)*1,("var_fout"=[2]OUT_TransportEnergyCons!$B$3:$B$1000)*1,ISNUMBER(SEARCH("TPCAR",[2]OUT_TransportEnergyCons!$C$3:$C$1000))*1,[2]OUT_TransportEnergyCons!J$3:J$1000)</f>
        <v>1.9152203039999485E-3</v>
      </c>
      <c r="N1220" s="1"/>
    </row>
    <row r="1221" spans="2:14" x14ac:dyDescent="0.35">
      <c r="B1221" s="5" t="str">
        <f t="shared" si="1323"/>
        <v>SPS1</v>
      </c>
      <c r="C1221" s="5" t="str">
        <f t="shared" si="1324"/>
        <v>CH</v>
      </c>
      <c r="D1221" t="s">
        <v>1140</v>
      </c>
      <c r="E1221" t="str">
        <f t="shared" si="1322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4.1842817498000041E-2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0.37355714118959582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1.0513792682706502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4.9710062250111724</v>
      </c>
      <c r="J1221" s="1" cm="1">
        <f t="array" ref="J1221">SUMPRODUCT(("T_C-PEV-GSL-S3"=[2]OUT_TransportEnergyCons!$A$3:$A$1000)*1,("var_fout"=[2]OUT_TransportEnergyCons!$B$3:$B$1000)*1,ISNUMBER(SEARCH("TPCAR",[2]OUT_TransportEnergyCons!$C$3:$C$1000))*1,[2]OUT_TransportEnergyCons!H$3:H$1000)</f>
        <v>9.9977074875091283</v>
      </c>
      <c r="K1221" s="1" cm="1">
        <f t="array" ref="K1221">SUMPRODUCT(("T_C-PEV-GSL-S3"=[2]OUT_TransportEnergyCons!$A$3:$A$1000)*1,("var_fout"=[2]OUT_TransportEnergyCons!$B$3:$B$1000)*1,ISNUMBER(SEARCH("TPCAR",[2]OUT_TransportEnergyCons!$C$3:$C$1000))*1,[2]OUT_TransportEnergyCons!I$3:I$1000)</f>
        <v>5.6226626791795926</v>
      </c>
      <c r="L1221" s="1" cm="1">
        <f t="array" ref="L1221">SUMPRODUCT(("T_C-PEV-GSL-S3"=[2]OUT_TransportEnergyCons!$A$3:$A$1000)*1,("var_fout"=[2]OUT_TransportEnergyCons!$B$3:$B$1000)*1,ISNUMBER(SEARCH("TPCAR",[2]OUT_TransportEnergyCons!$C$3:$C$1000))*1,[2]OUT_TransportEnergyCons!J$3:J$1000)</f>
        <v>1.5272821675678239</v>
      </c>
      <c r="N1221" s="1"/>
    </row>
    <row r="1222" spans="2:14" x14ac:dyDescent="0.35">
      <c r="B1222" s="5" t="str">
        <f t="shared" si="1323"/>
        <v>SPS1</v>
      </c>
      <c r="C1222" s="5" t="str">
        <f t="shared" si="1324"/>
        <v>CH</v>
      </c>
      <c r="D1222" t="s">
        <v>1141</v>
      </c>
      <c r="E1222" t="str">
        <f t="shared" si="1322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6.5129774928634143E-2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0.19489914700311281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0.21884058665307157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0.24124625019774806</v>
      </c>
      <c r="J1222" s="1" cm="1">
        <f t="array" ref="J1222">SUMPRODUCT(("T_C-PEV-GSL-S4"=[2]OUT_TransportEnergyCons!$A$3:$A$1000)*1,("var_fout"=[2]OUT_TransportEnergyCons!$B$3:$B$1000)*1,ISNUMBER(SEARCH("TPCAR",[2]OUT_TransportEnergyCons!$C$3:$C$1000))*1,[2]OUT_TransportEnergyCons!H$3:H$1000)</f>
        <v>2.375065935919568E-2</v>
      </c>
      <c r="K1222" s="1" cm="1">
        <f t="array" ref="K1222">SUMPRODUCT(("T_C-PEV-GSL-S4"=[2]OUT_TransportEnergyCons!$A$3:$A$1000)*1,("var_fout"=[2]OUT_TransportEnergyCons!$B$3:$B$1000)*1,ISNUMBER(SEARCH("TPCAR",[2]OUT_TransportEnergyCons!$C$3:$C$1000))*1,[2]OUT_TransportEnergyCons!I$3:I$1000)</f>
        <v>4.0055383578652144E-3</v>
      </c>
      <c r="L1222" s="1" cm="1">
        <f t="array" ref="L1222">SUMPRODUCT(("T_C-PEV-GSL-S4"=[2]OUT_TransportEnergyCons!$A$3:$A$1000)*1,("var_fout"=[2]OUT_TransportEnergyCons!$B$3:$B$1000)*1,ISNUMBER(SEARCH("TPCAR",[2]OUT_TransportEnergyCons!$C$3:$C$1000))*1,[2]OUT_TransportEnergyCons!J$3:J$1000)</f>
        <v>9.2472212019788517E-4</v>
      </c>
      <c r="N1222" s="1"/>
    </row>
    <row r="1223" spans="2:14" x14ac:dyDescent="0.35">
      <c r="B1223" s="5" t="str">
        <f t="shared" si="1323"/>
        <v>SPS1</v>
      </c>
      <c r="C1223" s="5" t="str">
        <f t="shared" si="1324"/>
        <v>CH</v>
      </c>
      <c r="D1223" t="s">
        <v>1142</v>
      </c>
      <c r="E1223" t="str">
        <f t="shared" si="1322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2.3348766953231078E-5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1.0345349101696327E-2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1.3024419692660771E-2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4.0019013166658339E-2</v>
      </c>
      <c r="J1223" s="1" cm="1">
        <f t="array" ref="J1223">SUMPRODUCT(("T_C-PEV-DSL-S1"=[2]OUT_TransportEnergyCons!$A$3:$A$1000)*1,("var_fout"=[2]OUT_TransportEnergyCons!$B$3:$B$1000)*1,ISNUMBER(SEARCH("TPCAR",[2]OUT_TransportEnergyCons!$C$3:$C$1000))*1,[2]OUT_TransportEnergyCons!H$3:H$1000)</f>
        <v>2.0622430440147502E-3</v>
      </c>
      <c r="K1223" s="1" cm="1">
        <f t="array" ref="K1223">SUMPRODUCT(("T_C-PEV-DSL-S1"=[2]OUT_TransportEnergyCons!$A$3:$A$1000)*1,("var_fout"=[2]OUT_TransportEnergyCons!$B$3:$B$1000)*1,ISNUMBER(SEARCH("TPCAR",[2]OUT_TransportEnergyCons!$C$3:$C$1000))*1,[2]OUT_TransportEnergyCons!I$3:I$1000)</f>
        <v>1.2184004137867519E-3</v>
      </c>
      <c r="L1223" s="1" cm="1">
        <f t="array" ref="L1223">SUMPRODUCT(("T_C-PEV-DSL-S1"=[2]OUT_TransportEnergyCons!$A$3:$A$1000)*1,("var_fout"=[2]OUT_TransportEnergyCons!$B$3:$B$1000)*1,ISNUMBER(SEARCH("TPCAR",[2]OUT_TransportEnergyCons!$C$3:$C$1000))*1,[2]OUT_TransportEnergyCons!J$3:J$1000)</f>
        <v>2.1709748979267858E-4</v>
      </c>
      <c r="N1223" s="1"/>
    </row>
    <row r="1224" spans="2:14" x14ac:dyDescent="0.35">
      <c r="B1224" s="5" t="str">
        <f t="shared" si="1323"/>
        <v>SPS1</v>
      </c>
      <c r="C1224" s="5" t="str">
        <f t="shared" si="1324"/>
        <v>CH</v>
      </c>
      <c r="D1224" t="s">
        <v>1143</v>
      </c>
      <c r="E1224" t="str">
        <f t="shared" si="1322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2.9019992042068946E-5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8.8499277489182265E-3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2.426225475064411E-2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7.3677234667547289E-2</v>
      </c>
      <c r="J1224" s="1" cm="1">
        <f t="array" ref="J1224">SUMPRODUCT(("T_C-PEV-DSL-S2"=[2]OUT_TransportEnergyCons!$A$3:$A$1000)*1,("var_fout"=[2]OUT_TransportEnergyCons!$B$3:$B$1000)*1,ISNUMBER(SEARCH("TPCAR",[2]OUT_TransportEnergyCons!$C$3:$C$1000))*1,[2]OUT_TransportEnergyCons!H$3:H$1000)</f>
        <v>1.0941000464709329E-2</v>
      </c>
      <c r="K1224" s="1" cm="1">
        <f t="array" ref="K1224">SUMPRODUCT(("T_C-PEV-DSL-S2"=[2]OUT_TransportEnergyCons!$A$3:$A$1000)*1,("var_fout"=[2]OUT_TransportEnergyCons!$B$3:$B$1000)*1,ISNUMBER(SEARCH("TPCAR",[2]OUT_TransportEnergyCons!$C$3:$C$1000))*1,[2]OUT_TransportEnergyCons!I$3:I$1000)</f>
        <v>8.4646478473206915E-3</v>
      </c>
      <c r="L1224" s="1" cm="1">
        <f t="array" ref="L1224">SUMPRODUCT(("T_C-PEV-DSL-S2"=[2]OUT_TransportEnergyCons!$A$3:$A$1000)*1,("var_fout"=[2]OUT_TransportEnergyCons!$B$3:$B$1000)*1,ISNUMBER(SEARCH("TPCAR",[2]OUT_TransportEnergyCons!$C$3:$C$1000))*1,[2]OUT_TransportEnergyCons!J$3:J$1000)</f>
        <v>2.2476325140602482E-3</v>
      </c>
      <c r="N1224" s="1"/>
    </row>
    <row r="1225" spans="2:14" x14ac:dyDescent="0.35">
      <c r="B1225" s="5" t="str">
        <f t="shared" si="1323"/>
        <v>SPS1</v>
      </c>
      <c r="C1225" s="5" t="str">
        <f t="shared" si="1324"/>
        <v>CH</v>
      </c>
      <c r="D1225" t="s">
        <v>1144</v>
      </c>
      <c r="E1225" t="str">
        <f t="shared" si="1322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2.1980876605530485E-4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0.16813802396124963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0.84726035832866553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3.5162773971313337</v>
      </c>
      <c r="J1225" s="1" cm="1">
        <f t="array" ref="J1225">SUMPRODUCT(("T_C-PEV-DSL-S3"=[2]OUT_TransportEnergyCons!$A$3:$A$1000)*1,("var_fout"=[2]OUT_TransportEnergyCons!$B$3:$B$1000)*1,ISNUMBER(SEARCH("TPCAR",[2]OUT_TransportEnergyCons!$C$3:$C$1000))*1,[2]OUT_TransportEnergyCons!H$3:H$1000)</f>
        <v>7.2240363372366776</v>
      </c>
      <c r="K1225" s="1" cm="1">
        <f t="array" ref="K1225">SUMPRODUCT(("T_C-PEV-DSL-S3"=[2]OUT_TransportEnergyCons!$A$3:$A$1000)*1,("var_fout"=[2]OUT_TransportEnergyCons!$B$3:$B$1000)*1,ISNUMBER(SEARCH("TPCAR",[2]OUT_TransportEnergyCons!$C$3:$C$1000))*1,[2]OUT_TransportEnergyCons!I$3:I$1000)</f>
        <v>4.0455478816182477</v>
      </c>
      <c r="L1225" s="1" cm="1">
        <f t="array" ref="L1225">SUMPRODUCT(("T_C-PEV-DSL-S3"=[2]OUT_TransportEnergyCons!$A$3:$A$1000)*1,("var_fout"=[2]OUT_TransportEnergyCons!$B$3:$B$1000)*1,ISNUMBER(SEARCH("TPCAR",[2]OUT_TransportEnergyCons!$C$3:$C$1000))*1,[2]OUT_TransportEnergyCons!J$3:J$1000)</f>
        <v>1.0646272009934907</v>
      </c>
      <c r="N1225" s="1"/>
    </row>
    <row r="1226" spans="2:14" x14ac:dyDescent="0.35">
      <c r="B1226" s="5" t="str">
        <f t="shared" si="1323"/>
        <v>SPS1</v>
      </c>
      <c r="C1226" s="5" t="str">
        <f t="shared" si="1324"/>
        <v>CH</v>
      </c>
      <c r="D1226" t="s">
        <v>1145</v>
      </c>
      <c r="E1226" t="str">
        <f t="shared" si="1322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3.1550796499823256E-3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5.2250073941965958E-2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8.7715512359107642E-2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0.13704880371612743</v>
      </c>
      <c r="J1226" s="1" cm="1">
        <f t="array" ref="J1226">SUMPRODUCT(("T_C-PEV-DSL-S4"=[2]OUT_TransportEnergyCons!$A$3:$A$1000)*1,("var_fout"=[2]OUT_TransportEnergyCons!$B$3:$B$1000)*1,ISNUMBER(SEARCH("TPCAR",[2]OUT_TransportEnergyCons!$C$3:$C$1000))*1,[2]OUT_TransportEnergyCons!H$3:H$1000)</f>
        <v>9.2577915060815166E-3</v>
      </c>
      <c r="K1226" s="1" cm="1">
        <f t="array" ref="K1226">SUMPRODUCT(("T_C-PEV-DSL-S4"=[2]OUT_TransportEnergyCons!$A$3:$A$1000)*1,("var_fout"=[2]OUT_TransportEnergyCons!$B$3:$B$1000)*1,ISNUMBER(SEARCH("TPCAR",[2]OUT_TransportEnergyCons!$C$3:$C$1000))*1,[2]OUT_TransportEnergyCons!I$3:I$1000)</f>
        <v>4.3452032720426607E-3</v>
      </c>
      <c r="L1226" s="1" cm="1">
        <f t="array" ref="L1226">SUMPRODUCT(("T_C-PEV-DSL-S4"=[2]OUT_TransportEnergyCons!$A$3:$A$1000)*1,("var_fout"=[2]OUT_TransportEnergyCons!$B$3:$B$1000)*1,ISNUMBER(SEARCH("TPCAR",[2]OUT_TransportEnergyCons!$C$3:$C$1000))*1,[2]OUT_TransportEnergyCons!J$3:J$1000)</f>
        <v>9.7985937731075168E-4</v>
      </c>
      <c r="N1226" s="1"/>
    </row>
    <row r="1227" spans="2:14" x14ac:dyDescent="0.35">
      <c r="B1227" s="5" t="str">
        <f t="shared" si="1323"/>
        <v>SPS1</v>
      </c>
      <c r="C1227" s="5" t="str">
        <f t="shared" si="1324"/>
        <v>CH</v>
      </c>
      <c r="D1227" t="s">
        <v>1146</v>
      </c>
      <c r="E1227" t="str">
        <f t="shared" si="1322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4.7874992131993337E-4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5.8511662819146987E-4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1.7902928933471714E-4</v>
      </c>
      <c r="J1227" s="1" cm="1">
        <f t="array" ref="J1227">SUMPRODUCT(("T_C-FC-H2O-S1"=[2]OUT_TransportEnergyCons!$A$3:$A$1000)*1,("var_fout"=[2]OUT_TransportEnergyCons!$B$3:$B$1000)*1,ISNUMBER(SEARCH("TPCAR",[2]OUT_TransportEnergyCons!$C$3:$C$1000))*1,[2]OUT_TransportEnergyCons!H$3:H$1000)</f>
        <v>1.2975518266198315E-5</v>
      </c>
      <c r="K1227" s="1" cm="1">
        <f t="array" ref="K1227">SUMPRODUCT(("T_C-FC-H2O-S1"=[2]OUT_TransportEnergyCons!$A$3:$A$1000)*1,("var_fout"=[2]OUT_TransportEnergyCons!$B$3:$B$1000)*1,ISNUMBER(SEARCH("TPCAR",[2]OUT_TransportEnergyCons!$C$3:$C$1000))*1,[2]OUT_TransportEnergyCons!I$3:I$1000)</f>
        <v>1.3015609283773202E-5</v>
      </c>
      <c r="L1227" s="1" cm="1">
        <f t="array" ref="L1227">SUMPRODUCT(("T_C-FC-H2O-S1"=[2]OUT_TransportEnergyCons!$A$3:$A$1000)*1,("var_fout"=[2]OUT_TransportEnergyCons!$B$3:$B$1000)*1,ISNUMBER(SEARCH("TPCAR",[2]OUT_TransportEnergyCons!$C$3:$C$1000))*1,[2]OUT_TransportEnergyCons!J$3:J$1000)</f>
        <v>1.1113546377452102E-5</v>
      </c>
      <c r="N1227" s="1"/>
    </row>
    <row r="1228" spans="2:14" x14ac:dyDescent="0.35">
      <c r="B1228" s="5" t="str">
        <f t="shared" si="1323"/>
        <v>SPS1</v>
      </c>
      <c r="C1228" s="5" t="str">
        <f t="shared" si="1324"/>
        <v>CH</v>
      </c>
      <c r="D1228" t="s">
        <v>1147</v>
      </c>
      <c r="E1228" t="str">
        <f t="shared" si="1322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1.5323322114038195E-4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5.0195009871120363E-4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7.341830719322424E-4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4.2120492448251555E-4</v>
      </c>
      <c r="J1228" s="1" cm="1">
        <f t="array" ref="J1228">SUMPRODUCT(("T_C-FC-H2O-S2"=[2]OUT_TransportEnergyCons!$A$3:$A$1000)*1,("var_fout"=[2]OUT_TransportEnergyCons!$B$3:$B$1000)*1,ISNUMBER(SEARCH("TPCAR",[2]OUT_TransportEnergyCons!$C$3:$C$1000))*1,[2]OUT_TransportEnergyCons!H$3:H$1000)</f>
        <v>1.9891777452648226E-5</v>
      </c>
      <c r="K1228" s="1" cm="1">
        <f t="array" ref="K1228">SUMPRODUCT(("T_C-FC-H2O-S2"=[2]OUT_TransportEnergyCons!$A$3:$A$1000)*1,("var_fout"=[2]OUT_TransportEnergyCons!$B$3:$B$1000)*1,ISNUMBER(SEARCH("TPCAR",[2]OUT_TransportEnergyCons!$C$3:$C$1000))*1,[2]OUT_TransportEnergyCons!I$3:I$1000)</f>
        <v>1.8269522672581699E-5</v>
      </c>
      <c r="L1228" s="1" cm="1">
        <f t="array" ref="L1228">SUMPRODUCT(("T_C-FC-H2O-S2"=[2]OUT_TransportEnergyCons!$A$3:$A$1000)*1,("var_fout"=[2]OUT_TransportEnergyCons!$B$3:$B$1000)*1,ISNUMBER(SEARCH("TPCAR",[2]OUT_TransportEnergyCons!$C$3:$C$1000))*1,[2]OUT_TransportEnergyCons!J$3:J$1000)</f>
        <v>1.8192066851566791E-5</v>
      </c>
      <c r="N1228" s="1"/>
    </row>
    <row r="1229" spans="2:14" x14ac:dyDescent="0.35">
      <c r="B1229" s="5" t="str">
        <f t="shared" si="1323"/>
        <v>SPS1</v>
      </c>
      <c r="C1229" s="5" t="str">
        <f t="shared" si="1324"/>
        <v>CH</v>
      </c>
      <c r="D1229" t="s">
        <v>1148</v>
      </c>
      <c r="E1229" t="str">
        <f t="shared" si="1322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9.0139889696241437E-4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1.9321950628940702E-3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2.0213085723141669E-3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7.4024593401342774E-4</v>
      </c>
      <c r="J1229" s="1" cm="1">
        <f t="array" ref="J1229">SUMPRODUCT(("T_C-FC-H2O-S3"=[2]OUT_TransportEnergyCons!$A$3:$A$1000)*1,("var_fout"=[2]OUT_TransportEnergyCons!$B$3:$B$1000)*1,ISNUMBER(SEARCH("TPCAR",[2]OUT_TransportEnergyCons!$C$3:$C$1000))*1,[2]OUT_TransportEnergyCons!H$3:H$1000)</f>
        <v>2.7351146597589804E-5</v>
      </c>
      <c r="K1229" s="1" cm="1">
        <f t="array" ref="K1229">SUMPRODUCT(("T_C-FC-H2O-S3"=[2]OUT_TransportEnergyCons!$A$3:$A$1000)*1,("var_fout"=[2]OUT_TransportEnergyCons!$B$3:$B$1000)*1,ISNUMBER(SEARCH("TPCAR",[2]OUT_TransportEnergyCons!$C$3:$C$1000))*1,[2]OUT_TransportEnergyCons!I$3:I$1000)</f>
        <v>1.89736517368714E-5</v>
      </c>
      <c r="L1229" s="1" cm="1">
        <f t="array" ref="L1229">SUMPRODUCT(("T_C-FC-H2O-S3"=[2]OUT_TransportEnergyCons!$A$3:$A$1000)*1,("var_fout"=[2]OUT_TransportEnergyCons!$B$3:$B$1000)*1,ISNUMBER(SEARCH("TPCAR",[2]OUT_TransportEnergyCons!$C$3:$C$1000))*1,[2]OUT_TransportEnergyCons!J$3:J$1000)</f>
        <v>2.1176994704972899E-5</v>
      </c>
      <c r="N1229" s="1"/>
    </row>
    <row r="1230" spans="2:14" x14ac:dyDescent="0.35">
      <c r="B1230" s="5" t="str">
        <f t="shared" si="1323"/>
        <v>SPS1</v>
      </c>
      <c r="C1230" s="5" t="str">
        <f t="shared" si="1324"/>
        <v>CH</v>
      </c>
      <c r="D1230" t="s">
        <v>1149</v>
      </c>
      <c r="E1230" t="str">
        <f t="shared" si="1322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3.9973308685203928E-4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6.1830108148288449E-4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3.1778892702910653E-4</v>
      </c>
      <c r="J1230" s="1" cm="1">
        <f t="array" ref="J1230">SUMPRODUCT(("T_C-FC-H2O-S4"=[2]OUT_TransportEnergyCons!$A$3:$A$1000)*1,("var_fout"=[2]OUT_TransportEnergyCons!$B$3:$B$1000)*1,ISNUMBER(SEARCH("TPCAR",[2]OUT_TransportEnergyCons!$C$3:$C$1000))*1,[2]OUT_TransportEnergyCons!H$3:H$1000)</f>
        <v>1.939529181570219E-5</v>
      </c>
      <c r="K1230" s="1" cm="1">
        <f t="array" ref="K1230">SUMPRODUCT(("T_C-FC-H2O-S4"=[2]OUT_TransportEnergyCons!$A$3:$A$1000)*1,("var_fout"=[2]OUT_TransportEnergyCons!$B$3:$B$1000)*1,ISNUMBER(SEARCH("TPCAR",[2]OUT_TransportEnergyCons!$C$3:$C$1000))*1,[2]OUT_TransportEnergyCons!I$3:I$1000)</f>
        <v>1.8178558079057868E-5</v>
      </c>
      <c r="L1230" s="1" cm="1">
        <f t="array" ref="L1230">SUMPRODUCT(("T_C-FC-H2O-S4"=[2]OUT_TransportEnergyCons!$A$3:$A$1000)*1,("var_fout"=[2]OUT_TransportEnergyCons!$B$3:$B$1000)*1,ISNUMBER(SEARCH("TPCAR",[2]OUT_TransportEnergyCons!$C$3:$C$1000))*1,[2]OUT_TransportEnergyCons!J$3:J$1000)</f>
        <v>2.0773391317689328E-5</v>
      </c>
      <c r="N1230" s="1"/>
    </row>
    <row r="1231" spans="2:14" x14ac:dyDescent="0.35">
      <c r="B1231" s="5" t="str">
        <f t="shared" si="1323"/>
        <v>SPS1</v>
      </c>
      <c r="C1231" s="5" t="str">
        <f t="shared" si="1324"/>
        <v>CH</v>
      </c>
      <c r="D1231" t="s">
        <v>1233</v>
      </c>
      <c r="E1231" t="str">
        <f t="shared" si="1322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0.61929198768433291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0.62770377326903859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0.48270868795202665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0.24140975407941773</v>
      </c>
      <c r="J1231" s="1" cm="1">
        <f t="array" ref="J1231">SUMPRODUCT(("T_C-HYBGSLEXT"=[2]OUT_TransportEnergyCons!$A$3:$A$1000)*1,("var_fout"=[2]OUT_TransportEnergyCons!$B$3:$B$1000)*1,ISNUMBER(SEARCH("TPCAR",[2]OUT_TransportEnergyCons!$C$3:$C$1000))*1,[2]OUT_TransportEnergyCons!H$3:H$1000)</f>
        <v>0</v>
      </c>
      <c r="K1231" s="1" cm="1">
        <f t="array" ref="K1231">SUMPRODUCT(("T_C-HYBGSLEXT"=[2]OUT_TransportEnergyCons!$A$3:$A$1000)*1,("var_fout"=[2]OUT_TransportEnergyCons!$B$3:$B$1000)*1,ISNUMBER(SEARCH("TPCAR",[2]OUT_TransportEnergyCons!$C$3:$C$1000))*1,[2]OUT_TransportEnergyCons!I$3:I$1000)</f>
        <v>0</v>
      </c>
      <c r="L1231" s="1" cm="1">
        <f t="array" ref="L1231">SUMPRODUCT(("T_C-HYBGSLEXT"=[2]OUT_TransportEnergyCons!$A$3:$A$1000)*1,("var_fout"=[2]OUT_TransportEnergyCons!$B$3:$B$1000)*1,ISNUMBER(SEARCH("TPCAR",[2]OUT_TransportEnergyCons!$C$3:$C$1000))*1,[2]OUT_TransportEnergyCons!J$3:J$1000)</f>
        <v>0</v>
      </c>
      <c r="N1231" s="1"/>
    </row>
    <row r="1232" spans="2:14" x14ac:dyDescent="0.35">
      <c r="B1232" s="5" t="str">
        <f t="shared" si="1323"/>
        <v>SPS1</v>
      </c>
      <c r="C1232" s="5" t="str">
        <f t="shared" si="1324"/>
        <v>CH</v>
      </c>
      <c r="D1232" t="s">
        <v>1150</v>
      </c>
      <c r="E1232" t="str">
        <f t="shared" si="1322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3.9544245761628724E-2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8.2418655385234726E-2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6.4090624872980534E-2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6.0292476359118212E-2</v>
      </c>
      <c r="J1232" s="1" cm="1">
        <f t="array" ref="J1232">SUMPRODUCT(("T_C-HY-GSL-S1"=[2]OUT_TransportEnergyCons!$A$3:$A$1000)*1,("var_fout"=[2]OUT_TransportEnergyCons!$B$3:$B$1000)*1,ISNUMBER(SEARCH("TPCAR",[2]OUT_TransportEnergyCons!$C$3:$C$1000))*1,[2]OUT_TransportEnergyCons!H$3:H$1000)</f>
        <v>2.8871499252372248E-3</v>
      </c>
      <c r="K1232" s="1" cm="1">
        <f t="array" ref="K1232">SUMPRODUCT(("T_C-HY-GSL-S1"=[2]OUT_TransportEnergyCons!$A$3:$A$1000)*1,("var_fout"=[2]OUT_TransportEnergyCons!$B$3:$B$1000)*1,ISNUMBER(SEARCH("TPCAR",[2]OUT_TransportEnergyCons!$C$3:$C$1000))*1,[2]OUT_TransportEnergyCons!I$3:I$1000)</f>
        <v>1.4690155026334114E-4</v>
      </c>
      <c r="L1232" s="1" cm="1">
        <f t="array" ref="L1232">SUMPRODUCT(("T_C-HY-GSL-S1"=[2]OUT_TransportEnergyCons!$A$3:$A$1000)*1,("var_fout"=[2]OUT_TransportEnergyCons!$B$3:$B$1000)*1,ISNUMBER(SEARCH("TPCAR",[2]OUT_TransportEnergyCons!$C$3:$C$1000))*1,[2]OUT_TransportEnergyCons!J$3:J$1000)</f>
        <v>0</v>
      </c>
      <c r="N1232" s="1"/>
    </row>
    <row r="1233" spans="2:14" x14ac:dyDescent="0.35">
      <c r="B1233" s="5" t="str">
        <f t="shared" si="1323"/>
        <v>SPS1</v>
      </c>
      <c r="C1233" s="5" t="str">
        <f t="shared" si="1324"/>
        <v>CH</v>
      </c>
      <c r="D1233" t="s">
        <v>1151</v>
      </c>
      <c r="E1233" t="str">
        <f t="shared" si="1322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0.16550641813199138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0.53291916501859804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1.742719215255895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1.5086315959482244</v>
      </c>
      <c r="J1233" s="1" cm="1">
        <f t="array" ref="J1233">SUMPRODUCT(("T_C-HY-GSL-S2"=[2]OUT_TransportEnergyCons!$A$3:$A$1000)*1,("var_fout"=[2]OUT_TransportEnergyCons!$B$3:$B$1000)*1,ISNUMBER(SEARCH("TPCAR",[2]OUT_TransportEnergyCons!$C$3:$C$1000))*1,[2]OUT_TransportEnergyCons!H$3:H$1000)</f>
        <v>0.75901299967097535</v>
      </c>
      <c r="K1233" s="1" cm="1">
        <f t="array" ref="K1233">SUMPRODUCT(("T_C-HY-GSL-S2"=[2]OUT_TransportEnergyCons!$A$3:$A$1000)*1,("var_fout"=[2]OUT_TransportEnergyCons!$B$3:$B$1000)*1,ISNUMBER(SEARCH("TPCAR",[2]OUT_TransportEnergyCons!$C$3:$C$1000))*1,[2]OUT_TransportEnergyCons!I$3:I$1000)</f>
        <v>8.3671287075568687E-2</v>
      </c>
      <c r="L1233" s="1" cm="1">
        <f t="array" ref="L1233">SUMPRODUCT(("T_C-HY-GSL-S2"=[2]OUT_TransportEnergyCons!$A$3:$A$1000)*1,("var_fout"=[2]OUT_TransportEnergyCons!$B$3:$B$1000)*1,ISNUMBER(SEARCH("TPCAR",[2]OUT_TransportEnergyCons!$C$3:$C$1000))*1,[2]OUT_TransportEnergyCons!J$3:J$1000)</f>
        <v>0</v>
      </c>
      <c r="N1233" s="1"/>
    </row>
    <row r="1234" spans="2:14" x14ac:dyDescent="0.35">
      <c r="B1234" s="5" t="str">
        <f t="shared" si="1323"/>
        <v>SPS1</v>
      </c>
      <c r="C1234" s="5" t="str">
        <f t="shared" si="1324"/>
        <v>CH</v>
      </c>
      <c r="D1234" t="s">
        <v>1152</v>
      </c>
      <c r="E1234" t="str">
        <f t="shared" si="1322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0.14797513335128124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2.78530886254278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2.6413605861523264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2.1318686565833258</v>
      </c>
      <c r="J1234" s="1" cm="1">
        <f t="array" ref="J1234">SUMPRODUCT(("T_C-HY-GSL-S3"=[2]OUT_TransportEnergyCons!$A$3:$A$1000)*1,("var_fout"=[2]OUT_TransportEnergyCons!$B$3:$B$1000)*1,ISNUMBER(SEARCH("TPCAR",[2]OUT_TransportEnergyCons!$C$3:$C$1000))*1,[2]OUT_TransportEnergyCons!H$3:H$1000)</f>
        <v>0.70299399031989063</v>
      </c>
      <c r="K1234" s="1" cm="1">
        <f t="array" ref="K1234">SUMPRODUCT(("T_C-HY-GSL-S3"=[2]OUT_TransportEnergyCons!$A$3:$A$1000)*1,("var_fout"=[2]OUT_TransportEnergyCons!$B$3:$B$1000)*1,ISNUMBER(SEARCH("TPCAR",[2]OUT_TransportEnergyCons!$C$3:$C$1000))*1,[2]OUT_TransportEnergyCons!I$3:I$1000)</f>
        <v>8.737672222281718E-5</v>
      </c>
      <c r="L1234" s="1" cm="1">
        <f t="array" ref="L1234">SUMPRODUCT(("T_C-HY-GSL-S3"=[2]OUT_TransportEnergyCons!$A$3:$A$1000)*1,("var_fout"=[2]OUT_TransportEnergyCons!$B$3:$B$1000)*1,ISNUMBER(SEARCH("TPCAR",[2]OUT_TransportEnergyCons!$C$3:$C$1000))*1,[2]OUT_TransportEnergyCons!J$3:J$1000)</f>
        <v>0</v>
      </c>
      <c r="N1234" s="1"/>
    </row>
    <row r="1235" spans="2:14" x14ac:dyDescent="0.35">
      <c r="B1235" s="5" t="str">
        <f t="shared" si="1323"/>
        <v>SPS1</v>
      </c>
      <c r="C1235" s="5" t="str">
        <f t="shared" si="1324"/>
        <v>CH</v>
      </c>
      <c r="D1235" t="s">
        <v>1153</v>
      </c>
      <c r="E1235" t="str">
        <f t="shared" si="1322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7.5599923996085908E-2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0.19799424185682285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0.19545508836373904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0.16798418529458203</v>
      </c>
      <c r="J1235" s="1" cm="1">
        <f t="array" ref="J1235">SUMPRODUCT(("T_C-HY-GSL-S4"=[2]OUT_TransportEnergyCons!$A$3:$A$1000)*1,("var_fout"=[2]OUT_TransportEnergyCons!$B$3:$B$1000)*1,ISNUMBER(SEARCH("TPCAR",[2]OUT_TransportEnergyCons!$C$3:$C$1000))*1,[2]OUT_TransportEnergyCons!H$3:H$1000)</f>
        <v>2.5259345618739593E-2</v>
      </c>
      <c r="K1235" s="1" cm="1">
        <f t="array" ref="K1235">SUMPRODUCT(("T_C-HY-GSL-S4"=[2]OUT_TransportEnergyCons!$A$3:$A$1000)*1,("var_fout"=[2]OUT_TransportEnergyCons!$B$3:$B$1000)*1,ISNUMBER(SEARCH("TPCAR",[2]OUT_TransportEnergyCons!$C$3:$C$1000))*1,[2]OUT_TransportEnergyCons!I$3:I$1000)</f>
        <v>6.8238563713516871E-5</v>
      </c>
      <c r="L1235" s="1" cm="1">
        <f t="array" ref="L1235">SUMPRODUCT(("T_C-HY-GSL-S4"=[2]OUT_TransportEnergyCons!$A$3:$A$1000)*1,("var_fout"=[2]OUT_TransportEnergyCons!$B$3:$B$1000)*1,ISNUMBER(SEARCH("TPCAR",[2]OUT_TransportEnergyCons!$C$3:$C$1000))*1,[2]OUT_TransportEnergyCons!J$3:J$1000)</f>
        <v>0</v>
      </c>
      <c r="N1235" s="1"/>
    </row>
    <row r="1236" spans="2:14" x14ac:dyDescent="0.35">
      <c r="B1236" s="5" t="str">
        <f t="shared" si="1323"/>
        <v>SPS1</v>
      </c>
      <c r="C1236" s="5" t="str">
        <f t="shared" si="1324"/>
        <v>CH</v>
      </c>
      <c r="D1236" t="s">
        <v>1154</v>
      </c>
      <c r="E1236" t="str">
        <f t="shared" si="1322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18.303003603260866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15.605046012512398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12.873489581415408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4.1782672913611361</v>
      </c>
      <c r="J1236" s="1" cm="1">
        <f t="array" ref="J1236">SUMPRODUCT(("T_C-ICEGSLEXT"=[2]OUT_TransportEnergyCons!$A$3:$A$1000)*1,("var_fout"=[2]OUT_TransportEnergyCons!$B$3:$B$1000)*1,ISNUMBER(SEARCH("TPCAR",[2]OUT_TransportEnergyCons!$C$3:$C$1000))*1,[2]OUT_TransportEnergyCons!H$3:H$1000)</f>
        <v>0</v>
      </c>
      <c r="K1236" s="1" cm="1">
        <f t="array" ref="K1236">SUMPRODUCT(("T_C-ICEGSLEXT"=[2]OUT_TransportEnergyCons!$A$3:$A$1000)*1,("var_fout"=[2]OUT_TransportEnergyCons!$B$3:$B$1000)*1,ISNUMBER(SEARCH("TPCAR",[2]OUT_TransportEnergyCons!$C$3:$C$1000))*1,[2]OUT_TransportEnergyCons!I$3:I$1000)</f>
        <v>0</v>
      </c>
      <c r="L1236" s="1" cm="1">
        <f t="array" ref="L1236">SUMPRODUCT(("T_C-ICEGSLEXT"=[2]OUT_TransportEnergyCons!$A$3:$A$1000)*1,("var_fout"=[2]OUT_TransportEnergyCons!$B$3:$B$1000)*1,ISNUMBER(SEARCH("TPCAR",[2]OUT_TransportEnergyCons!$C$3:$C$1000))*1,[2]OUT_TransportEnergyCons!J$3:J$1000)</f>
        <v>0</v>
      </c>
      <c r="N1236" s="1"/>
    </row>
    <row r="1237" spans="2:14" x14ac:dyDescent="0.35">
      <c r="B1237" s="5" t="str">
        <f t="shared" si="1323"/>
        <v>SPS1</v>
      </c>
      <c r="C1237" s="5" t="str">
        <f t="shared" si="1324"/>
        <v>CH</v>
      </c>
      <c r="D1237" t="s">
        <v>1155</v>
      </c>
      <c r="E1237" t="str">
        <f t="shared" si="1322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0.2414795429084732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0.39832977147202486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0.82922209280675696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0.70461294150453324</v>
      </c>
      <c r="J1237" s="1" cm="1">
        <f t="array" ref="J1237">SUMPRODUCT(("T_C-ICE-GSL-S1"=[2]OUT_TransportEnergyCons!$A$3:$A$1000)*1,("var_fout"=[2]OUT_TransportEnergyCons!$B$3:$B$1000)*1,ISNUMBER(SEARCH("TPCAR",[2]OUT_TransportEnergyCons!$C$3:$C$1000))*1,[2]OUT_TransportEnergyCons!H$3:H$1000)</f>
        <v>0.38967819442375495</v>
      </c>
      <c r="K1237" s="1" cm="1">
        <f t="array" ref="K1237">SUMPRODUCT(("T_C-ICE-GSL-S1"=[2]OUT_TransportEnergyCons!$A$3:$A$1000)*1,("var_fout"=[2]OUT_TransportEnergyCons!$B$3:$B$1000)*1,ISNUMBER(SEARCH("TPCAR",[2]OUT_TransportEnergyCons!$C$3:$C$1000))*1,[2]OUT_TransportEnergyCons!I$3:I$1000)</f>
        <v>5.1411025294656312E-2</v>
      </c>
      <c r="L1237" s="1" cm="1">
        <f t="array" ref="L1237">SUMPRODUCT(("T_C-ICE-GSL-S1"=[2]OUT_TransportEnergyCons!$A$3:$A$1000)*1,("var_fout"=[2]OUT_TransportEnergyCons!$B$3:$B$1000)*1,ISNUMBER(SEARCH("TPCAR",[2]OUT_TransportEnergyCons!$C$3:$C$1000))*1,[2]OUT_TransportEnergyCons!J$3:J$1000)</f>
        <v>0</v>
      </c>
      <c r="N1237" s="1"/>
    </row>
    <row r="1238" spans="2:14" x14ac:dyDescent="0.35">
      <c r="B1238" s="5" t="str">
        <f t="shared" si="1323"/>
        <v>SPS1</v>
      </c>
      <c r="C1238" s="5" t="str">
        <f t="shared" si="1324"/>
        <v>CH</v>
      </c>
      <c r="D1238" t="s">
        <v>1156</v>
      </c>
      <c r="E1238" t="str">
        <f t="shared" si="1322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2.0620696764592474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3.2151015741944118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3.5525871148069186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2.8522683683930317</v>
      </c>
      <c r="J1238" s="1" cm="1">
        <f t="array" ref="J1238">SUMPRODUCT(("T_C-ICE-GSL-S2"=[2]OUT_TransportEnergyCons!$A$3:$A$1000)*1,("var_fout"=[2]OUT_TransportEnergyCons!$B$3:$B$1000)*1,ISNUMBER(SEARCH("TPCAR",[2]OUT_TransportEnergyCons!$C$3:$C$1000))*1,[2]OUT_TransportEnergyCons!H$3:H$1000)</f>
        <v>0.3326070663234435</v>
      </c>
      <c r="K1238" s="1" cm="1">
        <f t="array" ref="K1238">SUMPRODUCT(("T_C-ICE-GSL-S2"=[2]OUT_TransportEnergyCons!$A$3:$A$1000)*1,("var_fout"=[2]OUT_TransportEnergyCons!$B$3:$B$1000)*1,ISNUMBER(SEARCH("TPCAR",[2]OUT_TransportEnergyCons!$C$3:$C$1000))*1,[2]OUT_TransportEnergyCons!I$3:I$1000)</f>
        <v>3.1818868172906273E-2</v>
      </c>
      <c r="L1238" s="1" cm="1">
        <f t="array" ref="L1238">SUMPRODUCT(("T_C-ICE-GSL-S2"=[2]OUT_TransportEnergyCons!$A$3:$A$1000)*1,("var_fout"=[2]OUT_TransportEnergyCons!$B$3:$B$1000)*1,ISNUMBER(SEARCH("TPCAR",[2]OUT_TransportEnergyCons!$C$3:$C$1000))*1,[2]OUT_TransportEnergyCons!J$3:J$1000)</f>
        <v>0</v>
      </c>
      <c r="N1238" s="1"/>
    </row>
    <row r="1239" spans="2:14" x14ac:dyDescent="0.35">
      <c r="B1239" s="5" t="str">
        <f t="shared" si="1323"/>
        <v>SPS1</v>
      </c>
      <c r="C1239" s="5" t="str">
        <f t="shared" si="1324"/>
        <v>CH</v>
      </c>
      <c r="D1239" t="s">
        <v>1157</v>
      </c>
      <c r="E1239" t="str">
        <f t="shared" si="1322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1.8536275275894587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2.9740341713020686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3.0191652936503859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2.4619557776828818</v>
      </c>
      <c r="J1239" s="1" cm="1">
        <f t="array" ref="J1239">SUMPRODUCT(("T_C-ICE-GSL-S3"=[2]OUT_TransportEnergyCons!$A$3:$A$1000)*1,("var_fout"=[2]OUT_TransportEnergyCons!$B$3:$B$1000)*1,ISNUMBER(SEARCH("TPCAR",[2]OUT_TransportEnergyCons!$C$3:$C$1000))*1,[2]OUT_TransportEnergyCons!H$3:H$1000)</f>
        <v>0.47334731386010692</v>
      </c>
      <c r="K1239" s="1" cm="1">
        <f t="array" ref="K1239">SUMPRODUCT(("T_C-ICE-GSL-S3"=[2]OUT_TransportEnergyCons!$A$3:$A$1000)*1,("var_fout"=[2]OUT_TransportEnergyCons!$B$3:$B$1000)*1,ISNUMBER(SEARCH("TPCAR",[2]OUT_TransportEnergyCons!$C$3:$C$1000))*1,[2]OUT_TransportEnergyCons!I$3:I$1000)</f>
        <v>3.2215120629863307E-2</v>
      </c>
      <c r="L1239" s="1" cm="1">
        <f t="array" ref="L1239">SUMPRODUCT(("T_C-ICE-GSL-S3"=[2]OUT_TransportEnergyCons!$A$3:$A$1000)*1,("var_fout"=[2]OUT_TransportEnergyCons!$B$3:$B$1000)*1,ISNUMBER(SEARCH("TPCAR",[2]OUT_TransportEnergyCons!$C$3:$C$1000))*1,[2]OUT_TransportEnergyCons!J$3:J$1000)</f>
        <v>0</v>
      </c>
      <c r="N1239" s="1"/>
    </row>
    <row r="1240" spans="2:14" x14ac:dyDescent="0.35">
      <c r="B1240" s="5" t="str">
        <f t="shared" si="1323"/>
        <v>SPS1</v>
      </c>
      <c r="C1240" s="5" t="str">
        <f t="shared" si="1324"/>
        <v>CH</v>
      </c>
      <c r="D1240" t="s">
        <v>1158</v>
      </c>
      <c r="E1240" t="str">
        <f t="shared" si="1322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1.3969638897573464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2.2823600066295726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4.3873848943075719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3.6932789459284985</v>
      </c>
      <c r="J1240" s="1" cm="1">
        <f t="array" ref="J1240">SUMPRODUCT(("T_C-ICE-GSL-S4"=[2]OUT_TransportEnergyCons!$A$3:$A$1000)*1,("var_fout"=[2]OUT_TransportEnergyCons!$B$3:$B$1000)*1,ISNUMBER(SEARCH("TPCAR",[2]OUT_TransportEnergyCons!$C$3:$C$1000))*1,[2]OUT_TransportEnergyCons!H$3:H$1000)</f>
        <v>0.83317409045070112</v>
      </c>
      <c r="K1240" s="1" cm="1">
        <f t="array" ref="K1240">SUMPRODUCT(("T_C-ICE-GSL-S4"=[2]OUT_TransportEnergyCons!$A$3:$A$1000)*1,("var_fout"=[2]OUT_TransportEnergyCons!$B$3:$B$1000)*1,ISNUMBER(SEARCH("TPCAR",[2]OUT_TransportEnergyCons!$C$3:$C$1000))*1,[2]OUT_TransportEnergyCons!I$3:I$1000)</f>
        <v>0.10191822355206451</v>
      </c>
      <c r="L1240" s="1" cm="1">
        <f t="array" ref="L1240">SUMPRODUCT(("T_C-ICE-GSL-S4"=[2]OUT_TransportEnergyCons!$A$3:$A$1000)*1,("var_fout"=[2]OUT_TransportEnergyCons!$B$3:$B$1000)*1,ISNUMBER(SEARCH("TPCAR",[2]OUT_TransportEnergyCons!$C$3:$C$1000))*1,[2]OUT_TransportEnergyCons!J$3:J$1000)</f>
        <v>0</v>
      </c>
      <c r="N1240" s="1"/>
    </row>
    <row r="1241" spans="2:14" x14ac:dyDescent="0.35">
      <c r="B1241" s="5" t="str">
        <f t="shared" si="1323"/>
        <v>SPS1</v>
      </c>
      <c r="C1241" s="5" t="str">
        <f t="shared" si="1324"/>
        <v>CH</v>
      </c>
      <c r="D1241" t="s">
        <v>1159</v>
      </c>
      <c r="E1241" t="str">
        <f t="shared" si="1322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2.7086125803752101E-3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5.3843627285739461E-3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7.8818516363841455E-3</v>
      </c>
      <c r="J1241" s="1" cm="1">
        <f t="array" ref="J1241">SUMPRODUCT(("T_C-MHY-GSL-S1"=[2]OUT_TransportEnergyCons!$A$3:$A$1000)*1,("var_fout"=[2]OUT_TransportEnergyCons!$B$3:$B$1000)*1,ISNUMBER(SEARCH("TPCAR",[2]OUT_TransportEnergyCons!$C$3:$C$1000))*1,[2]OUT_TransportEnergyCons!H$3:H$1000)</f>
        <v>2.5422571553274033E-4</v>
      </c>
      <c r="K1241" s="1" cm="1">
        <f t="array" ref="K1241">SUMPRODUCT(("T_C-MHY-GSL-S1"=[2]OUT_TransportEnergyCons!$A$3:$A$1000)*1,("var_fout"=[2]OUT_TransportEnergyCons!$B$3:$B$1000)*1,ISNUMBER(SEARCH("TPCAR",[2]OUT_TransportEnergyCons!$C$3:$C$1000))*1,[2]OUT_TransportEnergyCons!I$3:I$1000)</f>
        <v>7.8620218142565104E-5</v>
      </c>
      <c r="L1241" s="1" cm="1">
        <f t="array" ref="L1241">SUMPRODUCT(("T_C-MHY-GSL-S1"=[2]OUT_TransportEnergyCons!$A$3:$A$1000)*1,("var_fout"=[2]OUT_TransportEnergyCons!$B$3:$B$1000)*1,ISNUMBER(SEARCH("TPCAR",[2]OUT_TransportEnergyCons!$C$3:$C$1000))*1,[2]OUT_TransportEnergyCons!J$3:J$1000)</f>
        <v>0</v>
      </c>
      <c r="N1241" s="1"/>
    </row>
    <row r="1242" spans="2:14" x14ac:dyDescent="0.35">
      <c r="B1242" s="5" t="str">
        <f t="shared" si="1323"/>
        <v>SPS1</v>
      </c>
      <c r="C1242" s="5" t="str">
        <f t="shared" si="1324"/>
        <v>CH</v>
      </c>
      <c r="D1242" t="s">
        <v>1160</v>
      </c>
      <c r="E1242" t="str">
        <f t="shared" si="1322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1.9658030804223432E-3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5.8776644292743464E-3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8.1052224451632106E-3</v>
      </c>
      <c r="J1242" s="1" cm="1">
        <f t="array" ref="J1242">SUMPRODUCT(("T_C-MHY-GSL-S2"=[2]OUT_TransportEnergyCons!$A$3:$A$1000)*1,("var_fout"=[2]OUT_TransportEnergyCons!$B$3:$B$1000)*1,ISNUMBER(SEARCH("TPCAR",[2]OUT_TransportEnergyCons!$C$3:$C$1000))*1,[2]OUT_TransportEnergyCons!H$3:H$1000)</f>
        <v>2.0258197683730402E-4</v>
      </c>
      <c r="K1242" s="1" cm="1">
        <f t="array" ref="K1242">SUMPRODUCT(("T_C-MHY-GSL-S2"=[2]OUT_TransportEnergyCons!$A$3:$A$1000)*1,("var_fout"=[2]OUT_TransportEnergyCons!$B$3:$B$1000)*1,ISNUMBER(SEARCH("TPCAR",[2]OUT_TransportEnergyCons!$C$3:$C$1000))*1,[2]OUT_TransportEnergyCons!I$3:I$1000)</f>
        <v>5.520307074844306E-5</v>
      </c>
      <c r="L1242" s="1" cm="1">
        <f t="array" ref="L1242">SUMPRODUCT(("T_C-MHY-GSL-S2"=[2]OUT_TransportEnergyCons!$A$3:$A$1000)*1,("var_fout"=[2]OUT_TransportEnergyCons!$B$3:$B$1000)*1,ISNUMBER(SEARCH("TPCAR",[2]OUT_TransportEnergyCons!$C$3:$C$1000))*1,[2]OUT_TransportEnergyCons!J$3:J$1000)</f>
        <v>0</v>
      </c>
      <c r="N1242" s="1"/>
    </row>
    <row r="1243" spans="2:14" x14ac:dyDescent="0.35">
      <c r="B1243" s="5" t="str">
        <f t="shared" si="1323"/>
        <v>SPS1</v>
      </c>
      <c r="C1243" s="5" t="str">
        <f t="shared" si="1324"/>
        <v>CH</v>
      </c>
      <c r="D1243" t="s">
        <v>1161</v>
      </c>
      <c r="E1243" t="str">
        <f t="shared" si="1322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2.4009588096443098E-3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6.6296719150267178E-3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8.2192878022129597E-3</v>
      </c>
      <c r="J1243" s="1" cm="1">
        <f t="array" ref="J1243">SUMPRODUCT(("T_C-MHY-GSL-S3"=[2]OUT_TransportEnergyCons!$A$3:$A$1000)*1,("var_fout"=[2]OUT_TransportEnergyCons!$B$3:$B$1000)*1,ISNUMBER(SEARCH("TPCAR",[2]OUT_TransportEnergyCons!$C$3:$C$1000))*1,[2]OUT_TransportEnergyCons!H$3:H$1000)</f>
        <v>2.0111536487624044E-4</v>
      </c>
      <c r="K1243" s="1" cm="1">
        <f t="array" ref="K1243">SUMPRODUCT(("T_C-MHY-GSL-S3"=[2]OUT_TransportEnergyCons!$A$3:$A$1000)*1,("var_fout"=[2]OUT_TransportEnergyCons!$B$3:$B$1000)*1,ISNUMBER(SEARCH("TPCAR",[2]OUT_TransportEnergyCons!$C$3:$C$1000))*1,[2]OUT_TransportEnergyCons!I$3:I$1000)</f>
        <v>5.0583896274662845E-5</v>
      </c>
      <c r="L1243" s="1" cm="1">
        <f t="array" ref="L1243">SUMPRODUCT(("T_C-MHY-GSL-S3"=[2]OUT_TransportEnergyCons!$A$3:$A$1000)*1,("var_fout"=[2]OUT_TransportEnergyCons!$B$3:$B$1000)*1,ISNUMBER(SEARCH("TPCAR",[2]OUT_TransportEnergyCons!$C$3:$C$1000))*1,[2]OUT_TransportEnergyCons!J$3:J$1000)</f>
        <v>0</v>
      </c>
      <c r="N1243" s="1"/>
    </row>
    <row r="1244" spans="2:14" x14ac:dyDescent="0.35">
      <c r="B1244" s="5" t="str">
        <f t="shared" si="1323"/>
        <v>SPS1</v>
      </c>
      <c r="C1244" s="5" t="str">
        <f t="shared" si="1324"/>
        <v>CH</v>
      </c>
      <c r="D1244" t="s">
        <v>1162</v>
      </c>
      <c r="E1244" t="str">
        <f t="shared" si="1322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2.8677778697233256E-3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8.39998395522892E-3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1.0223917124167717E-2</v>
      </c>
      <c r="J1244" s="1" cm="1">
        <f t="array" ref="J1244">SUMPRODUCT(("T_C-MHY-GSL-S4"=[2]OUT_TransportEnergyCons!$A$3:$A$1000)*1,("var_fout"=[2]OUT_TransportEnergyCons!$B$3:$B$1000)*1,ISNUMBER(SEARCH("TPCAR",[2]OUT_TransportEnergyCons!$C$3:$C$1000))*1,[2]OUT_TransportEnergyCons!H$3:H$1000)</f>
        <v>2.4161669124497275E-4</v>
      </c>
      <c r="K1244" s="1" cm="1">
        <f t="array" ref="K1244">SUMPRODUCT(("T_C-MHY-GSL-S4"=[2]OUT_TransportEnergyCons!$A$3:$A$1000)*1,("var_fout"=[2]OUT_TransportEnergyCons!$B$3:$B$1000)*1,ISNUMBER(SEARCH("TPCAR",[2]OUT_TransportEnergyCons!$C$3:$C$1000))*1,[2]OUT_TransportEnergyCons!I$3:I$1000)</f>
        <v>6.0468998673494031E-5</v>
      </c>
      <c r="L1244" s="1" cm="1">
        <f t="array" ref="L1244">SUMPRODUCT(("T_C-MHY-GSL-S4"=[2]OUT_TransportEnergyCons!$A$3:$A$1000)*1,("var_fout"=[2]OUT_TransportEnergyCons!$B$3:$B$1000)*1,ISNUMBER(SEARCH("TPCAR",[2]OUT_TransportEnergyCons!$C$3:$C$1000))*1,[2]OUT_TransportEnergyCons!J$3:J$1000)</f>
        <v>0</v>
      </c>
      <c r="N1244" s="1"/>
    </row>
    <row r="1245" spans="2:14" x14ac:dyDescent="0.35">
      <c r="B1245" s="5" t="str">
        <f t="shared" si="1323"/>
        <v>SPS1</v>
      </c>
      <c r="C1245" s="5" t="str">
        <f t="shared" si="1324"/>
        <v>CH</v>
      </c>
      <c r="D1245" t="s">
        <v>1235</v>
      </c>
      <c r="E1245" t="str">
        <f t="shared" si="1322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SUMPRODUCT(("T_C-HYBDSLEXT"=[2]OUT_TransportEnergyCons!$A$3:$A$1000)*1,("var_fout"=[2]OUT_TransportEnergyCons!$B$3:$B$1000)*1,ISNUMBER(SEARCH("TPCAR",[2]OUT_TransportEnergyCons!$C$3:$C$1000))*1,[2]OUT_TransportEnergyCons!H$3:H$1000)</f>
        <v>0</v>
      </c>
      <c r="K1245" s="1" cm="1">
        <f t="array" ref="K1245">SUMPRODUCT(("T_C-HYBDSLEXT"=[2]OUT_TransportEnergyCons!$A$3:$A$1000)*1,("var_fout"=[2]OUT_TransportEnergyCons!$B$3:$B$1000)*1,ISNUMBER(SEARCH("TPCAR",[2]OUT_TransportEnergyCons!$C$3:$C$1000))*1,[2]OUT_TransportEnergyCons!I$3:I$1000)</f>
        <v>0</v>
      </c>
      <c r="L1245" s="1" cm="1">
        <f t="array" ref="L1245">SUMPRODUCT(("T_C-HYBDSLEXT"=[2]OUT_TransportEnergyCons!$A$3:$A$1000)*1,("var_fout"=[2]OUT_TransportEnergyCons!$B$3:$B$1000)*1,ISNUMBER(SEARCH("TPCAR",[2]OUT_TransportEnergyCons!$C$3:$C$1000))*1,[2]OUT_TransportEnergyCons!J$3:J$1000)</f>
        <v>0</v>
      </c>
      <c r="N1245" s="1"/>
    </row>
    <row r="1246" spans="2:14" x14ac:dyDescent="0.35">
      <c r="B1246" s="5" t="str">
        <f t="shared" si="1323"/>
        <v>SPS1</v>
      </c>
      <c r="C1246" s="5" t="str">
        <f t="shared" si="1324"/>
        <v>CH</v>
      </c>
      <c r="D1246" t="s">
        <v>1163</v>
      </c>
      <c r="E1246" t="str">
        <f t="shared" si="1322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2.4052576622640294E-5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0.19158837462913669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0.13462212038638466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0.11232532080670031</v>
      </c>
      <c r="J1246" s="1" cm="1">
        <f t="array" ref="J1246">SUMPRODUCT(("T_C-HY-DSL-S1"=[2]OUT_TransportEnergyCons!$A$3:$A$1000)*1,("var_fout"=[2]OUT_TransportEnergyCons!$B$3:$B$1000)*1,ISNUMBER(SEARCH("TPCAR",[2]OUT_TransportEnergyCons!$C$3:$C$1000))*1,[2]OUT_TransportEnergyCons!H$3:H$1000)</f>
        <v>5.2781437520607419E-2</v>
      </c>
      <c r="K1246" s="1" cm="1">
        <f t="array" ref="K1246">SUMPRODUCT(("T_C-HY-DSL-S1"=[2]OUT_TransportEnergyCons!$A$3:$A$1000)*1,("var_fout"=[2]OUT_TransportEnergyCons!$B$3:$B$1000)*1,ISNUMBER(SEARCH("TPCAR",[2]OUT_TransportEnergyCons!$C$3:$C$1000))*1,[2]OUT_TransportEnergyCons!I$3:I$1000)</f>
        <v>9.4059252484422057E-5</v>
      </c>
      <c r="L1246" s="1" cm="1">
        <f t="array" ref="L1246">SUMPRODUCT(("T_C-HY-DSL-S1"=[2]OUT_TransportEnergyCons!$A$3:$A$1000)*1,("var_fout"=[2]OUT_TransportEnergyCons!$B$3:$B$1000)*1,ISNUMBER(SEARCH("TPCAR",[2]OUT_TransportEnergyCons!$C$3:$C$1000))*1,[2]OUT_TransportEnergyCons!J$3:J$1000)</f>
        <v>0</v>
      </c>
      <c r="N1246" s="1"/>
    </row>
    <row r="1247" spans="2:14" x14ac:dyDescent="0.35">
      <c r="B1247" s="5" t="str">
        <f t="shared" si="1323"/>
        <v>SPS1</v>
      </c>
      <c r="C1247" s="5" t="str">
        <f t="shared" si="1324"/>
        <v>CH</v>
      </c>
      <c r="D1247" t="s">
        <v>1164</v>
      </c>
      <c r="E1247" t="str">
        <f t="shared" si="1322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3.2122077293299865E-3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1.4605929767174555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2.8937981857775195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2.4421622802251126</v>
      </c>
      <c r="J1247" s="1" cm="1">
        <f t="array" ref="J1247">SUMPRODUCT(("T_C-HY-DSL-S2"=[2]OUT_TransportEnergyCons!$A$3:$A$1000)*1,("var_fout"=[2]OUT_TransportEnergyCons!$B$3:$B$1000)*1,ISNUMBER(SEARCH("TPCAR",[2]OUT_TransportEnergyCons!$C$3:$C$1000))*1,[2]OUT_TransportEnergyCons!H$3:H$1000)</f>
        <v>1.2799886359906361</v>
      </c>
      <c r="K1247" s="1" cm="1">
        <f t="array" ref="K1247">SUMPRODUCT(("T_C-HY-DSL-S2"=[2]OUT_TransportEnergyCons!$A$3:$A$1000)*1,("var_fout"=[2]OUT_TransportEnergyCons!$B$3:$B$1000)*1,ISNUMBER(SEARCH("TPCAR",[2]OUT_TransportEnergyCons!$C$3:$C$1000))*1,[2]OUT_TransportEnergyCons!I$3:I$1000)</f>
        <v>8.3223544152412454E-2</v>
      </c>
      <c r="L1247" s="1" cm="1">
        <f t="array" ref="L1247">SUMPRODUCT(("T_C-HY-DSL-S2"=[2]OUT_TransportEnergyCons!$A$3:$A$1000)*1,("var_fout"=[2]OUT_TransportEnergyCons!$B$3:$B$1000)*1,ISNUMBER(SEARCH("TPCAR",[2]OUT_TransportEnergyCons!$C$3:$C$1000))*1,[2]OUT_TransportEnergyCons!J$3:J$1000)</f>
        <v>0</v>
      </c>
      <c r="N1247" s="1"/>
    </row>
    <row r="1248" spans="2:14" x14ac:dyDescent="0.35">
      <c r="B1248" s="5" t="str">
        <f t="shared" si="1323"/>
        <v>SPS1</v>
      </c>
      <c r="C1248" s="5" t="str">
        <f t="shared" si="1324"/>
        <v>CH</v>
      </c>
      <c r="D1248" t="s">
        <v>1165</v>
      </c>
      <c r="E1248" t="str">
        <f t="shared" si="1322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2.3972516648662373E-2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7.19368995230103E-2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7.5683042431275327E-2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6.281361252420474E-2</v>
      </c>
      <c r="J1248" s="1" cm="1">
        <f t="array" ref="J1248">SUMPRODUCT(("T_C-HY-DSL-S3"=[2]OUT_TransportEnergyCons!$A$3:$A$1000)*1,("var_fout"=[2]OUT_TransportEnergyCons!$B$3:$B$1000)*1,ISNUMBER(SEARCH("TPCAR",[2]OUT_TransportEnergyCons!$C$3:$C$1000))*1,[2]OUT_TransportEnergyCons!H$3:H$1000)</f>
        <v>9.2377943570628052E-3</v>
      </c>
      <c r="K1248" s="1" cm="1">
        <f t="array" ref="K1248">SUMPRODUCT(("T_C-HY-DSL-S3"=[2]OUT_TransportEnergyCons!$A$3:$A$1000)*1,("var_fout"=[2]OUT_TransportEnergyCons!$B$3:$B$1000)*1,ISNUMBER(SEARCH("TPCAR",[2]OUT_TransportEnergyCons!$C$3:$C$1000))*1,[2]OUT_TransportEnergyCons!I$3:I$1000)</f>
        <v>5.6525000136401969E-5</v>
      </c>
      <c r="L1248" s="1" cm="1">
        <f t="array" ref="L1248">SUMPRODUCT(("T_C-HY-DSL-S3"=[2]OUT_TransportEnergyCons!$A$3:$A$1000)*1,("var_fout"=[2]OUT_TransportEnergyCons!$B$3:$B$1000)*1,ISNUMBER(SEARCH("TPCAR",[2]OUT_TransportEnergyCons!$C$3:$C$1000))*1,[2]OUT_TransportEnergyCons!J$3:J$1000)</f>
        <v>0</v>
      </c>
      <c r="N1248" s="1"/>
    </row>
    <row r="1249" spans="2:14" x14ac:dyDescent="0.35">
      <c r="B1249" s="5" t="str">
        <f t="shared" si="1323"/>
        <v>SPS1</v>
      </c>
      <c r="C1249" s="5" t="str">
        <f t="shared" si="1324"/>
        <v>CH</v>
      </c>
      <c r="D1249" t="s">
        <v>1166</v>
      </c>
      <c r="E1249" t="str">
        <f t="shared" si="1322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4.6522939444611E-2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0.1355030272173558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0.13692709254562699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0.11637892974032932</v>
      </c>
      <c r="J1249" s="1" cm="1">
        <f t="array" ref="J1249">SUMPRODUCT(("T_C-HY-DSL-S4"=[2]OUT_TransportEnergyCons!$A$3:$A$1000)*1,("var_fout"=[2]OUT_TransportEnergyCons!$B$3:$B$1000)*1,ISNUMBER(SEARCH("TPCAR",[2]OUT_TransportEnergyCons!$C$3:$C$1000))*1,[2]OUT_TransportEnergyCons!H$3:H$1000)</f>
        <v>1.9723263084504221E-2</v>
      </c>
      <c r="K1249" s="1" cm="1">
        <f t="array" ref="K1249">SUMPRODUCT(("T_C-HY-DSL-S4"=[2]OUT_TransportEnergyCons!$A$3:$A$1000)*1,("var_fout"=[2]OUT_TransportEnergyCons!$B$3:$B$1000)*1,ISNUMBER(SEARCH("TPCAR",[2]OUT_TransportEnergyCons!$C$3:$C$1000))*1,[2]OUT_TransportEnergyCons!I$3:I$1000)</f>
        <v>5.7895797074034475E-5</v>
      </c>
      <c r="L1249" s="1" cm="1">
        <f t="array" ref="L1249">SUMPRODUCT(("T_C-HY-DSL-S4"=[2]OUT_TransportEnergyCons!$A$3:$A$1000)*1,("var_fout"=[2]OUT_TransportEnergyCons!$B$3:$B$1000)*1,ISNUMBER(SEARCH("TPCAR",[2]OUT_TransportEnergyCons!$C$3:$C$1000))*1,[2]OUT_TransportEnergyCons!J$3:J$1000)</f>
        <v>0</v>
      </c>
      <c r="N1249" s="1"/>
    </row>
    <row r="1250" spans="2:14" x14ac:dyDescent="0.35">
      <c r="B1250" s="5" t="str">
        <f t="shared" si="1323"/>
        <v>SPS1</v>
      </c>
      <c r="C1250" s="5" t="str">
        <f t="shared" si="1324"/>
        <v>CH</v>
      </c>
      <c r="D1250" t="s">
        <v>1167</v>
      </c>
      <c r="E1250" t="str">
        <f t="shared" si="1322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19.277382899149952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17.235982275638197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12.930854952052627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6.254137252445382</v>
      </c>
      <c r="J1250" s="1" cm="1">
        <f t="array" ref="J1250">SUMPRODUCT(("T_C-ICEDSLEXT"=[2]OUT_TransportEnergyCons!$A$3:$A$1000)*1,("var_fout"=[2]OUT_TransportEnergyCons!$B$3:$B$1000)*1,ISNUMBER(SEARCH("TPCAR",[2]OUT_TransportEnergyCons!$C$3:$C$1000))*1,[2]OUT_TransportEnergyCons!H$3:H$1000)</f>
        <v>0</v>
      </c>
      <c r="K1250" s="1" cm="1">
        <f t="array" ref="K1250">SUMPRODUCT(("T_C-ICEDSLEXT"=[2]OUT_TransportEnergyCons!$A$3:$A$1000)*1,("var_fout"=[2]OUT_TransportEnergyCons!$B$3:$B$1000)*1,ISNUMBER(SEARCH("TPCAR",[2]OUT_TransportEnergyCons!$C$3:$C$1000))*1,[2]OUT_TransportEnergyCons!I$3:I$1000)</f>
        <v>0</v>
      </c>
      <c r="L1250" s="1" cm="1">
        <f t="array" ref="L1250">SUMPRODUCT(("T_C-ICEDSLEXT"=[2]OUT_TransportEnergyCons!$A$3:$A$1000)*1,("var_fout"=[2]OUT_TransportEnergyCons!$B$3:$B$1000)*1,ISNUMBER(SEARCH("TPCAR",[2]OUT_TransportEnergyCons!$C$3:$C$1000))*1,[2]OUT_TransportEnergyCons!J$3:J$1000)</f>
        <v>0</v>
      </c>
      <c r="N1250" s="1"/>
    </row>
    <row r="1251" spans="2:14" x14ac:dyDescent="0.35">
      <c r="B1251" s="5" t="str">
        <f t="shared" si="1323"/>
        <v>SPS1</v>
      </c>
      <c r="C1251" s="5" t="str">
        <f t="shared" si="1324"/>
        <v>CH</v>
      </c>
      <c r="D1251" t="s">
        <v>1168</v>
      </c>
      <c r="E1251" t="str">
        <f t="shared" si="1322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3.8628922420706588E-3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1.670728459130252E-2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1.7952640075081051E-2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1.7125115728144031E-2</v>
      </c>
      <c r="J1251" s="1" cm="1">
        <f t="array" ref="J1251">SUMPRODUCT(("T_C-ICE-DSL-S1"=[2]OUT_TransportEnergyCons!$A$3:$A$1000)*1,("var_fout"=[2]OUT_TransportEnergyCons!$B$3:$B$1000)*1,ISNUMBER(SEARCH("TPCAR",[2]OUT_TransportEnergyCons!$C$3:$C$1000))*1,[2]OUT_TransportEnergyCons!H$3:H$1000)</f>
        <v>4.9189855556324379E-4</v>
      </c>
      <c r="K1251" s="1" cm="1">
        <f t="array" ref="K1251">SUMPRODUCT(("T_C-ICE-DSL-S1"=[2]OUT_TransportEnergyCons!$A$3:$A$1000)*1,("var_fout"=[2]OUT_TransportEnergyCons!$B$3:$B$1000)*1,ISNUMBER(SEARCH("TPCAR",[2]OUT_TransportEnergyCons!$C$3:$C$1000))*1,[2]OUT_TransportEnergyCons!I$3:I$1000)</f>
        <v>6.8539305506476456E-5</v>
      </c>
      <c r="L1251" s="1" cm="1">
        <f t="array" ref="L1251">SUMPRODUCT(("T_C-ICE-DSL-S1"=[2]OUT_TransportEnergyCons!$A$3:$A$1000)*1,("var_fout"=[2]OUT_TransportEnergyCons!$B$3:$B$1000)*1,ISNUMBER(SEARCH("TPCAR",[2]OUT_TransportEnergyCons!$C$3:$C$1000))*1,[2]OUT_TransportEnergyCons!J$3:J$1000)</f>
        <v>0</v>
      </c>
      <c r="N1251" s="1"/>
    </row>
    <row r="1252" spans="2:14" x14ac:dyDescent="0.35">
      <c r="B1252" s="5" t="str">
        <f t="shared" si="1323"/>
        <v>SPS1</v>
      </c>
      <c r="C1252" s="5" t="str">
        <f t="shared" si="1324"/>
        <v>CH</v>
      </c>
      <c r="D1252" t="s">
        <v>1169</v>
      </c>
      <c r="E1252" t="str">
        <f t="shared" si="1322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0.65903748475449886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0.90748083429040671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0.80219708408725143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0.64706115004486575</v>
      </c>
      <c r="J1252" s="1" cm="1">
        <f t="array" ref="J1252">SUMPRODUCT(("T_C-ICE-DSL-S2"=[2]OUT_TransportEnergyCons!$A$3:$A$1000)*1,("var_fout"=[2]OUT_TransportEnergyCons!$B$3:$B$1000)*1,ISNUMBER(SEARCH("TPCAR",[2]OUT_TransportEnergyCons!$C$3:$C$1000))*1,[2]OUT_TransportEnergyCons!H$3:H$1000)</f>
        <v>1.7260042393596749E-2</v>
      </c>
      <c r="K1252" s="1" cm="1">
        <f t="array" ref="K1252">SUMPRODUCT(("T_C-ICE-DSL-S2"=[2]OUT_TransportEnergyCons!$A$3:$A$1000)*1,("var_fout"=[2]OUT_TransportEnergyCons!$B$3:$B$1000)*1,ISNUMBER(SEARCH("TPCAR",[2]OUT_TransportEnergyCons!$C$3:$C$1000))*1,[2]OUT_TransportEnergyCons!I$3:I$1000)</f>
        <v>5.0792902664058989E-5</v>
      </c>
      <c r="L1252" s="1" cm="1">
        <f t="array" ref="L1252">SUMPRODUCT(("T_C-ICE-DSL-S2"=[2]OUT_TransportEnergyCons!$A$3:$A$1000)*1,("var_fout"=[2]OUT_TransportEnergyCons!$B$3:$B$1000)*1,ISNUMBER(SEARCH("TPCAR",[2]OUT_TransportEnergyCons!$C$3:$C$1000))*1,[2]OUT_TransportEnergyCons!J$3:J$1000)</f>
        <v>0</v>
      </c>
      <c r="N1252" s="1"/>
    </row>
    <row r="1253" spans="2:14" x14ac:dyDescent="0.35">
      <c r="B1253" s="5" t="str">
        <f t="shared" si="1323"/>
        <v>SPS1</v>
      </c>
      <c r="C1253" s="5" t="str">
        <f t="shared" si="1324"/>
        <v>CH</v>
      </c>
      <c r="D1253" t="s">
        <v>1170</v>
      </c>
      <c r="E1253" t="str">
        <f t="shared" si="1322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2.1530216980394234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2.8389965663152728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2.8107010649579305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2.186212677109538</v>
      </c>
      <c r="J1253" s="1" cm="1">
        <f t="array" ref="J1253">SUMPRODUCT(("T_C-ICE-DSL-S3"=[2]OUT_TransportEnergyCons!$A$3:$A$1000)*1,("var_fout"=[2]OUT_TransportEnergyCons!$B$3:$B$1000)*1,ISNUMBER(SEARCH("TPCAR",[2]OUT_TransportEnergyCons!$C$3:$C$1000))*1,[2]OUT_TransportEnergyCons!H$3:H$1000)</f>
        <v>8.1664408796590635E-2</v>
      </c>
      <c r="K1253" s="1" cm="1">
        <f t="array" ref="K1253">SUMPRODUCT(("T_C-ICE-DSL-S3"=[2]OUT_TransportEnergyCons!$A$3:$A$1000)*1,("var_fout"=[2]OUT_TransportEnergyCons!$B$3:$B$1000)*1,ISNUMBER(SEARCH("TPCAR",[2]OUT_TransportEnergyCons!$C$3:$C$1000))*1,[2]OUT_TransportEnergyCons!I$3:I$1000)</f>
        <v>4.1698307821740163E-5</v>
      </c>
      <c r="L1253" s="1" cm="1">
        <f t="array" ref="L1253">SUMPRODUCT(("T_C-ICE-DSL-S3"=[2]OUT_TransportEnergyCons!$A$3:$A$1000)*1,("var_fout"=[2]OUT_TransportEnergyCons!$B$3:$B$1000)*1,ISNUMBER(SEARCH("TPCAR",[2]OUT_TransportEnergyCons!$C$3:$C$1000))*1,[2]OUT_TransportEnergyCons!J$3:J$1000)</f>
        <v>0</v>
      </c>
      <c r="N1253" s="1"/>
    </row>
    <row r="1254" spans="2:14" x14ac:dyDescent="0.35">
      <c r="B1254" s="5" t="str">
        <f t="shared" si="1323"/>
        <v>SPS1</v>
      </c>
      <c r="C1254" s="5" t="str">
        <f t="shared" si="1324"/>
        <v>CH</v>
      </c>
      <c r="D1254" t="s">
        <v>1171</v>
      </c>
      <c r="E1254" t="str">
        <f t="shared" si="1322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0.89923816076204688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1.0071737896564095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0.98757858935679066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0.72518239330981704</v>
      </c>
      <c r="J1254" s="1" cm="1">
        <f t="array" ref="J1254">SUMPRODUCT(("T_C-ICE-DSL-S4"=[2]OUT_TransportEnergyCons!$A$3:$A$1000)*1,("var_fout"=[2]OUT_TransportEnergyCons!$B$3:$B$1000)*1,ISNUMBER(SEARCH("TPCAR",[2]OUT_TransportEnergyCons!$C$3:$C$1000))*1,[2]OUT_TransportEnergyCons!H$3:H$1000)</f>
        <v>3.0216584791575126E-2</v>
      </c>
      <c r="K1254" s="1" cm="1">
        <f t="array" ref="K1254">SUMPRODUCT(("T_C-ICE-DSL-S4"=[2]OUT_TransportEnergyCons!$A$3:$A$1000)*1,("var_fout"=[2]OUT_TransportEnergyCons!$B$3:$B$1000)*1,ISNUMBER(SEARCH("TPCAR",[2]OUT_TransportEnergyCons!$C$3:$C$1000))*1,[2]OUT_TransportEnergyCons!I$3:I$1000)</f>
        <v>2.6350667295702554E-5</v>
      </c>
      <c r="L1254" s="1" cm="1">
        <f t="array" ref="L1254">SUMPRODUCT(("T_C-ICE-DSL-S4"=[2]OUT_TransportEnergyCons!$A$3:$A$1000)*1,("var_fout"=[2]OUT_TransportEnergyCons!$B$3:$B$1000)*1,ISNUMBER(SEARCH("TPCAR",[2]OUT_TransportEnergyCons!$C$3:$C$1000))*1,[2]OUT_TransportEnergyCons!J$3:J$1000)</f>
        <v>0</v>
      </c>
      <c r="N1254" s="1"/>
    </row>
    <row r="1255" spans="2:14" x14ac:dyDescent="0.35">
      <c r="B1255" s="5" t="str">
        <f t="shared" si="1323"/>
        <v>SPS1</v>
      </c>
      <c r="C1255" s="5" t="str">
        <f t="shared" si="1324"/>
        <v>CH</v>
      </c>
      <c r="D1255" t="s">
        <v>1172</v>
      </c>
      <c r="E1255" t="str">
        <f t="shared" si="1322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2.3980204899592336E-3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4.5210762304691357E-3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6.4430916944571218E-3</v>
      </c>
      <c r="J1255" s="1" cm="1">
        <f t="array" ref="J1255">SUMPRODUCT(("T_C-MHY-DSL-S1"=[2]OUT_TransportEnergyCons!$A$3:$A$1000)*1,("var_fout"=[2]OUT_TransportEnergyCons!$B$3:$B$1000)*1,ISNUMBER(SEARCH("TPCAR",[2]OUT_TransportEnergyCons!$C$3:$C$1000))*1,[2]OUT_TransportEnergyCons!H$3:H$1000)</f>
        <v>2.028098602025329E-4</v>
      </c>
      <c r="K1255" s="1" cm="1">
        <f t="array" ref="K1255">SUMPRODUCT(("T_C-MHY-DSL-S1"=[2]OUT_TransportEnergyCons!$A$3:$A$1000)*1,("var_fout"=[2]OUT_TransportEnergyCons!$B$3:$B$1000)*1,ISNUMBER(SEARCH("TPCAR",[2]OUT_TransportEnergyCons!$C$3:$C$1000))*1,[2]OUT_TransportEnergyCons!I$3:I$1000)</f>
        <v>6.0975945610198778E-5</v>
      </c>
      <c r="L1255" s="1" cm="1">
        <f t="array" ref="L1255">SUMPRODUCT(("T_C-MHY-DSL-S1"=[2]OUT_TransportEnergyCons!$A$3:$A$1000)*1,("var_fout"=[2]OUT_TransportEnergyCons!$B$3:$B$1000)*1,ISNUMBER(SEARCH("TPCAR",[2]OUT_TransportEnergyCons!$C$3:$C$1000))*1,[2]OUT_TransportEnergyCons!J$3:J$1000)</f>
        <v>0</v>
      </c>
      <c r="N1255" s="1"/>
    </row>
    <row r="1256" spans="2:14" x14ac:dyDescent="0.35">
      <c r="B1256" s="5" t="str">
        <f t="shared" si="1323"/>
        <v>SPS1</v>
      </c>
      <c r="C1256" s="5" t="str">
        <f t="shared" si="1324"/>
        <v>CH</v>
      </c>
      <c r="D1256" t="s">
        <v>1173</v>
      </c>
      <c r="E1256" t="str">
        <f t="shared" si="1322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1.8282156736666552E-3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4.9075163393193892E-3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6.5452983153249707E-3</v>
      </c>
      <c r="J1256" s="1" cm="1">
        <f t="array" ref="J1256">SUMPRODUCT(("T_C-MHY-DSL-S2"=[2]OUT_TransportEnergyCons!$A$3:$A$1000)*1,("var_fout"=[2]OUT_TransportEnergyCons!$B$3:$B$1000)*1,ISNUMBER(SEARCH("TPCAR",[2]OUT_TransportEnergyCons!$C$3:$C$1000))*1,[2]OUT_TransportEnergyCons!H$3:H$1000)</f>
        <v>1.6491854869170252E-4</v>
      </c>
      <c r="K1256" s="1" cm="1">
        <f t="array" ref="K1256">SUMPRODUCT(("T_C-MHY-DSL-S2"=[2]OUT_TransportEnergyCons!$A$3:$A$1000)*1,("var_fout"=[2]OUT_TransportEnergyCons!$B$3:$B$1000)*1,ISNUMBER(SEARCH("TPCAR",[2]OUT_TransportEnergyCons!$C$3:$C$1000))*1,[2]OUT_TransportEnergyCons!I$3:I$1000)</f>
        <v>4.4575983614858928E-5</v>
      </c>
      <c r="L1256" s="1" cm="1">
        <f t="array" ref="L1256">SUMPRODUCT(("T_C-MHY-DSL-S2"=[2]OUT_TransportEnergyCons!$A$3:$A$1000)*1,("var_fout"=[2]OUT_TransportEnergyCons!$B$3:$B$1000)*1,ISNUMBER(SEARCH("TPCAR",[2]OUT_TransportEnergyCons!$C$3:$C$1000))*1,[2]OUT_TransportEnergyCons!J$3:J$1000)</f>
        <v>0</v>
      </c>
      <c r="N1256" s="1"/>
    </row>
    <row r="1257" spans="2:14" x14ac:dyDescent="0.35">
      <c r="B1257" s="5" t="str">
        <f t="shared" si="1323"/>
        <v>SPS1</v>
      </c>
      <c r="C1257" s="5" t="str">
        <f t="shared" si="1324"/>
        <v>CH</v>
      </c>
      <c r="D1257" t="s">
        <v>1174</v>
      </c>
      <c r="E1257" t="str">
        <f t="shared" si="1322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2.1319158746760086E-3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5.2703143471622719E-3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6.4650101546145505E-3</v>
      </c>
      <c r="J1257" s="1" cm="1">
        <f t="array" ref="J1257">SUMPRODUCT(("T_C-MHY-DSL-S3"=[2]OUT_TransportEnergyCons!$A$3:$A$1000)*1,("var_fout"=[2]OUT_TransportEnergyCons!$B$3:$B$1000)*1,ISNUMBER(SEARCH("TPCAR",[2]OUT_TransportEnergyCons!$C$3:$C$1000))*1,[2]OUT_TransportEnergyCons!H$3:H$1000)</f>
        <v>1.5774580260275015E-4</v>
      </c>
      <c r="K1257" s="1" cm="1">
        <f t="array" ref="K1257">SUMPRODUCT(("T_C-MHY-DSL-S3"=[2]OUT_TransportEnergyCons!$A$3:$A$1000)*1,("var_fout"=[2]OUT_TransportEnergyCons!$B$3:$B$1000)*1,ISNUMBER(SEARCH("TPCAR",[2]OUT_TransportEnergyCons!$C$3:$C$1000))*1,[2]OUT_TransportEnergyCons!I$3:I$1000)</f>
        <v>4.009104419409947E-5</v>
      </c>
      <c r="L1257" s="1" cm="1">
        <f t="array" ref="L1257">SUMPRODUCT(("T_C-MHY-DSL-S3"=[2]OUT_TransportEnergyCons!$A$3:$A$1000)*1,("var_fout"=[2]OUT_TransportEnergyCons!$B$3:$B$1000)*1,ISNUMBER(SEARCH("TPCAR",[2]OUT_TransportEnergyCons!$C$3:$C$1000))*1,[2]OUT_TransportEnergyCons!J$3:J$1000)</f>
        <v>0</v>
      </c>
      <c r="N1257" s="1"/>
    </row>
    <row r="1258" spans="2:14" x14ac:dyDescent="0.35">
      <c r="B1258" s="5" t="str">
        <f t="shared" si="1323"/>
        <v>SPS1</v>
      </c>
      <c r="C1258" s="5" t="str">
        <f t="shared" si="1324"/>
        <v>CH</v>
      </c>
      <c r="D1258" t="s">
        <v>1175</v>
      </c>
      <c r="E1258" t="str">
        <f t="shared" si="1322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1.5872316024544359E-3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3.737431508930016E-3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4.6453621391426836E-3</v>
      </c>
      <c r="J1258" s="1" cm="1">
        <f t="array" ref="J1258">SUMPRODUCT(("T_C-MHY-DSL-S4"=[2]OUT_TransportEnergyCons!$A$3:$A$1000)*1,("var_fout"=[2]OUT_TransportEnergyCons!$B$3:$B$1000)*1,ISNUMBER(SEARCH("TPCAR",[2]OUT_TransportEnergyCons!$C$3:$C$1000))*1,[2]OUT_TransportEnergyCons!H$3:H$1000)</f>
        <v>1.0878058463990703E-4</v>
      </c>
      <c r="K1258" s="1" cm="1">
        <f t="array" ref="K1258">SUMPRODUCT(("T_C-MHY-DSL-S4"=[2]OUT_TransportEnergyCons!$A$3:$A$1000)*1,("var_fout"=[2]OUT_TransportEnergyCons!$B$3:$B$1000)*1,ISNUMBER(SEARCH("TPCAR",[2]OUT_TransportEnergyCons!$C$3:$C$1000))*1,[2]OUT_TransportEnergyCons!I$3:I$1000)</f>
        <v>2.839417795651077E-5</v>
      </c>
      <c r="L1258" s="1" cm="1">
        <f t="array" ref="L1258">SUMPRODUCT(("T_C-MHY-DSL-S4"=[2]OUT_TransportEnergyCons!$A$3:$A$1000)*1,("var_fout"=[2]OUT_TransportEnergyCons!$B$3:$B$1000)*1,ISNUMBER(SEARCH("TPCAR",[2]OUT_TransportEnergyCons!$C$3:$C$1000))*1,[2]OUT_TransportEnergyCons!J$3:J$1000)</f>
        <v>0</v>
      </c>
      <c r="N1258" s="1"/>
    </row>
    <row r="1259" spans="2:14" x14ac:dyDescent="0.35">
      <c r="B1259" s="5" t="str">
        <f t="shared" si="1323"/>
        <v>SPS1</v>
      </c>
      <c r="C1259" s="5" t="str">
        <f t="shared" si="1324"/>
        <v>CH</v>
      </c>
      <c r="D1259" t="s">
        <v>1176</v>
      </c>
      <c r="E1259" t="str">
        <f t="shared" si="1322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SUMPRODUCT(("T_C-ICENGAEXT"=[2]OUT_TransportEnergyCons!$A$3:$A$1000)*1,("var_fout"=[2]OUT_TransportEnergyCons!$B$3:$B$1000)*1,ISNUMBER(SEARCH("TPCAR",[2]OUT_TransportEnergyCons!$C$3:$C$1000))*1,[2]OUT_TransportEnergyCons!H$3:H$1000)</f>
        <v>0</v>
      </c>
      <c r="K1259" s="1" cm="1">
        <f t="array" ref="K1259">SUMPRODUCT(("T_C-ICENGAEXT"=[2]OUT_TransportEnergyCons!$A$3:$A$1000)*1,("var_fout"=[2]OUT_TransportEnergyCons!$B$3:$B$1000)*1,ISNUMBER(SEARCH("TPCAR",[2]OUT_TransportEnergyCons!$C$3:$C$1000))*1,[2]OUT_TransportEnergyCons!I$3:I$1000)</f>
        <v>0</v>
      </c>
      <c r="L1259" s="1" cm="1">
        <f t="array" ref="L1259">SUMPRODUCT(("T_C-ICENGAEXT"=[2]OUT_TransportEnergyCons!$A$3:$A$1000)*1,("var_fout"=[2]OUT_TransportEnergyCons!$B$3:$B$1000)*1,ISNUMBER(SEARCH("TPCAR",[2]OUT_TransportEnergyCons!$C$3:$C$1000))*1,[2]OUT_TransportEnergyCons!J$3:J$1000)</f>
        <v>0</v>
      </c>
      <c r="N1259" s="1"/>
    </row>
    <row r="1260" spans="2:14" x14ac:dyDescent="0.35">
      <c r="B1260" s="5" t="str">
        <f t="shared" si="1323"/>
        <v>SPS1</v>
      </c>
      <c r="C1260" s="5" t="str">
        <f t="shared" si="1324"/>
        <v>CH</v>
      </c>
      <c r="D1260" t="s">
        <v>1177</v>
      </c>
      <c r="E1260" t="str">
        <f t="shared" si="1322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2.2290503464519043E-3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2.5046079326976616E-3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2.6217632300642901E-3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1.7179765053750777E-3</v>
      </c>
      <c r="J1260" s="1" cm="1">
        <f t="array" ref="J1260">SUMPRODUCT(("T_C-ICE-NGA-S1"=[2]OUT_TransportEnergyCons!$A$3:$A$1000)*1,("var_fout"=[2]OUT_TransportEnergyCons!$B$3:$B$1000)*1,ISNUMBER(SEARCH("TPCAR",[2]OUT_TransportEnergyCons!$C$3:$C$1000))*1,[2]OUT_TransportEnergyCons!H$3:H$1000)</f>
        <v>2.7103190406356146E-5</v>
      </c>
      <c r="K1260" s="1" cm="1">
        <f t="array" ref="K1260">SUMPRODUCT(("T_C-ICE-NGA-S1"=[2]OUT_TransportEnergyCons!$A$3:$A$1000)*1,("var_fout"=[2]OUT_TransportEnergyCons!$B$3:$B$1000)*1,ISNUMBER(SEARCH("TPCAR",[2]OUT_TransportEnergyCons!$C$3:$C$1000))*1,[2]OUT_TransportEnergyCons!I$3:I$1000)</f>
        <v>1.8710612871769452E-6</v>
      </c>
      <c r="L1260" s="1" cm="1">
        <f t="array" ref="L1260">SUMPRODUCT(("T_C-ICE-NGA-S1"=[2]OUT_TransportEnergyCons!$A$3:$A$1000)*1,("var_fout"=[2]OUT_TransportEnergyCons!$B$3:$B$1000)*1,ISNUMBER(SEARCH("TPCAR",[2]OUT_TransportEnergyCons!$C$3:$C$1000))*1,[2]OUT_TransportEnergyCons!J$3:J$1000)</f>
        <v>0</v>
      </c>
      <c r="N1260" s="1"/>
    </row>
    <row r="1261" spans="2:14" x14ac:dyDescent="0.35">
      <c r="B1261" s="5" t="str">
        <f t="shared" si="1323"/>
        <v>SPS1</v>
      </c>
      <c r="C1261" s="5" t="str">
        <f t="shared" si="1324"/>
        <v>CH</v>
      </c>
      <c r="D1261" t="s">
        <v>1178</v>
      </c>
      <c r="E1261" t="str">
        <f t="shared" si="1322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3.2207778514484517E-2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3.3052267161579239E-2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3.3799698204680866E-2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6.1750877591011666E-3</v>
      </c>
      <c r="J1261" s="1" cm="1">
        <f t="array" ref="J1261">SUMPRODUCT(("T_C-ICE-NGA-S2"=[2]OUT_TransportEnergyCons!$A$3:$A$1000)*1,("var_fout"=[2]OUT_TransportEnergyCons!$B$3:$B$1000)*1,ISNUMBER(SEARCH("TPCAR",[2]OUT_TransportEnergyCons!$C$3:$C$1000))*1,[2]OUT_TransportEnergyCons!H$3:H$1000)</f>
        <v>2.9368234649328143E-5</v>
      </c>
      <c r="K1261" s="1" cm="1">
        <f t="array" ref="K1261">SUMPRODUCT(("T_C-ICE-NGA-S2"=[2]OUT_TransportEnergyCons!$A$3:$A$1000)*1,("var_fout"=[2]OUT_TransportEnergyCons!$B$3:$B$1000)*1,ISNUMBER(SEARCH("TPCAR",[2]OUT_TransportEnergyCons!$C$3:$C$1000))*1,[2]OUT_TransportEnergyCons!I$3:I$1000)</f>
        <v>2.9895549870928683E-6</v>
      </c>
      <c r="L1261" s="1" cm="1">
        <f t="array" ref="L1261">SUMPRODUCT(("T_C-ICE-NGA-S2"=[2]OUT_TransportEnergyCons!$A$3:$A$1000)*1,("var_fout"=[2]OUT_TransportEnergyCons!$B$3:$B$1000)*1,ISNUMBER(SEARCH("TPCAR",[2]OUT_TransportEnergyCons!$C$3:$C$1000))*1,[2]OUT_TransportEnergyCons!J$3:J$1000)</f>
        <v>0</v>
      </c>
      <c r="N1261" s="1"/>
    </row>
    <row r="1262" spans="2:14" x14ac:dyDescent="0.35">
      <c r="B1262" s="5" t="str">
        <f t="shared" si="1323"/>
        <v>SPS1</v>
      </c>
      <c r="C1262" s="5" t="str">
        <f t="shared" si="1324"/>
        <v>CH</v>
      </c>
      <c r="D1262" t="s">
        <v>1179</v>
      </c>
      <c r="E1262" t="str">
        <f t="shared" si="1322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2.2483731975374813E-3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2.8871316350043124E-3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3.8279842977189593E-3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3.5122311713715218E-3</v>
      </c>
      <c r="J1262" s="1" cm="1">
        <f t="array" ref="J1262">SUMPRODUCT(("T_C-ICE-NGA-S3"=[2]OUT_TransportEnergyCons!$A$3:$A$1000)*1,("var_fout"=[2]OUT_TransportEnergyCons!$B$3:$B$1000)*1,ISNUMBER(SEARCH("TPCAR",[2]OUT_TransportEnergyCons!$C$3:$C$1000))*1,[2]OUT_TransportEnergyCons!H$3:H$1000)</f>
        <v>5.3659151265808279E-5</v>
      </c>
      <c r="K1262" s="1" cm="1">
        <f t="array" ref="K1262">SUMPRODUCT(("T_C-ICE-NGA-S3"=[2]OUT_TransportEnergyCons!$A$3:$A$1000)*1,("var_fout"=[2]OUT_TransportEnergyCons!$B$3:$B$1000)*1,ISNUMBER(SEARCH("TPCAR",[2]OUT_TransportEnergyCons!$C$3:$C$1000))*1,[2]OUT_TransportEnergyCons!I$3:I$1000)</f>
        <v>4.3344822026248979E-6</v>
      </c>
      <c r="L1262" s="1" cm="1">
        <f t="array" ref="L1262">SUMPRODUCT(("T_C-ICE-NGA-S3"=[2]OUT_TransportEnergyCons!$A$3:$A$1000)*1,("var_fout"=[2]OUT_TransportEnergyCons!$B$3:$B$1000)*1,ISNUMBER(SEARCH("TPCAR",[2]OUT_TransportEnergyCons!$C$3:$C$1000))*1,[2]OUT_TransportEnergyCons!J$3:J$1000)</f>
        <v>0</v>
      </c>
      <c r="N1262" s="1"/>
    </row>
    <row r="1263" spans="2:14" x14ac:dyDescent="0.35">
      <c r="B1263" s="5" t="str">
        <f t="shared" si="1323"/>
        <v>SPS1</v>
      </c>
      <c r="C1263" s="5" t="str">
        <f t="shared" si="1324"/>
        <v>CH</v>
      </c>
      <c r="D1263" t="s">
        <v>1180</v>
      </c>
      <c r="E1263" t="str">
        <f t="shared" si="1322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3.2513786746818991E-2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3.241706271946581E-2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3.0747016428521508E-2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3.22424118941612E-3</v>
      </c>
      <c r="J1263" s="1" cm="1">
        <f t="array" ref="J1263">SUMPRODUCT(("T_C-ICE-NGA-S4"=[2]OUT_TransportEnergyCons!$A$3:$A$1000)*1,("var_fout"=[2]OUT_TransportEnergyCons!$B$3:$B$1000)*1,ISNUMBER(SEARCH("TPCAR",[2]OUT_TransportEnergyCons!$C$3:$C$1000))*1,[2]OUT_TransportEnergyCons!H$3:H$1000)</f>
        <v>2.8220624458473582E-5</v>
      </c>
      <c r="K1263" s="1" cm="1">
        <f t="array" ref="K1263">SUMPRODUCT(("T_C-ICE-NGA-S4"=[2]OUT_TransportEnergyCons!$A$3:$A$1000)*1,("var_fout"=[2]OUT_TransportEnergyCons!$B$3:$B$1000)*1,ISNUMBER(SEARCH("TPCAR",[2]OUT_TransportEnergyCons!$C$3:$C$1000))*1,[2]OUT_TransportEnergyCons!I$3:I$1000)</f>
        <v>3.2183637368468158E-6</v>
      </c>
      <c r="L1263" s="1" cm="1">
        <f t="array" ref="L1263">SUMPRODUCT(("T_C-ICE-NGA-S4"=[2]OUT_TransportEnergyCons!$A$3:$A$1000)*1,("var_fout"=[2]OUT_TransportEnergyCons!$B$3:$B$1000)*1,ISNUMBER(SEARCH("TPCAR",[2]OUT_TransportEnergyCons!$C$3:$C$1000))*1,[2]OUT_TransportEnergyCons!J$3:J$1000)</f>
        <v>0</v>
      </c>
      <c r="N1263" s="1"/>
    </row>
    <row r="1264" spans="2:14" x14ac:dyDescent="0.35">
      <c r="B1264" s="5" t="str">
        <f t="shared" si="1323"/>
        <v>SPS1</v>
      </c>
      <c r="C1264" s="5" t="str">
        <f t="shared" si="1324"/>
        <v>CH</v>
      </c>
      <c r="D1264" s="2" t="s">
        <v>1130</v>
      </c>
      <c r="E1264" s="2" t="s">
        <v>1229</v>
      </c>
      <c r="F1264" s="21" t="s">
        <v>292</v>
      </c>
      <c r="G1264" s="21" t="s">
        <v>292</v>
      </c>
      <c r="H1264" s="21" t="s">
        <v>292</v>
      </c>
      <c r="I1264" s="21" t="s">
        <v>292</v>
      </c>
      <c r="J1264" s="21" t="s">
        <v>292</v>
      </c>
      <c r="K1264" s="21" t="s">
        <v>292</v>
      </c>
      <c r="L1264" s="21" t="s">
        <v>292</v>
      </c>
      <c r="N1264" s="1"/>
    </row>
    <row r="1265" spans="2:14" x14ac:dyDescent="0.3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325">IFERROR(F1214/F1138,"-")</f>
        <v>0.8895119943136145</v>
      </c>
      <c r="G1265" s="1">
        <f t="shared" si="1325"/>
        <v>0.95694536964701904</v>
      </c>
      <c r="H1265" s="1">
        <f t="shared" si="1325"/>
        <v>1.0580954326471272</v>
      </c>
      <c r="I1265" s="1">
        <f t="shared" si="1325"/>
        <v>1.2266788709806391</v>
      </c>
      <c r="J1265" s="1" t="str">
        <f t="shared" si="1325"/>
        <v>-</v>
      </c>
      <c r="K1265" s="1" t="str">
        <f t="shared" si="1325"/>
        <v>-</v>
      </c>
      <c r="L1265" s="1" t="str">
        <f t="shared" ref="L1265" si="1326">IFERROR(L1214/L1138,"-")</f>
        <v>-</v>
      </c>
      <c r="N1265" s="1"/>
    </row>
    <row r="1266" spans="2:14" x14ac:dyDescent="0.35">
      <c r="B1266" s="5" t="str">
        <f t="shared" ref="B1266:B1314" si="1327">B1265</f>
        <v>SPS1</v>
      </c>
      <c r="C1266" s="5" t="str">
        <f t="shared" ref="C1266:C1314" si="1328">C1265</f>
        <v>CH</v>
      </c>
      <c r="D1266" t="s">
        <v>1182</v>
      </c>
      <c r="E1266" t="str">
        <f t="shared" ref="E1266:E1314" si="1329">E1265</f>
        <v>km/MJ</v>
      </c>
      <c r="F1266" s="1">
        <f t="shared" si="1325"/>
        <v>1.8116719735064504</v>
      </c>
      <c r="G1266" s="1">
        <f t="shared" si="1325"/>
        <v>1.8116719735064535</v>
      </c>
      <c r="H1266" s="1">
        <f t="shared" si="1325"/>
        <v>1.8116719735064479</v>
      </c>
      <c r="I1266" s="1">
        <f t="shared" si="1325"/>
        <v>1.8116719735064502</v>
      </c>
      <c r="J1266" s="1">
        <f t="shared" si="1325"/>
        <v>1.8758792196171248</v>
      </c>
      <c r="K1266" s="1">
        <f t="shared" si="1325"/>
        <v>1.9256707887986242</v>
      </c>
      <c r="L1266" s="1">
        <f t="shared" ref="L1266" si="1330">IFERROR(L1215/L1139,"-")</f>
        <v>2.1132856646162681</v>
      </c>
      <c r="N1266" s="1"/>
    </row>
    <row r="1267" spans="2:14" x14ac:dyDescent="0.35">
      <c r="B1267" s="5" t="str">
        <f t="shared" si="1327"/>
        <v>SPS1</v>
      </c>
      <c r="C1267" s="5" t="str">
        <f t="shared" si="1328"/>
        <v>CH</v>
      </c>
      <c r="D1267" t="s">
        <v>1183</v>
      </c>
      <c r="E1267" t="str">
        <f t="shared" si="1329"/>
        <v>km/MJ</v>
      </c>
      <c r="F1267" s="1">
        <f t="shared" si="1325"/>
        <v>1.4637982671179692</v>
      </c>
      <c r="G1267" s="1">
        <f t="shared" si="1325"/>
        <v>1.4637982671179701</v>
      </c>
      <c r="H1267" s="1">
        <f t="shared" si="1325"/>
        <v>1.463798267117969</v>
      </c>
      <c r="I1267" s="1">
        <f t="shared" si="1325"/>
        <v>1.4637982671179717</v>
      </c>
      <c r="J1267" s="1">
        <f t="shared" si="1325"/>
        <v>1.5190187683398582</v>
      </c>
      <c r="K1267" s="1">
        <f t="shared" si="1325"/>
        <v>1.5558062135390076</v>
      </c>
      <c r="L1267" s="1">
        <f t="shared" ref="L1267" si="1331">IFERROR(L1216/L1140,"-")</f>
        <v>1.7179913890209051</v>
      </c>
      <c r="N1267" s="1"/>
    </row>
    <row r="1268" spans="2:14" x14ac:dyDescent="0.35">
      <c r="B1268" s="5" t="str">
        <f t="shared" si="1327"/>
        <v>SPS1</v>
      </c>
      <c r="C1268" s="5" t="str">
        <f t="shared" si="1328"/>
        <v>CH</v>
      </c>
      <c r="D1268" t="s">
        <v>1184</v>
      </c>
      <c r="E1268" t="str">
        <f t="shared" si="1329"/>
        <v>km/MJ</v>
      </c>
      <c r="F1268" s="1">
        <f t="shared" si="1325"/>
        <v>1.337452725149199</v>
      </c>
      <c r="G1268" s="1">
        <f t="shared" si="1325"/>
        <v>1.3374527251491997</v>
      </c>
      <c r="H1268" s="1">
        <f t="shared" si="1325"/>
        <v>1.3374527251492005</v>
      </c>
      <c r="I1268" s="1">
        <f t="shared" si="1325"/>
        <v>1.3374527251491977</v>
      </c>
      <c r="J1268" s="1">
        <f t="shared" si="1325"/>
        <v>1.39436635311237</v>
      </c>
      <c r="K1268" s="1">
        <f t="shared" si="1325"/>
        <v>1.4749097978682748</v>
      </c>
      <c r="L1268" s="1">
        <f t="shared" ref="L1268" si="1332">IFERROR(L1217/L1141,"-")</f>
        <v>1.5882577240840028</v>
      </c>
      <c r="N1268" s="1"/>
    </row>
    <row r="1269" spans="2:14" x14ac:dyDescent="0.35">
      <c r="B1269" s="5" t="str">
        <f t="shared" si="1327"/>
        <v>SPS1</v>
      </c>
      <c r="C1269" s="5" t="str">
        <f t="shared" si="1328"/>
        <v>CH</v>
      </c>
      <c r="D1269" t="s">
        <v>1185</v>
      </c>
      <c r="E1269" t="str">
        <f t="shared" si="1329"/>
        <v>km/MJ</v>
      </c>
      <c r="F1269" s="1">
        <f t="shared" si="1325"/>
        <v>1.2949729235430789</v>
      </c>
      <c r="G1269" s="1">
        <f t="shared" si="1325"/>
        <v>1.2949729235430805</v>
      </c>
      <c r="H1269" s="1">
        <f t="shared" si="1325"/>
        <v>1.2949729235430818</v>
      </c>
      <c r="I1269" s="1">
        <f t="shared" si="1325"/>
        <v>1.2949729235430818</v>
      </c>
      <c r="J1269" s="1">
        <f t="shared" si="1325"/>
        <v>1.3272029715656446</v>
      </c>
      <c r="K1269" s="1">
        <f t="shared" si="1325"/>
        <v>1.3703785521501102</v>
      </c>
      <c r="L1269" s="1">
        <f t="shared" ref="L1269" si="1333">IFERROR(L1218/L1142,"-")</f>
        <v>1.5269247149811367</v>
      </c>
      <c r="N1269" s="1"/>
    </row>
    <row r="1270" spans="2:14" x14ac:dyDescent="0.35">
      <c r="B1270" s="5" t="str">
        <f t="shared" si="1327"/>
        <v>SPS1</v>
      </c>
      <c r="C1270" s="5" t="str">
        <f t="shared" si="1328"/>
        <v>CH</v>
      </c>
      <c r="D1270" t="s">
        <v>1186</v>
      </c>
      <c r="E1270" t="str">
        <f t="shared" si="1329"/>
        <v>km/MJ</v>
      </c>
      <c r="F1270" s="1">
        <f t="shared" ref="F1270:K1273" si="1334">IFERROR(F1219/SUM(F1143,F1176),"-")</f>
        <v>0.71280661201504836</v>
      </c>
      <c r="G1270" s="1">
        <f t="shared" si="1334"/>
        <v>0.76053648612685576</v>
      </c>
      <c r="H1270" s="1">
        <f t="shared" si="1334"/>
        <v>0.77217007824362605</v>
      </c>
      <c r="I1270" s="1">
        <f t="shared" si="1334"/>
        <v>0.81248234839852174</v>
      </c>
      <c r="J1270" s="1">
        <f t="shared" si="1334"/>
        <v>0.84535626606360237</v>
      </c>
      <c r="K1270" s="1">
        <f t="shared" si="1334"/>
        <v>0.9427795406949333</v>
      </c>
      <c r="L1270" s="1">
        <f t="shared" ref="L1270" si="1335">IFERROR(L1219/SUM(L1143,L1176),"-")</f>
        <v>1.0887016405584395</v>
      </c>
      <c r="N1270" s="1"/>
    </row>
    <row r="1271" spans="2:14" x14ac:dyDescent="0.35">
      <c r="B1271" s="5" t="str">
        <f t="shared" si="1327"/>
        <v>SPS1</v>
      </c>
      <c r="C1271" s="5" t="str">
        <f t="shared" si="1328"/>
        <v>CH</v>
      </c>
      <c r="D1271" t="s">
        <v>1187</v>
      </c>
      <c r="E1271" t="str">
        <f t="shared" si="1329"/>
        <v>km/MJ</v>
      </c>
      <c r="F1271" s="1">
        <f t="shared" si="1334"/>
        <v>0.62829134786923002</v>
      </c>
      <c r="G1271" s="1">
        <f t="shared" si="1334"/>
        <v>0.63285052793487406</v>
      </c>
      <c r="H1271" s="1">
        <f t="shared" si="1334"/>
        <v>0.64423193779497667</v>
      </c>
      <c r="I1271" s="1">
        <f t="shared" si="1334"/>
        <v>0.6837674084168156</v>
      </c>
      <c r="J1271" s="1">
        <f t="shared" si="1334"/>
        <v>0.71805386649037295</v>
      </c>
      <c r="K1271" s="1">
        <f t="shared" si="1334"/>
        <v>0.81881374549586605</v>
      </c>
      <c r="L1271" s="1">
        <f t="shared" ref="L1271" si="1336">IFERROR(L1220/SUM(L1144,L1177),"-")</f>
        <v>1.0084450113663384</v>
      </c>
      <c r="N1271" s="1"/>
    </row>
    <row r="1272" spans="2:14" x14ac:dyDescent="0.35">
      <c r="B1272" s="5" t="str">
        <f t="shared" si="1327"/>
        <v>SPS1</v>
      </c>
      <c r="C1272" s="5" t="str">
        <f t="shared" si="1328"/>
        <v>CH</v>
      </c>
      <c r="D1272" t="s">
        <v>1188</v>
      </c>
      <c r="E1272" t="str">
        <f t="shared" si="1329"/>
        <v>km/MJ</v>
      </c>
      <c r="F1272" s="1">
        <f t="shared" si="1334"/>
        <v>0.54553641804355146</v>
      </c>
      <c r="G1272" s="1">
        <f t="shared" si="1334"/>
        <v>0.60412732111652168</v>
      </c>
      <c r="H1272" s="1">
        <f t="shared" si="1334"/>
        <v>0.61797639651612257</v>
      </c>
      <c r="I1272" s="1">
        <f t="shared" si="1334"/>
        <v>0.66533434088573995</v>
      </c>
      <c r="J1272" s="1">
        <f t="shared" si="1334"/>
        <v>0.70819699570374151</v>
      </c>
      <c r="K1272" s="1">
        <f t="shared" si="1334"/>
        <v>0.82525649616719776</v>
      </c>
      <c r="L1272" s="1">
        <f t="shared" ref="L1272" si="1337">IFERROR(L1221/SUM(L1145,L1178),"-")</f>
        <v>1.059166462706324</v>
      </c>
      <c r="N1272" s="1"/>
    </row>
    <row r="1273" spans="2:14" x14ac:dyDescent="0.35">
      <c r="B1273" s="5" t="str">
        <f t="shared" si="1327"/>
        <v>SPS1</v>
      </c>
      <c r="C1273" s="5" t="str">
        <f t="shared" si="1328"/>
        <v>CH</v>
      </c>
      <c r="D1273" t="s">
        <v>1189</v>
      </c>
      <c r="E1273" t="str">
        <f t="shared" si="1329"/>
        <v>km/MJ</v>
      </c>
      <c r="F1273" s="1">
        <f t="shared" si="1334"/>
        <v>0.51975568473665934</v>
      </c>
      <c r="G1273" s="1">
        <f t="shared" si="1334"/>
        <v>0.57148667970663569</v>
      </c>
      <c r="H1273" s="1">
        <f t="shared" si="1334"/>
        <v>0.58354737620398478</v>
      </c>
      <c r="I1273" s="1">
        <f t="shared" si="1334"/>
        <v>0.62540859997545784</v>
      </c>
      <c r="J1273" s="1">
        <f t="shared" si="1334"/>
        <v>0.66162554886438074</v>
      </c>
      <c r="K1273" s="1">
        <f t="shared" si="1334"/>
        <v>0.75475460078997536</v>
      </c>
      <c r="L1273" s="1">
        <f t="shared" ref="L1273" si="1338">IFERROR(L1222/SUM(L1146,L1179),"-")</f>
        <v>0.92312422126073501</v>
      </c>
      <c r="N1273" s="1"/>
    </row>
    <row r="1274" spans="2:14" x14ac:dyDescent="0.35">
      <c r="B1274" s="5" t="str">
        <f t="shared" si="1327"/>
        <v>SPS1</v>
      </c>
      <c r="C1274" s="5" t="str">
        <f t="shared" si="1328"/>
        <v>CH</v>
      </c>
      <c r="D1274" t="s">
        <v>1190</v>
      </c>
      <c r="E1274" t="str">
        <f t="shared" si="1329"/>
        <v>km/MJ</v>
      </c>
      <c r="F1274" s="1">
        <f t="shared" ref="F1274:K1277" si="1339">IFERROR(F1223/SUM(F1147,F1199),"-")</f>
        <v>0.7284056958255688</v>
      </c>
      <c r="G1274" s="1">
        <f t="shared" si="1339"/>
        <v>0.76797063330035009</v>
      </c>
      <c r="H1274" s="1">
        <f t="shared" si="1339"/>
        <v>0.78118670989850647</v>
      </c>
      <c r="I1274" s="1">
        <f t="shared" si="1339"/>
        <v>0.82627332767278949</v>
      </c>
      <c r="J1274" s="1">
        <f t="shared" si="1339"/>
        <v>0.85953544688469952</v>
      </c>
      <c r="K1274" s="1">
        <f t="shared" si="1339"/>
        <v>0.95694658048992221</v>
      </c>
      <c r="L1274" s="1">
        <f t="shared" ref="L1274" si="1340">IFERROR(L1223/SUM(L1147,L1199),"-")</f>
        <v>1.0943286861816766</v>
      </c>
      <c r="N1274" s="1"/>
    </row>
    <row r="1275" spans="2:14" x14ac:dyDescent="0.35">
      <c r="B1275" s="5" t="str">
        <f t="shared" si="1327"/>
        <v>SPS1</v>
      </c>
      <c r="C1275" s="5" t="str">
        <f t="shared" si="1328"/>
        <v>CH</v>
      </c>
      <c r="D1275" t="s">
        <v>1191</v>
      </c>
      <c r="E1275" t="str">
        <f t="shared" si="1329"/>
        <v>km/MJ</v>
      </c>
      <c r="F1275" s="1">
        <f t="shared" si="1339"/>
        <v>0.15630346184360736</v>
      </c>
      <c r="G1275" s="1">
        <f t="shared" si="1339"/>
        <v>0.6375566704110105</v>
      </c>
      <c r="H1275" s="1">
        <f t="shared" si="1339"/>
        <v>0.6521991785575062</v>
      </c>
      <c r="I1275" s="1">
        <f t="shared" si="1339"/>
        <v>0.69306091339843867</v>
      </c>
      <c r="J1275" s="1">
        <f t="shared" si="1339"/>
        <v>0.72725107130866129</v>
      </c>
      <c r="K1275" s="1">
        <f t="shared" si="1339"/>
        <v>0.82922360403976314</v>
      </c>
      <c r="L1275" s="1">
        <f t="shared" ref="L1275" si="1341">IFERROR(L1224/SUM(L1148,L1200),"-")</f>
        <v>1.0140883469347439</v>
      </c>
      <c r="N1275" s="1"/>
    </row>
    <row r="1276" spans="2:14" x14ac:dyDescent="0.35">
      <c r="B1276" s="5" t="str">
        <f t="shared" si="1327"/>
        <v>SPS1</v>
      </c>
      <c r="C1276" s="5" t="str">
        <f t="shared" si="1328"/>
        <v>CH</v>
      </c>
      <c r="D1276" t="s">
        <v>1192</v>
      </c>
      <c r="E1276" t="str">
        <f t="shared" si="1329"/>
        <v>km/MJ</v>
      </c>
      <c r="F1276" s="1">
        <f t="shared" si="1339"/>
        <v>0.55324667898032309</v>
      </c>
      <c r="G1276" s="1">
        <f t="shared" si="1339"/>
        <v>0.6122139346992348</v>
      </c>
      <c r="H1276" s="1">
        <f t="shared" si="1339"/>
        <v>0.62627032546011163</v>
      </c>
      <c r="I1276" s="1">
        <f t="shared" si="1339"/>
        <v>0.67374687868855332</v>
      </c>
      <c r="J1276" s="1">
        <f t="shared" si="1339"/>
        <v>0.71678006427542229</v>
      </c>
      <c r="K1276" s="1">
        <f t="shared" si="1339"/>
        <v>0.83393152547787475</v>
      </c>
      <c r="L1276" s="1">
        <f t="shared" ref="L1276" si="1342">IFERROR(L1225/SUM(L1149,L1201),"-")</f>
        <v>1.0675482381540222</v>
      </c>
      <c r="N1276" s="1"/>
    </row>
    <row r="1277" spans="2:14" x14ac:dyDescent="0.35">
      <c r="B1277" s="5" t="str">
        <f t="shared" si="1327"/>
        <v>SPS1</v>
      </c>
      <c r="C1277" s="5" t="str">
        <f t="shared" si="1328"/>
        <v>CH</v>
      </c>
      <c r="D1277" t="s">
        <v>1193</v>
      </c>
      <c r="E1277" t="str">
        <f t="shared" si="1329"/>
        <v>km/MJ</v>
      </c>
      <c r="F1277" s="1">
        <f t="shared" si="1339"/>
        <v>0.52695360240665912</v>
      </c>
      <c r="G1277" s="1">
        <f t="shared" si="1339"/>
        <v>0.57891994111810907</v>
      </c>
      <c r="H1277" s="1">
        <f t="shared" si="1339"/>
        <v>0.59018486863272035</v>
      </c>
      <c r="I1277" s="1">
        <f t="shared" si="1339"/>
        <v>0.63293536827314922</v>
      </c>
      <c r="J1277" s="1">
        <f t="shared" si="1339"/>
        <v>0.66781203997518224</v>
      </c>
      <c r="K1277" s="1">
        <f t="shared" si="1339"/>
        <v>0.76180360140982017</v>
      </c>
      <c r="L1277" s="1">
        <f t="shared" ref="L1277" si="1343">IFERROR(L1226/SUM(L1150,L1202),"-")</f>
        <v>0.91972439398291028</v>
      </c>
      <c r="N1277" s="1"/>
    </row>
    <row r="1278" spans="2:14" x14ac:dyDescent="0.35">
      <c r="B1278" s="5" t="str">
        <f t="shared" si="1327"/>
        <v>SPS1</v>
      </c>
      <c r="C1278" s="5" t="str">
        <f t="shared" si="1328"/>
        <v>CH</v>
      </c>
      <c r="D1278" t="s">
        <v>1194</v>
      </c>
      <c r="E1278" t="str">
        <f t="shared" si="1329"/>
        <v>km/MJ</v>
      </c>
      <c r="F1278" s="1" t="str">
        <f>IFERROR(F1227/F1153,"-")</f>
        <v>-</v>
      </c>
      <c r="G1278" s="1">
        <f t="shared" ref="G1278:K1278" si="1344">IFERROR(G1227/G1153,"-")</f>
        <v>1.0965696656165198</v>
      </c>
      <c r="H1278" s="1">
        <f t="shared" si="1344"/>
        <v>1.0965696656165205</v>
      </c>
      <c r="I1278" s="1">
        <f t="shared" si="1344"/>
        <v>1.0965696656165196</v>
      </c>
      <c r="J1278" s="1">
        <f t="shared" si="1344"/>
        <v>1.1222479858641954</v>
      </c>
      <c r="K1278" s="1">
        <f t="shared" si="1344"/>
        <v>1.2002296107664996</v>
      </c>
      <c r="L1278" s="1">
        <f t="shared" ref="L1278" si="1345">IFERROR(L1227/L1153,"-")</f>
        <v>1.3176731085424682</v>
      </c>
      <c r="N1278" s="1"/>
    </row>
    <row r="1279" spans="2:14" x14ac:dyDescent="0.35">
      <c r="B1279" s="5" t="str">
        <f t="shared" si="1327"/>
        <v>SPS1</v>
      </c>
      <c r="C1279" s="5" t="str">
        <f t="shared" si="1328"/>
        <v>CH</v>
      </c>
      <c r="D1279" t="s">
        <v>1195</v>
      </c>
      <c r="E1279" t="str">
        <f t="shared" si="1329"/>
        <v>km/MJ</v>
      </c>
      <c r="F1279" s="1">
        <f t="shared" ref="F1279:K1279" si="1346">IFERROR(F1228/F1154,"-")</f>
        <v>0.89149519806162214</v>
      </c>
      <c r="G1279" s="1">
        <f t="shared" si="1346"/>
        <v>0.89149519806161936</v>
      </c>
      <c r="H1279" s="1">
        <f t="shared" si="1346"/>
        <v>0.89149519806162214</v>
      </c>
      <c r="I1279" s="1">
        <f t="shared" si="1346"/>
        <v>0.89149519806162114</v>
      </c>
      <c r="J1279" s="1">
        <f t="shared" si="1346"/>
        <v>0.91229921452934581</v>
      </c>
      <c r="K1279" s="1">
        <f t="shared" si="1346"/>
        <v>0.97745220018502887</v>
      </c>
      <c r="L1279" s="1">
        <f t="shared" ref="L1279" si="1347">IFERROR(L1228/L1154,"-")</f>
        <v>1.0823776167333246</v>
      </c>
      <c r="N1279" s="1"/>
    </row>
    <row r="1280" spans="2:14" x14ac:dyDescent="0.35">
      <c r="B1280" s="5" t="str">
        <f t="shared" si="1327"/>
        <v>SPS1</v>
      </c>
      <c r="C1280" s="5" t="str">
        <f t="shared" si="1328"/>
        <v>CH</v>
      </c>
      <c r="D1280" t="s">
        <v>1196</v>
      </c>
      <c r="E1280" t="str">
        <f t="shared" si="1329"/>
        <v>km/MJ</v>
      </c>
      <c r="F1280" s="1">
        <f t="shared" ref="F1280:K1280" si="1348">IFERROR(F1229/F1155,"-")</f>
        <v>0.83000507256490652</v>
      </c>
      <c r="G1280" s="1">
        <f t="shared" si="1348"/>
        <v>0.83000507256490652</v>
      </c>
      <c r="H1280" s="1">
        <f t="shared" si="1348"/>
        <v>0.83000507256490674</v>
      </c>
      <c r="I1280" s="1">
        <f t="shared" si="1348"/>
        <v>0.83000507256490619</v>
      </c>
      <c r="J1280" s="1">
        <f t="shared" si="1348"/>
        <v>0.84440273368344942</v>
      </c>
      <c r="K1280" s="1">
        <f t="shared" si="1348"/>
        <v>0.91047722153882615</v>
      </c>
      <c r="L1280" s="1">
        <f t="shared" ref="L1280" si="1349">IFERROR(L1229/L1155,"-")</f>
        <v>1.0109701233362849</v>
      </c>
      <c r="N1280" s="1"/>
    </row>
    <row r="1281" spans="2:14" x14ac:dyDescent="0.35">
      <c r="B1281" s="5" t="str">
        <f t="shared" si="1327"/>
        <v>SPS1</v>
      </c>
      <c r="C1281" s="5" t="str">
        <f t="shared" si="1328"/>
        <v>CH</v>
      </c>
      <c r="D1281" t="s">
        <v>1197</v>
      </c>
      <c r="E1281" t="str">
        <f t="shared" si="1329"/>
        <v>km/MJ</v>
      </c>
      <c r="F1281" s="1" t="str">
        <f t="shared" ref="F1281:K1281" si="1350">IFERROR(F1230/F1156,"-")</f>
        <v>-</v>
      </c>
      <c r="G1281" s="1">
        <f t="shared" si="1350"/>
        <v>0.83675282096654136</v>
      </c>
      <c r="H1281" s="1">
        <f t="shared" si="1350"/>
        <v>0.83675282096654213</v>
      </c>
      <c r="I1281" s="1">
        <f t="shared" si="1350"/>
        <v>0.83675282096654158</v>
      </c>
      <c r="J1281" s="1">
        <f t="shared" si="1350"/>
        <v>0.8552366508215743</v>
      </c>
      <c r="K1281" s="1">
        <f t="shared" si="1350"/>
        <v>0.91474727021484525</v>
      </c>
      <c r="L1281" s="1">
        <f t="shared" ref="L1281" si="1351">IFERROR(L1230/L1156,"-")</f>
        <v>1.0106267816421792</v>
      </c>
      <c r="N1281" s="1"/>
    </row>
    <row r="1282" spans="2:14" x14ac:dyDescent="0.35">
      <c r="B1282" s="5" t="str">
        <f t="shared" si="1327"/>
        <v>SPS1</v>
      </c>
      <c r="C1282" s="5" t="str">
        <f t="shared" si="1328"/>
        <v>CH</v>
      </c>
      <c r="D1282" t="s">
        <v>1232</v>
      </c>
      <c r="E1282" t="str">
        <f t="shared" si="1329"/>
        <v>km/MJ</v>
      </c>
      <c r="F1282" s="1">
        <f t="shared" ref="F1282:K1295" si="1352">IFERROR(F1231/F1162,"-")</f>
        <v>0.4937953469467829</v>
      </c>
      <c r="G1282" s="1">
        <f t="shared" si="1352"/>
        <v>0.50503220860251363</v>
      </c>
      <c r="H1282" s="1">
        <f t="shared" si="1352"/>
        <v>0.52188750108611037</v>
      </c>
      <c r="I1282" s="1">
        <f t="shared" si="1352"/>
        <v>0.54997965522543657</v>
      </c>
      <c r="J1282" s="1" t="str">
        <f t="shared" si="1352"/>
        <v>-</v>
      </c>
      <c r="K1282" s="1" t="str">
        <f t="shared" si="1352"/>
        <v>-</v>
      </c>
      <c r="L1282" s="1" t="str">
        <f t="shared" ref="L1282" si="1353">IFERROR(L1231/L1162,"-")</f>
        <v>-</v>
      </c>
      <c r="N1282" s="1"/>
    </row>
    <row r="1283" spans="2:14" x14ac:dyDescent="0.35">
      <c r="B1283" s="5" t="str">
        <f t="shared" si="1327"/>
        <v>SPS1</v>
      </c>
      <c r="C1283" s="5" t="str">
        <f t="shared" si="1328"/>
        <v>CH</v>
      </c>
      <c r="D1283" t="s">
        <v>1198</v>
      </c>
      <c r="E1283" t="str">
        <f t="shared" si="1329"/>
        <v>km/MJ</v>
      </c>
      <c r="F1283" s="1">
        <f t="shared" si="1352"/>
        <v>1.1441381774381527</v>
      </c>
      <c r="G1283" s="1">
        <f t="shared" si="1352"/>
        <v>1.2031915949849852</v>
      </c>
      <c r="H1283" s="1">
        <f t="shared" si="1352"/>
        <v>1.194175920431225</v>
      </c>
      <c r="I1283" s="1">
        <f t="shared" si="1352"/>
        <v>1.1967521121017011</v>
      </c>
      <c r="J1283" s="1">
        <f t="shared" si="1352"/>
        <v>1.3086744455374755</v>
      </c>
      <c r="K1283" s="1">
        <f t="shared" si="1352"/>
        <v>0.91846982100316243</v>
      </c>
      <c r="L1283" s="1" t="str">
        <f t="shared" ref="L1283" si="1354">IFERROR(L1232/L1163,"-")</f>
        <v>-</v>
      </c>
      <c r="N1283" s="1"/>
    </row>
    <row r="1284" spans="2:14" x14ac:dyDescent="0.35">
      <c r="B1284" s="5" t="str">
        <f t="shared" si="1327"/>
        <v>SPS1</v>
      </c>
      <c r="C1284" s="5" t="str">
        <f t="shared" si="1328"/>
        <v>CH</v>
      </c>
      <c r="D1284" t="s">
        <v>1199</v>
      </c>
      <c r="E1284" t="str">
        <f t="shared" si="1329"/>
        <v>km/MJ</v>
      </c>
      <c r="F1284" s="1">
        <f t="shared" si="1352"/>
        <v>1.5508736866467998</v>
      </c>
      <c r="G1284" s="1">
        <f t="shared" si="1352"/>
        <v>2.0357158990171547</v>
      </c>
      <c r="H1284" s="1">
        <f t="shared" si="1352"/>
        <v>1.9188931911416438</v>
      </c>
      <c r="I1284" s="1">
        <f t="shared" si="1352"/>
        <v>1.9060714258554157</v>
      </c>
      <c r="J1284" s="1">
        <f t="shared" si="1352"/>
        <v>1.8951956242709478</v>
      </c>
      <c r="K1284" s="1">
        <f t="shared" si="1352"/>
        <v>1.8566141602497137</v>
      </c>
      <c r="L1284" s="1" t="str">
        <f t="shared" ref="L1284" si="1355">IFERROR(L1233/L1164,"-")</f>
        <v>-</v>
      </c>
      <c r="N1284" s="1"/>
    </row>
    <row r="1285" spans="2:14" x14ac:dyDescent="0.35">
      <c r="B1285" s="5" t="str">
        <f t="shared" si="1327"/>
        <v>SPS1</v>
      </c>
      <c r="C1285" s="5" t="str">
        <f t="shared" si="1328"/>
        <v>CH</v>
      </c>
      <c r="D1285" t="s">
        <v>1200</v>
      </c>
      <c r="E1285" t="str">
        <f t="shared" si="1329"/>
        <v>km/MJ</v>
      </c>
      <c r="F1285" s="1">
        <f t="shared" si="1352"/>
        <v>1.8877624821563419</v>
      </c>
      <c r="G1285" s="1">
        <f t="shared" si="1352"/>
        <v>2.4908924136009709</v>
      </c>
      <c r="H1285" s="1">
        <f t="shared" si="1352"/>
        <v>2.4848666082557855</v>
      </c>
      <c r="I1285" s="1">
        <f t="shared" si="1352"/>
        <v>2.4941969647471804</v>
      </c>
      <c r="J1285" s="1">
        <f t="shared" si="1352"/>
        <v>2.5484887607823508</v>
      </c>
      <c r="K1285" s="1">
        <f t="shared" si="1352"/>
        <v>1.0392092457704847</v>
      </c>
      <c r="L1285" s="1" t="str">
        <f t="shared" ref="L1285" si="1356">IFERROR(L1234/L1165,"-")</f>
        <v>-</v>
      </c>
      <c r="N1285" s="1"/>
    </row>
    <row r="1286" spans="2:14" x14ac:dyDescent="0.35">
      <c r="B1286" s="5" t="str">
        <f t="shared" si="1327"/>
        <v>SPS1</v>
      </c>
      <c r="C1286" s="5" t="str">
        <f t="shared" si="1328"/>
        <v>CH</v>
      </c>
      <c r="D1286" t="s">
        <v>1201</v>
      </c>
      <c r="E1286" t="str">
        <f t="shared" si="1329"/>
        <v>km/MJ</v>
      </c>
      <c r="F1286" s="1">
        <f t="shared" si="1352"/>
        <v>1.1268557158591599</v>
      </c>
      <c r="G1286" s="1">
        <f t="shared" si="1352"/>
        <v>1.35724962649442</v>
      </c>
      <c r="H1286" s="1">
        <f t="shared" si="1352"/>
        <v>1.3532326318447518</v>
      </c>
      <c r="I1286" s="1">
        <f t="shared" si="1352"/>
        <v>1.3386504040750249</v>
      </c>
      <c r="J1286" s="1">
        <f t="shared" si="1352"/>
        <v>1.6005574323798213</v>
      </c>
      <c r="K1286" s="1">
        <f t="shared" si="1352"/>
        <v>0.82739320491978297</v>
      </c>
      <c r="L1286" s="1" t="str">
        <f t="shared" ref="L1286" si="1357">IFERROR(L1235/L1166,"-")</f>
        <v>-</v>
      </c>
      <c r="N1286" s="1"/>
    </row>
    <row r="1287" spans="2:14" x14ac:dyDescent="0.35">
      <c r="B1287" s="5" t="str">
        <f t="shared" si="1327"/>
        <v>SPS1</v>
      </c>
      <c r="C1287" s="5" t="str">
        <f t="shared" si="1328"/>
        <v>CH</v>
      </c>
      <c r="D1287" t="s">
        <v>1202</v>
      </c>
      <c r="E1287" t="str">
        <f t="shared" si="1329"/>
        <v>km/MJ</v>
      </c>
      <c r="F1287" s="1">
        <f t="shared" si="1352"/>
        <v>0.28603940550919488</v>
      </c>
      <c r="G1287" s="1">
        <f t="shared" si="1352"/>
        <v>0.29254854993039719</v>
      </c>
      <c r="H1287" s="1">
        <f t="shared" si="1352"/>
        <v>0.30231226656220073</v>
      </c>
      <c r="I1287" s="1">
        <f t="shared" si="1352"/>
        <v>0.3185851276152063</v>
      </c>
      <c r="J1287" s="1" t="str">
        <f t="shared" si="1352"/>
        <v>-</v>
      </c>
      <c r="K1287" s="1" t="str">
        <f t="shared" si="1352"/>
        <v>-</v>
      </c>
      <c r="L1287" s="1" t="str">
        <f t="shared" ref="L1287" si="1358">IFERROR(L1236/L1167,"-")</f>
        <v>-</v>
      </c>
      <c r="N1287" s="1"/>
    </row>
    <row r="1288" spans="2:14" x14ac:dyDescent="0.35">
      <c r="B1288" s="5" t="str">
        <f t="shared" si="1327"/>
        <v>SPS1</v>
      </c>
      <c r="C1288" s="5" t="str">
        <f t="shared" si="1328"/>
        <v>CH</v>
      </c>
      <c r="D1288" t="s">
        <v>1203</v>
      </c>
      <c r="E1288" t="str">
        <f t="shared" si="1329"/>
        <v>km/MJ</v>
      </c>
      <c r="F1288" s="1">
        <f t="shared" si="1352"/>
        <v>0.6821550247620406</v>
      </c>
      <c r="G1288" s="1">
        <f t="shared" si="1352"/>
        <v>0.67129245149886219</v>
      </c>
      <c r="H1288" s="1">
        <f t="shared" si="1352"/>
        <v>0.62173094800250661</v>
      </c>
      <c r="I1288" s="1">
        <f t="shared" si="1352"/>
        <v>0.62130289205994338</v>
      </c>
      <c r="J1288" s="1">
        <f t="shared" si="1352"/>
        <v>0.59937136798826129</v>
      </c>
      <c r="K1288" s="1">
        <f t="shared" si="1352"/>
        <v>0.59901188732637312</v>
      </c>
      <c r="L1288" s="1" t="str">
        <f t="shared" ref="L1288" si="1359">IFERROR(L1237/L1168,"-")</f>
        <v>-</v>
      </c>
      <c r="N1288" s="1"/>
    </row>
    <row r="1289" spans="2:14" x14ac:dyDescent="0.35">
      <c r="B1289" s="5" t="str">
        <f t="shared" si="1327"/>
        <v>SPS1</v>
      </c>
      <c r="C1289" s="5" t="str">
        <f t="shared" si="1328"/>
        <v>CH</v>
      </c>
      <c r="D1289" t="s">
        <v>1204</v>
      </c>
      <c r="E1289" t="str">
        <f t="shared" si="1329"/>
        <v>km/MJ</v>
      </c>
      <c r="F1289" s="1">
        <f t="shared" si="1352"/>
        <v>0.60190800329662242</v>
      </c>
      <c r="G1289" s="1">
        <f t="shared" si="1352"/>
        <v>0.60446661122580303</v>
      </c>
      <c r="H1289" s="1">
        <f t="shared" si="1352"/>
        <v>0.59863564706726036</v>
      </c>
      <c r="I1289" s="1">
        <f t="shared" si="1352"/>
        <v>0.60191682940094027</v>
      </c>
      <c r="J1289" s="1">
        <f t="shared" si="1352"/>
        <v>0.5683762150789905</v>
      </c>
      <c r="K1289" s="1">
        <f t="shared" si="1352"/>
        <v>0.5535185800073088</v>
      </c>
      <c r="L1289" s="1" t="str">
        <f t="shared" ref="L1289" si="1360">IFERROR(L1238/L1169,"-")</f>
        <v>-</v>
      </c>
      <c r="N1289" s="1"/>
    </row>
    <row r="1290" spans="2:14" x14ac:dyDescent="0.35">
      <c r="B1290" s="5" t="str">
        <f t="shared" si="1327"/>
        <v>SPS1</v>
      </c>
      <c r="C1290" s="5" t="str">
        <f t="shared" si="1328"/>
        <v>CH</v>
      </c>
      <c r="D1290" t="s">
        <v>1205</v>
      </c>
      <c r="E1290" t="str">
        <f t="shared" si="1329"/>
        <v>km/MJ</v>
      </c>
      <c r="F1290" s="1">
        <f t="shared" si="1352"/>
        <v>0.51517928415501102</v>
      </c>
      <c r="G1290" s="1">
        <f t="shared" si="1352"/>
        <v>0.51601677440768179</v>
      </c>
      <c r="H1290" s="1">
        <f t="shared" si="1352"/>
        <v>0.51490064657910983</v>
      </c>
      <c r="I1290" s="1">
        <f t="shared" si="1352"/>
        <v>0.51880082198905297</v>
      </c>
      <c r="J1290" s="1">
        <f t="shared" si="1352"/>
        <v>0.49202940687748536</v>
      </c>
      <c r="K1290" s="1">
        <f t="shared" si="1352"/>
        <v>0.4822422584245456</v>
      </c>
      <c r="L1290" s="1" t="str">
        <f t="shared" ref="L1290" si="1361">IFERROR(L1239/L1170,"-")</f>
        <v>-</v>
      </c>
      <c r="N1290" s="1"/>
    </row>
    <row r="1291" spans="2:14" x14ac:dyDescent="0.35">
      <c r="B1291" s="5" t="str">
        <f t="shared" si="1327"/>
        <v>SPS1</v>
      </c>
      <c r="C1291" s="5" t="str">
        <f t="shared" si="1328"/>
        <v>CH</v>
      </c>
      <c r="D1291" t="s">
        <v>1206</v>
      </c>
      <c r="E1291" t="str">
        <f t="shared" si="1329"/>
        <v>km/MJ</v>
      </c>
      <c r="F1291" s="1">
        <f t="shared" si="1352"/>
        <v>0.43336173053344407</v>
      </c>
      <c r="G1291" s="1">
        <f t="shared" si="1352"/>
        <v>0.4333190830909367</v>
      </c>
      <c r="H1291" s="1">
        <f t="shared" si="1352"/>
        <v>0.43392562900851911</v>
      </c>
      <c r="I1291" s="1">
        <f t="shared" si="1352"/>
        <v>0.43700406825151805</v>
      </c>
      <c r="J1291" s="1">
        <f t="shared" si="1352"/>
        <v>0.43403376245084047</v>
      </c>
      <c r="K1291" s="1">
        <f t="shared" si="1352"/>
        <v>0.43445018427952736</v>
      </c>
      <c r="L1291" s="1" t="str">
        <f t="shared" ref="L1291" si="1362">IFERROR(L1240/L1171,"-")</f>
        <v>-</v>
      </c>
      <c r="N1291" s="1"/>
    </row>
    <row r="1292" spans="2:14" x14ac:dyDescent="0.35">
      <c r="B1292" s="5" t="str">
        <f t="shared" si="1327"/>
        <v>SPS1</v>
      </c>
      <c r="C1292" s="5" t="str">
        <f t="shared" si="1328"/>
        <v>CH</v>
      </c>
      <c r="D1292" t="s">
        <v>1207</v>
      </c>
      <c r="E1292" t="str">
        <f t="shared" si="1329"/>
        <v>km/MJ</v>
      </c>
      <c r="F1292" s="1" t="str">
        <f t="shared" si="1352"/>
        <v>-</v>
      </c>
      <c r="G1292" s="1">
        <f t="shared" si="1352"/>
        <v>0.5183762762553521</v>
      </c>
      <c r="H1292" s="1">
        <f t="shared" si="1352"/>
        <v>0.5389655471983591</v>
      </c>
      <c r="I1292" s="1">
        <f t="shared" si="1352"/>
        <v>0.56528351441758495</v>
      </c>
      <c r="J1292" s="1">
        <f t="shared" si="1352"/>
        <v>0.57563362293585119</v>
      </c>
      <c r="K1292" s="1">
        <f t="shared" si="1352"/>
        <v>0.59904024838009629</v>
      </c>
      <c r="L1292" s="1" t="str">
        <f t="shared" ref="L1292" si="1363">IFERROR(L1241/L1172,"-")</f>
        <v>-</v>
      </c>
      <c r="N1292" s="1"/>
    </row>
    <row r="1293" spans="2:14" x14ac:dyDescent="0.35">
      <c r="B1293" s="5" t="str">
        <f t="shared" si="1327"/>
        <v>SPS1</v>
      </c>
      <c r="C1293" s="5" t="str">
        <f t="shared" si="1328"/>
        <v>CH</v>
      </c>
      <c r="D1293" t="s">
        <v>1208</v>
      </c>
      <c r="E1293" t="str">
        <f t="shared" si="1329"/>
        <v>km/MJ</v>
      </c>
      <c r="F1293" s="1" t="str">
        <f t="shared" si="1352"/>
        <v>-</v>
      </c>
      <c r="G1293" s="1">
        <f t="shared" si="1352"/>
        <v>0.41733711223535003</v>
      </c>
      <c r="H1293" s="1">
        <f t="shared" si="1352"/>
        <v>0.43717544405880149</v>
      </c>
      <c r="I1293" s="1">
        <f t="shared" si="1352"/>
        <v>0.45615409852750999</v>
      </c>
      <c r="J1293" s="1">
        <f t="shared" si="1352"/>
        <v>0.46268746512065206</v>
      </c>
      <c r="K1293" s="1">
        <f t="shared" si="1352"/>
        <v>0.48204129482012237</v>
      </c>
      <c r="L1293" s="1" t="str">
        <f t="shared" ref="L1293" si="1364">IFERROR(L1242/L1173,"-")</f>
        <v>-</v>
      </c>
      <c r="N1293" s="1"/>
    </row>
    <row r="1294" spans="2:14" x14ac:dyDescent="0.35">
      <c r="B1294" s="5" t="str">
        <f t="shared" si="1327"/>
        <v>SPS1</v>
      </c>
      <c r="C1294" s="5" t="str">
        <f t="shared" si="1328"/>
        <v>CH</v>
      </c>
      <c r="D1294" t="s">
        <v>1209</v>
      </c>
      <c r="E1294" t="str">
        <f t="shared" si="1329"/>
        <v>km/MJ</v>
      </c>
      <c r="F1294" s="1" t="str">
        <f t="shared" si="1352"/>
        <v>-</v>
      </c>
      <c r="G1294" s="1">
        <f t="shared" si="1352"/>
        <v>0.38796990995538633</v>
      </c>
      <c r="H1294" s="1">
        <f t="shared" si="1352"/>
        <v>0.40563929759806211</v>
      </c>
      <c r="I1294" s="1">
        <f t="shared" si="1352"/>
        <v>0.42137693031469015</v>
      </c>
      <c r="J1294" s="1">
        <f t="shared" si="1352"/>
        <v>0.42795384282512655</v>
      </c>
      <c r="K1294" s="1">
        <f t="shared" si="1352"/>
        <v>0.44732836097905609</v>
      </c>
      <c r="L1294" s="1" t="str">
        <f t="shared" ref="L1294" si="1365">IFERROR(L1243/L1174,"-")</f>
        <v>-</v>
      </c>
      <c r="N1294" s="1"/>
    </row>
    <row r="1295" spans="2:14" x14ac:dyDescent="0.35">
      <c r="B1295" s="5" t="str">
        <f t="shared" si="1327"/>
        <v>SPS1</v>
      </c>
      <c r="C1295" s="5" t="str">
        <f t="shared" si="1328"/>
        <v>CH</v>
      </c>
      <c r="D1295" t="s">
        <v>1210</v>
      </c>
      <c r="E1295" t="str">
        <f t="shared" si="1329"/>
        <v>km/MJ</v>
      </c>
      <c r="F1295" s="1" t="str">
        <f t="shared" si="1352"/>
        <v>-</v>
      </c>
      <c r="G1295" s="1">
        <f t="shared" si="1352"/>
        <v>0.39332458747711413</v>
      </c>
      <c r="H1295" s="1">
        <f t="shared" si="1352"/>
        <v>0.41141809771634147</v>
      </c>
      <c r="I1295" s="1">
        <f t="shared" si="1352"/>
        <v>0.42598835195712997</v>
      </c>
      <c r="J1295" s="1">
        <f t="shared" si="1352"/>
        <v>0.43233671045331928</v>
      </c>
      <c r="K1295" s="1">
        <f t="shared" si="1352"/>
        <v>0.45109434660344111</v>
      </c>
      <c r="L1295" s="1" t="str">
        <f t="shared" ref="L1295" si="1366">IFERROR(L1244/L1175,"-")</f>
        <v>-</v>
      </c>
      <c r="N1295" s="1"/>
    </row>
    <row r="1296" spans="2:14" x14ac:dyDescent="0.35">
      <c r="B1296" s="5" t="str">
        <f t="shared" si="1327"/>
        <v>SPS1</v>
      </c>
      <c r="C1296" s="5" t="str">
        <f t="shared" si="1328"/>
        <v>CH</v>
      </c>
      <c r="D1296" t="s">
        <v>1234</v>
      </c>
      <c r="E1296" t="str">
        <f t="shared" si="1329"/>
        <v>km/MJ</v>
      </c>
      <c r="F1296" s="1" t="str">
        <f t="shared" ref="F1296:K1309" si="1367">IFERROR(F1245/F1185,"-")</f>
        <v>-</v>
      </c>
      <c r="G1296" s="1" t="str">
        <f t="shared" si="1367"/>
        <v>-</v>
      </c>
      <c r="H1296" s="1" t="str">
        <f t="shared" si="1367"/>
        <v>-</v>
      </c>
      <c r="I1296" s="1" t="str">
        <f t="shared" si="1367"/>
        <v>-</v>
      </c>
      <c r="J1296" s="1" t="str">
        <f t="shared" si="1367"/>
        <v>-</v>
      </c>
      <c r="K1296" s="1" t="str">
        <f t="shared" si="1367"/>
        <v>-</v>
      </c>
      <c r="L1296" s="1" t="str">
        <f t="shared" ref="L1296" si="1368">IFERROR(L1245/L1185,"-")</f>
        <v>-</v>
      </c>
      <c r="N1296" s="1"/>
    </row>
    <row r="1297" spans="2:14" x14ac:dyDescent="0.35">
      <c r="B1297" s="5" t="str">
        <f t="shared" si="1327"/>
        <v>SPS1</v>
      </c>
      <c r="C1297" s="5" t="str">
        <f t="shared" si="1328"/>
        <v>CH</v>
      </c>
      <c r="D1297" t="s">
        <v>1211</v>
      </c>
      <c r="E1297" t="str">
        <f t="shared" si="1329"/>
        <v>km/MJ</v>
      </c>
      <c r="F1297" s="1">
        <f t="shared" si="1367"/>
        <v>0.41824117647058834</v>
      </c>
      <c r="G1297" s="1">
        <f t="shared" si="1367"/>
        <v>1.6972106708620849</v>
      </c>
      <c r="H1297" s="1">
        <f t="shared" si="1367"/>
        <v>1.67664823781591</v>
      </c>
      <c r="I1297" s="1">
        <f t="shared" si="1367"/>
        <v>1.6332737240749249</v>
      </c>
      <c r="J1297" s="1">
        <f t="shared" si="1367"/>
        <v>1.6924982802730069</v>
      </c>
      <c r="K1297" s="1">
        <f t="shared" si="1367"/>
        <v>0.9870974935467749</v>
      </c>
      <c r="L1297" s="1" t="str">
        <f t="shared" ref="L1297" si="1369">IFERROR(L1246/L1186,"-")</f>
        <v>-</v>
      </c>
      <c r="N1297" s="1"/>
    </row>
    <row r="1298" spans="2:14" x14ac:dyDescent="0.35">
      <c r="B1298" s="5" t="str">
        <f t="shared" si="1327"/>
        <v>SPS1</v>
      </c>
      <c r="C1298" s="5" t="str">
        <f t="shared" si="1328"/>
        <v>CH</v>
      </c>
      <c r="D1298" t="s">
        <v>1212</v>
      </c>
      <c r="E1298" t="str">
        <f t="shared" si="1329"/>
        <v>km/MJ</v>
      </c>
      <c r="F1298" s="1">
        <f t="shared" si="1367"/>
        <v>1.2066892700371572</v>
      </c>
      <c r="G1298" s="1">
        <f t="shared" si="1367"/>
        <v>2.6801529982451084</v>
      </c>
      <c r="H1298" s="1">
        <f t="shared" si="1367"/>
        <v>2.2427152848250893</v>
      </c>
      <c r="I1298" s="1">
        <f t="shared" si="1367"/>
        <v>2.2214909987122908</v>
      </c>
      <c r="J1298" s="1">
        <f t="shared" si="1367"/>
        <v>2.1470717204743814</v>
      </c>
      <c r="K1298" s="1">
        <f t="shared" si="1367"/>
        <v>1.9513631613986073</v>
      </c>
      <c r="L1298" s="1" t="str">
        <f t="shared" ref="L1298" si="1370">IFERROR(L1247/L1187,"-")</f>
        <v>-</v>
      </c>
      <c r="N1298" s="1"/>
    </row>
    <row r="1299" spans="2:14" x14ac:dyDescent="0.35">
      <c r="B1299" s="5" t="str">
        <f t="shared" si="1327"/>
        <v>SPS1</v>
      </c>
      <c r="C1299" s="5" t="str">
        <f t="shared" si="1328"/>
        <v>CH</v>
      </c>
      <c r="D1299" t="s">
        <v>1213</v>
      </c>
      <c r="E1299" t="str">
        <f t="shared" si="1329"/>
        <v>km/MJ</v>
      </c>
      <c r="F1299" s="1">
        <f t="shared" si="1367"/>
        <v>0.90007242702117152</v>
      </c>
      <c r="G1299" s="1">
        <f t="shared" si="1367"/>
        <v>1.2801146944078701</v>
      </c>
      <c r="H1299" s="1">
        <f t="shared" si="1367"/>
        <v>1.2742793128012071</v>
      </c>
      <c r="I1299" s="1">
        <f t="shared" si="1367"/>
        <v>1.2954655429036963</v>
      </c>
      <c r="J1299" s="1">
        <f t="shared" si="1367"/>
        <v>1.4695689203692484</v>
      </c>
      <c r="K1299" s="1">
        <f t="shared" si="1367"/>
        <v>0.87211979649737581</v>
      </c>
      <c r="L1299" s="1" t="str">
        <f t="shared" ref="L1299" si="1371">IFERROR(L1248/L1188,"-")</f>
        <v>-</v>
      </c>
      <c r="N1299" s="1"/>
    </row>
    <row r="1300" spans="2:14" x14ac:dyDescent="0.35">
      <c r="B1300" s="5" t="str">
        <f t="shared" si="1327"/>
        <v>SPS1</v>
      </c>
      <c r="C1300" s="5" t="str">
        <f t="shared" si="1328"/>
        <v>CH</v>
      </c>
      <c r="D1300" t="s">
        <v>1214</v>
      </c>
      <c r="E1300" t="str">
        <f t="shared" si="1329"/>
        <v>km/MJ</v>
      </c>
      <c r="F1300" s="1">
        <f t="shared" si="1367"/>
        <v>1.343942505866716</v>
      </c>
      <c r="G1300" s="1">
        <f t="shared" si="1367"/>
        <v>1.5938245938064621</v>
      </c>
      <c r="H1300" s="1">
        <f t="shared" si="1367"/>
        <v>1.5762590379050252</v>
      </c>
      <c r="I1300" s="1">
        <f t="shared" si="1367"/>
        <v>1.5654661704063655</v>
      </c>
      <c r="J1300" s="1">
        <f t="shared" si="1367"/>
        <v>1.5832783957629977</v>
      </c>
      <c r="K1300" s="1">
        <f t="shared" si="1367"/>
        <v>0.86774777732695707</v>
      </c>
      <c r="L1300" s="1" t="str">
        <f t="shared" ref="L1300" si="1372">IFERROR(L1249/L1189,"-")</f>
        <v>-</v>
      </c>
      <c r="N1300" s="1"/>
    </row>
    <row r="1301" spans="2:14" x14ac:dyDescent="0.35">
      <c r="B1301" s="5" t="str">
        <f t="shared" si="1327"/>
        <v>SPS1</v>
      </c>
      <c r="C1301" s="5" t="str">
        <f t="shared" si="1328"/>
        <v>CH</v>
      </c>
      <c r="D1301" t="s">
        <v>1215</v>
      </c>
      <c r="E1301" t="str">
        <f t="shared" si="1329"/>
        <v>km/MJ</v>
      </c>
      <c r="F1301" s="1">
        <f t="shared" si="1367"/>
        <v>0.33901850024086033</v>
      </c>
      <c r="G1301" s="1">
        <f t="shared" si="1367"/>
        <v>0.35391427166601108</v>
      </c>
      <c r="H1301" s="1">
        <f t="shared" si="1367"/>
        <v>0.37625792880373715</v>
      </c>
      <c r="I1301" s="1">
        <f t="shared" si="1367"/>
        <v>0.41349735736661469</v>
      </c>
      <c r="J1301" s="1" t="str">
        <f t="shared" si="1367"/>
        <v>-</v>
      </c>
      <c r="K1301" s="1" t="str">
        <f t="shared" si="1367"/>
        <v>-</v>
      </c>
      <c r="L1301" s="1" t="str">
        <f t="shared" ref="L1301" si="1373">IFERROR(L1250/L1190,"-")</f>
        <v>-</v>
      </c>
      <c r="N1301" s="1"/>
    </row>
    <row r="1302" spans="2:14" x14ac:dyDescent="0.35">
      <c r="B1302" s="5" t="str">
        <f t="shared" si="1327"/>
        <v>SPS1</v>
      </c>
      <c r="C1302" s="5" t="str">
        <f t="shared" si="1328"/>
        <v>CH</v>
      </c>
      <c r="D1302" t="s">
        <v>1216</v>
      </c>
      <c r="E1302" t="str">
        <f t="shared" si="1329"/>
        <v>km/MJ</v>
      </c>
      <c r="F1302" s="1">
        <f t="shared" si="1367"/>
        <v>0.75540866553654085</v>
      </c>
      <c r="G1302" s="1">
        <f t="shared" si="1367"/>
        <v>0.89223981185896273</v>
      </c>
      <c r="H1302" s="1">
        <f t="shared" si="1367"/>
        <v>0.86362182769459039</v>
      </c>
      <c r="I1302" s="1">
        <f t="shared" si="1367"/>
        <v>0.82664220508589381</v>
      </c>
      <c r="J1302" s="1">
        <f t="shared" si="1367"/>
        <v>0.82530845884071369</v>
      </c>
      <c r="K1302" s="1">
        <f t="shared" si="1367"/>
        <v>0.678285156327884</v>
      </c>
      <c r="L1302" s="1" t="str">
        <f t="shared" ref="L1302" si="1374">IFERROR(L1251/L1191,"-")</f>
        <v>-</v>
      </c>
      <c r="N1302" s="1"/>
    </row>
    <row r="1303" spans="2:14" x14ac:dyDescent="0.35">
      <c r="B1303" s="5" t="str">
        <f t="shared" si="1327"/>
        <v>SPS1</v>
      </c>
      <c r="C1303" s="5" t="str">
        <f t="shared" si="1328"/>
        <v>CH</v>
      </c>
      <c r="D1303" t="s">
        <v>1217</v>
      </c>
      <c r="E1303" t="str">
        <f t="shared" si="1329"/>
        <v>km/MJ</v>
      </c>
      <c r="F1303" s="1">
        <f t="shared" si="1367"/>
        <v>0.70442969851377835</v>
      </c>
      <c r="G1303" s="1">
        <f t="shared" si="1367"/>
        <v>0.70423137069084896</v>
      </c>
      <c r="H1303" s="1">
        <f t="shared" si="1367"/>
        <v>0.73076069021510393</v>
      </c>
      <c r="I1303" s="1">
        <f t="shared" si="1367"/>
        <v>0.75826343868059731</v>
      </c>
      <c r="J1303" s="1">
        <f t="shared" si="1367"/>
        <v>0.82866263938177809</v>
      </c>
      <c r="K1303" s="1">
        <f t="shared" si="1367"/>
        <v>0.56184044994495697</v>
      </c>
      <c r="L1303" s="1" t="str">
        <f t="shared" ref="L1303" si="1375">IFERROR(L1252/L1192,"-")</f>
        <v>-</v>
      </c>
      <c r="N1303" s="1"/>
    </row>
    <row r="1304" spans="2:14" x14ac:dyDescent="0.35">
      <c r="B1304" s="5" t="str">
        <f t="shared" si="1327"/>
        <v>SPS1</v>
      </c>
      <c r="C1304" s="5" t="str">
        <f t="shared" si="1328"/>
        <v>CH</v>
      </c>
      <c r="D1304" t="s">
        <v>1218</v>
      </c>
      <c r="E1304" t="str">
        <f t="shared" si="1329"/>
        <v>km/MJ</v>
      </c>
      <c r="F1304" s="1">
        <f t="shared" si="1367"/>
        <v>0.53457513862984896</v>
      </c>
      <c r="G1304" s="1">
        <f t="shared" si="1367"/>
        <v>0.53250969529025982</v>
      </c>
      <c r="H1304" s="1">
        <f t="shared" si="1367"/>
        <v>0.53204770955826919</v>
      </c>
      <c r="I1304" s="1">
        <f t="shared" si="1367"/>
        <v>0.54125258805036658</v>
      </c>
      <c r="J1304" s="1">
        <f t="shared" si="1367"/>
        <v>0.59131887362375235</v>
      </c>
      <c r="K1304" s="1">
        <f t="shared" si="1367"/>
        <v>0.4870355980112232</v>
      </c>
      <c r="L1304" s="1" t="str">
        <f t="shared" ref="L1304" si="1376">IFERROR(L1253/L1193,"-")</f>
        <v>-</v>
      </c>
      <c r="N1304" s="1"/>
    </row>
    <row r="1305" spans="2:14" x14ac:dyDescent="0.35">
      <c r="B1305" s="5" t="str">
        <f t="shared" si="1327"/>
        <v>SPS1</v>
      </c>
      <c r="C1305" s="5" t="str">
        <f t="shared" si="1328"/>
        <v>CH</v>
      </c>
      <c r="D1305" t="s">
        <v>1219</v>
      </c>
      <c r="E1305" t="str">
        <f t="shared" si="1329"/>
        <v>km/MJ</v>
      </c>
      <c r="F1305" s="1">
        <f t="shared" si="1367"/>
        <v>0.46603368665222272</v>
      </c>
      <c r="G1305" s="1">
        <f t="shared" si="1367"/>
        <v>0.45566787587955337</v>
      </c>
      <c r="H1305" s="1">
        <f t="shared" si="1367"/>
        <v>0.45673785723063343</v>
      </c>
      <c r="I1305" s="1">
        <f t="shared" si="1367"/>
        <v>0.46957131754260217</v>
      </c>
      <c r="J1305" s="1">
        <f t="shared" si="1367"/>
        <v>0.3905882660976801</v>
      </c>
      <c r="K1305" s="1">
        <f t="shared" si="1367"/>
        <v>0.42245452753232166</v>
      </c>
      <c r="L1305" s="1" t="str">
        <f t="shared" ref="L1305" si="1377">IFERROR(L1254/L1194,"-")</f>
        <v>-</v>
      </c>
      <c r="N1305" s="1"/>
    </row>
    <row r="1306" spans="2:14" x14ac:dyDescent="0.35">
      <c r="B1306" s="5" t="str">
        <f t="shared" si="1327"/>
        <v>SPS1</v>
      </c>
      <c r="C1306" s="5" t="str">
        <f t="shared" si="1328"/>
        <v>CH</v>
      </c>
      <c r="D1306" t="s">
        <v>1220</v>
      </c>
      <c r="E1306" t="str">
        <f t="shared" si="1329"/>
        <v>km/MJ</v>
      </c>
      <c r="F1306" s="1" t="str">
        <f t="shared" si="1367"/>
        <v>-</v>
      </c>
      <c r="G1306" s="1">
        <f t="shared" si="1367"/>
        <v>0.56203544748554657</v>
      </c>
      <c r="H1306" s="1">
        <f t="shared" si="1367"/>
        <v>0.57975967745795398</v>
      </c>
      <c r="I1306" s="1">
        <f t="shared" si="1367"/>
        <v>0.60263966164380267</v>
      </c>
      <c r="J1306" s="1">
        <f t="shared" si="1367"/>
        <v>0.61201259548435982</v>
      </c>
      <c r="K1306" s="1">
        <f t="shared" si="1367"/>
        <v>0.63336671465291094</v>
      </c>
      <c r="L1306" s="1" t="str">
        <f t="shared" ref="L1306" si="1378">IFERROR(L1255/L1195,"-")</f>
        <v>-</v>
      </c>
      <c r="N1306" s="1"/>
    </row>
    <row r="1307" spans="2:14" x14ac:dyDescent="0.35">
      <c r="B1307" s="5" t="str">
        <f t="shared" si="1327"/>
        <v>SPS1</v>
      </c>
      <c r="C1307" s="5" t="str">
        <f t="shared" si="1328"/>
        <v>CH</v>
      </c>
      <c r="D1307" t="s">
        <v>1221</v>
      </c>
      <c r="E1307" t="str">
        <f t="shared" si="1329"/>
        <v>km/MJ</v>
      </c>
      <c r="F1307" s="1" t="str">
        <f t="shared" si="1367"/>
        <v>-</v>
      </c>
      <c r="G1307" s="1">
        <f t="shared" si="1367"/>
        <v>0.45210145766281418</v>
      </c>
      <c r="H1307" s="1">
        <f t="shared" si="1367"/>
        <v>0.469074079580236</v>
      </c>
      <c r="I1307" s="1">
        <f t="shared" si="1367"/>
        <v>0.48619334634659844</v>
      </c>
      <c r="J1307" s="1">
        <f t="shared" si="1367"/>
        <v>0.49275823216354819</v>
      </c>
      <c r="K1307" s="1">
        <f t="shared" si="1367"/>
        <v>0.51042500562524518</v>
      </c>
      <c r="L1307" s="1" t="str">
        <f t="shared" ref="L1307" si="1379">IFERROR(L1256/L1196,"-")</f>
        <v>-</v>
      </c>
      <c r="N1307" s="1"/>
    </row>
    <row r="1308" spans="2:14" x14ac:dyDescent="0.35">
      <c r="B1308" s="5" t="str">
        <f t="shared" si="1327"/>
        <v>SPS1</v>
      </c>
      <c r="C1308" s="5" t="str">
        <f t="shared" si="1328"/>
        <v>CH</v>
      </c>
      <c r="D1308" t="s">
        <v>1222</v>
      </c>
      <c r="E1308" t="str">
        <f t="shared" si="1329"/>
        <v>km/MJ</v>
      </c>
      <c r="F1308" s="1" t="str">
        <f t="shared" si="1367"/>
        <v>-</v>
      </c>
      <c r="G1308" s="1">
        <f t="shared" si="1367"/>
        <v>0.42028149632876965</v>
      </c>
      <c r="H1308" s="1">
        <f t="shared" si="1367"/>
        <v>0.43528079972999784</v>
      </c>
      <c r="I1308" s="1">
        <f t="shared" si="1367"/>
        <v>0.44974963617041996</v>
      </c>
      <c r="J1308" s="1">
        <f t="shared" si="1367"/>
        <v>0.45644691434700735</v>
      </c>
      <c r="K1308" s="1">
        <f t="shared" si="1367"/>
        <v>0.47407359060443721</v>
      </c>
      <c r="L1308" s="1" t="str">
        <f t="shared" ref="L1308" si="1380">IFERROR(L1257/L1197,"-")</f>
        <v>-</v>
      </c>
      <c r="N1308" s="1"/>
    </row>
    <row r="1309" spans="2:14" x14ac:dyDescent="0.35">
      <c r="B1309" s="5" t="str">
        <f t="shared" si="1327"/>
        <v>SPS1</v>
      </c>
      <c r="C1309" s="5" t="str">
        <f t="shared" si="1328"/>
        <v>CH</v>
      </c>
      <c r="D1309" t="s">
        <v>1223</v>
      </c>
      <c r="E1309" t="str">
        <f t="shared" si="1329"/>
        <v>km/MJ</v>
      </c>
      <c r="F1309" s="1" t="str">
        <f t="shared" si="1367"/>
        <v>-</v>
      </c>
      <c r="G1309" s="1">
        <f t="shared" si="1367"/>
        <v>0.39943403925494758</v>
      </c>
      <c r="H1309" s="1">
        <f t="shared" si="1367"/>
        <v>0.4131008430275957</v>
      </c>
      <c r="I1309" s="1">
        <f t="shared" si="1367"/>
        <v>0.42734120086656319</v>
      </c>
      <c r="J1309" s="1">
        <f t="shared" si="1367"/>
        <v>0.43358532145916734</v>
      </c>
      <c r="K1309" s="1">
        <f t="shared" si="1367"/>
        <v>0.45031901872935609</v>
      </c>
      <c r="L1309" s="1" t="str">
        <f t="shared" ref="L1309" si="1381">IFERROR(L1258/L1198,"-")</f>
        <v>-</v>
      </c>
      <c r="N1309" s="1"/>
    </row>
    <row r="1310" spans="2:14" x14ac:dyDescent="0.35">
      <c r="B1310" s="5" t="str">
        <f t="shared" si="1327"/>
        <v>SPS1</v>
      </c>
      <c r="C1310" s="5" t="str">
        <f t="shared" si="1328"/>
        <v>CH</v>
      </c>
      <c r="D1310" t="s">
        <v>1224</v>
      </c>
      <c r="E1310" t="str">
        <f t="shared" si="1329"/>
        <v>km/MJ</v>
      </c>
      <c r="F1310" s="1" t="str">
        <f>IFERROR(F1259/F1208,"-")</f>
        <v>-</v>
      </c>
      <c r="G1310" s="1">
        <f t="shared" ref="G1310:K1314" si="1382">IFERROR(G1259/G1199,"-")</f>
        <v>0</v>
      </c>
      <c r="H1310" s="1">
        <f t="shared" si="1382"/>
        <v>0</v>
      </c>
      <c r="I1310" s="1">
        <f t="shared" si="1382"/>
        <v>0</v>
      </c>
      <c r="J1310" s="1">
        <f t="shared" si="1382"/>
        <v>0</v>
      </c>
      <c r="K1310" s="1">
        <f t="shared" si="1382"/>
        <v>0</v>
      </c>
      <c r="L1310" s="1">
        <f t="shared" ref="L1310" si="1383">IFERROR(L1259/L1199,"-")</f>
        <v>0</v>
      </c>
      <c r="N1310" s="1"/>
    </row>
    <row r="1311" spans="2:14" x14ac:dyDescent="0.35">
      <c r="B1311" s="5" t="str">
        <f t="shared" si="1327"/>
        <v>SPS1</v>
      </c>
      <c r="C1311" s="5" t="str">
        <f t="shared" si="1328"/>
        <v>CH</v>
      </c>
      <c r="D1311" t="s">
        <v>1225</v>
      </c>
      <c r="E1311" t="str">
        <f t="shared" si="1329"/>
        <v>km/MJ</v>
      </c>
      <c r="F1311" s="1">
        <f>IFERROR(F1260/F1209,"-")</f>
        <v>0.61656032864462851</v>
      </c>
      <c r="G1311" s="1">
        <f t="shared" si="1382"/>
        <v>0.19025676890875068</v>
      </c>
      <c r="H1311" s="1">
        <f t="shared" si="1382"/>
        <v>7.5301845244568358E-2</v>
      </c>
      <c r="I1311" s="1">
        <f t="shared" si="1382"/>
        <v>1.8115656703466751E-2</v>
      </c>
      <c r="J1311" s="1">
        <f t="shared" si="1382"/>
        <v>2.0902086420820287E-3</v>
      </c>
      <c r="K1311" s="1">
        <f t="shared" si="1382"/>
        <v>2.3074093359923956E-4</v>
      </c>
      <c r="L1311" s="1">
        <f t="shared" ref="L1311" si="1384">IFERROR(L1260/L1200,"-")</f>
        <v>0</v>
      </c>
      <c r="N1311" s="1"/>
    </row>
    <row r="1312" spans="2:14" x14ac:dyDescent="0.35">
      <c r="B1312" s="5" t="str">
        <f t="shared" si="1327"/>
        <v>SPS1</v>
      </c>
      <c r="C1312" s="5" t="str">
        <f t="shared" si="1328"/>
        <v>CH</v>
      </c>
      <c r="D1312" t="s">
        <v>1226</v>
      </c>
      <c r="E1312" t="str">
        <f t="shared" si="1329"/>
        <v>km/MJ</v>
      </c>
      <c r="F1312" s="1">
        <f>IFERROR(F1261/F1210,"-")</f>
        <v>0.63151391563274828</v>
      </c>
      <c r="G1312" s="1">
        <f t="shared" si="1382"/>
        <v>0.12929904212564414</v>
      </c>
      <c r="H1312" s="1">
        <f t="shared" si="1382"/>
        <v>2.732657590994057E-2</v>
      </c>
      <c r="I1312" s="1">
        <f t="shared" si="1382"/>
        <v>1.3786354759005178E-3</v>
      </c>
      <c r="J1312" s="1">
        <f t="shared" si="1382"/>
        <v>3.5449113675209549E-6</v>
      </c>
      <c r="K1312" s="1">
        <f t="shared" si="1382"/>
        <v>8.3242781749451464E-7</v>
      </c>
      <c r="L1312" s="1">
        <f t="shared" ref="L1312" si="1385">IFERROR(L1261/L1201,"-")</f>
        <v>0</v>
      </c>
      <c r="N1312" s="1"/>
    </row>
    <row r="1313" spans="2:16" x14ac:dyDescent="0.35">
      <c r="B1313" s="5" t="str">
        <f t="shared" si="1327"/>
        <v>SPS1</v>
      </c>
      <c r="C1313" s="5" t="str">
        <f t="shared" si="1328"/>
        <v>CH</v>
      </c>
      <c r="D1313" t="s">
        <v>1227</v>
      </c>
      <c r="E1313" t="str">
        <f t="shared" si="1329"/>
        <v>km/MJ</v>
      </c>
      <c r="F1313" s="1">
        <f>IFERROR(F1262/F1211,"-")</f>
        <v>0.47056987042427928</v>
      </c>
      <c r="G1313" s="1">
        <f t="shared" si="1382"/>
        <v>3.4170099885374963E-2</v>
      </c>
      <c r="H1313" s="1">
        <f t="shared" si="1382"/>
        <v>2.7924292660528476E-2</v>
      </c>
      <c r="I1313" s="1">
        <f t="shared" si="1382"/>
        <v>1.8651442645277228E-2</v>
      </c>
      <c r="J1313" s="1">
        <f t="shared" si="1382"/>
        <v>4.6409283200552782E-3</v>
      </c>
      <c r="K1313" s="1">
        <f t="shared" si="1382"/>
        <v>1.0052050562877131E-3</v>
      </c>
      <c r="L1313" s="1">
        <f t="shared" ref="L1313" si="1386">IFERROR(L1262/L1202,"-")</f>
        <v>0</v>
      </c>
      <c r="N1313" s="1"/>
    </row>
    <row r="1314" spans="2:16" x14ac:dyDescent="0.35">
      <c r="B1314" s="5" t="str">
        <f t="shared" si="1327"/>
        <v>SPS1</v>
      </c>
      <c r="C1314" s="5" t="str">
        <f t="shared" si="1328"/>
        <v>CH</v>
      </c>
      <c r="D1314" t="s">
        <v>1228</v>
      </c>
      <c r="E1314" t="str">
        <f t="shared" si="1329"/>
        <v>km/MJ</v>
      </c>
      <c r="F1314" s="1">
        <f>IFERROR(F1263/F1212,"-")</f>
        <v>0.68274326207822844</v>
      </c>
      <c r="G1314" s="1">
        <f t="shared" si="1382"/>
        <v>0.29449822800235975</v>
      </c>
      <c r="H1314" s="1">
        <f t="shared" si="1382"/>
        <v>0.27360066993833476</v>
      </c>
      <c r="I1314" s="1">
        <f t="shared" si="1382"/>
        <v>0.1180800332741094</v>
      </c>
      <c r="J1314" s="1">
        <f t="shared" si="1382"/>
        <v>0.1038016384950326</v>
      </c>
      <c r="K1314" s="1">
        <f t="shared" si="1382"/>
        <v>0.11893484167184436</v>
      </c>
      <c r="L1314" s="1" t="str">
        <f t="shared" ref="L1314" si="1387">IFERROR(L1263/L1203,"-")</f>
        <v>-</v>
      </c>
      <c r="N1314" s="1"/>
    </row>
    <row r="1315" spans="2:16" x14ac:dyDescent="0.35">
      <c r="B1315" s="9" t="str">
        <f t="shared" ref="B1315" si="1388">B1314</f>
        <v>SPS1</v>
      </c>
      <c r="C1315" s="9" t="str">
        <f t="shared" ref="C1315" si="1389">C1314</f>
        <v>CH</v>
      </c>
      <c r="D1315" s="2" t="s">
        <v>1304</v>
      </c>
      <c r="E1315" s="2" t="s">
        <v>8</v>
      </c>
      <c r="F1315" s="3">
        <f>F1316+F1322+F1327+F1341</f>
        <v>0.76963100812308505</v>
      </c>
      <c r="G1315" s="3">
        <f t="shared" ref="G1315:K1315" si="1390">G1316+G1322+G1327+G1341</f>
        <v>1.2426443919417429</v>
      </c>
      <c r="H1315" s="3">
        <f t="shared" si="1390"/>
        <v>2.1644975272534142</v>
      </c>
      <c r="I1315" s="3">
        <f t="shared" si="1390"/>
        <v>1.2009294726830784</v>
      </c>
      <c r="J1315" s="3">
        <f t="shared" si="1390"/>
        <v>1.1929497761481014</v>
      </c>
      <c r="K1315" s="3">
        <f t="shared" si="1390"/>
        <v>1.1759603131788376</v>
      </c>
      <c r="L1315" s="3">
        <f t="shared" ref="L1315" si="1391">L1316+L1322+L1327+L1341</f>
        <v>1.149847407158479</v>
      </c>
      <c r="M1315" s="3"/>
      <c r="N1315" s="1"/>
      <c r="O1315" s="3"/>
      <c r="P1315" s="3"/>
    </row>
    <row r="1316" spans="2:16" x14ac:dyDescent="0.3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1.5688690474607692E-2</v>
      </c>
      <c r="G1316" s="1">
        <f t="shared" ref="G1316:K1316" si="1392">SUM(G1317:G1321)</f>
        <v>6.8219399331181763E-2</v>
      </c>
      <c r="H1316" s="1">
        <f t="shared" si="1392"/>
        <v>0.11922833806876831</v>
      </c>
      <c r="I1316" s="1">
        <f t="shared" si="1392"/>
        <v>1.1924903328379295</v>
      </c>
      <c r="J1316" s="1">
        <f t="shared" si="1392"/>
        <v>1.1929331435083168</v>
      </c>
      <c r="K1316" s="1">
        <f t="shared" si="1392"/>
        <v>1.1759603131788376</v>
      </c>
      <c r="L1316" s="1">
        <f t="shared" ref="L1316" si="1393">SUM(L1317:L1321)</f>
        <v>1.1498454584519153</v>
      </c>
      <c r="N1316" s="1"/>
    </row>
    <row r="1317" spans="2:16" x14ac:dyDescent="0.35">
      <c r="B1317" s="5" t="str">
        <f t="shared" ref="B1317:B1350" si="1394">B1316</f>
        <v>SPS1</v>
      </c>
      <c r="C1317" s="5" t="str">
        <f t="shared" ref="C1317:C1350" si="1395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4.9389053266720774E-4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5.0514049158053328E-4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4.9380192075901719E-4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SUMPRODUCT(("T_B_u-BeVELCEXT"=[2]OUT_TransportEnergyCons!$A$3:$A$1000)*1,("Var_Fin"=[2]OUT_TransportEnergyCons!$B$3:$B$1000)*1,ISNUMBER(SEARCH("ELC",[2]OUT_TransportEnergyCons!$C$3:$C$1000))*1,[2]OUT_TransportEnergyCons!H$3:H$1000)</f>
        <v>0</v>
      </c>
      <c r="K1317" s="1" cm="1">
        <f t="array" ref="K1317">SUMPRODUCT(("T_B_u-BeVELCEXT"=[2]OUT_TransportEnergyCons!$A$3:$A$1000)*1,("Var_Fin"=[2]OUT_TransportEnergyCons!$B$3:$B$1000)*1,ISNUMBER(SEARCH("ELC",[2]OUT_TransportEnergyCons!$C$3:$C$1000))*1,[2]OUT_TransportEnergyCons!I$3:I$1000)</f>
        <v>0</v>
      </c>
      <c r="L1317" s="1" cm="1">
        <f t="array" ref="L1317">SUMPRODUCT(("T_B_u-BeVELCEXT"=[2]OUT_TransportEnergyCons!$A$3:$A$1000)*1,("Var_Fin"=[2]OUT_TransportEnergyCons!$B$3:$B$1000)*1,ISNUMBER(SEARCH("ELC",[2]OUT_TransportEnergyCons!$C$3:$C$1000))*1,[2]OUT_TransportEnergyCons!J$3:J$1000)</f>
        <v>0</v>
      </c>
      <c r="N1317" s="1"/>
    </row>
    <row r="1318" spans="2:16" x14ac:dyDescent="0.35">
      <c r="B1318" s="5" t="str">
        <f t="shared" si="1394"/>
        <v>SPS1</v>
      </c>
      <c r="C1318" s="5" t="str">
        <f t="shared" si="1395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5.5770089166643053E-5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3.2695543653846922E-2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4.662099818298291E-2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0.23800502487370898</v>
      </c>
      <c r="J1318" s="1" cm="1">
        <f t="array" ref="J1318">SUMPRODUCT(("T_B_u-BEVELC-S1"=[2]OUT_TransportEnergyCons!$A$3:$A$1000)*1,("Var_Fin"=[2]OUT_TransportEnergyCons!$B$3:$B$1000)*1,ISNUMBER(SEARCH("ELC",[2]OUT_TransportEnergyCons!$C$3:$C$1000))*1,[2]OUT_TransportEnergyCons!H$3:H$1000)</f>
        <v>0.24314476299276994</v>
      </c>
      <c r="K1318" s="1" cm="1">
        <f t="array" ref="K1318">SUMPRODUCT(("T_B_u-BEVELC-S1"=[2]OUT_TransportEnergyCons!$A$3:$A$1000)*1,("Var_Fin"=[2]OUT_TransportEnergyCons!$B$3:$B$1000)*1,ISNUMBER(SEARCH("ELC",[2]OUT_TransportEnergyCons!$C$3:$C$1000))*1,[2]OUT_TransportEnergyCons!I$3:I$1000)</f>
        <v>0.2524675465083302</v>
      </c>
      <c r="L1318" s="1" cm="1">
        <f t="array" ref="L1318">SUMPRODUCT(("T_B_u-BEVELC-S1"=[2]OUT_TransportEnergyCons!$A$3:$A$1000)*1,("Var_Fin"=[2]OUT_TransportEnergyCons!$B$3:$B$1000)*1,ISNUMBER(SEARCH("ELC",[2]OUT_TransportEnergyCons!$C$3:$C$1000))*1,[2]OUT_TransportEnergyCons!J$3:J$1000)</f>
        <v>0.24137022734067962</v>
      </c>
      <c r="N1318" s="1"/>
    </row>
    <row r="1319" spans="2:16" x14ac:dyDescent="0.35">
      <c r="B1319" s="5" t="str">
        <f t="shared" si="1394"/>
        <v>SPS1</v>
      </c>
      <c r="C1319" s="5" t="str">
        <f t="shared" si="1395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2.4114276961859889E-3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8.7002386186926829E-3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2.4859355223832098E-2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0.12427537942333484</v>
      </c>
      <c r="J1319" s="1" cm="1">
        <f t="array" ref="J1319">SUMPRODUCT(("T_B_u-BEVELC-S2"=[2]OUT_TransportEnergyCons!$A$3:$A$1000)*1,("Var_Fin"=[2]OUT_TransportEnergyCons!$B$3:$B$1000)*1,ISNUMBER(SEARCH("ELC",[2]OUT_TransportEnergyCons!$C$3:$C$1000))*1,[2]OUT_TransportEnergyCons!H$3:H$1000)</f>
        <v>0.12187191828499502</v>
      </c>
      <c r="K1319" s="1" cm="1">
        <f t="array" ref="K1319">SUMPRODUCT(("T_B_u-BEVELC-S2"=[2]OUT_TransportEnergyCons!$A$3:$A$1000)*1,("Var_Fin"=[2]OUT_TransportEnergyCons!$B$3:$B$1000)*1,ISNUMBER(SEARCH("ELC",[2]OUT_TransportEnergyCons!$C$3:$C$1000))*1,[2]OUT_TransportEnergyCons!I$3:I$1000)</f>
        <v>0.12558388177750679</v>
      </c>
      <c r="L1319" s="1" cm="1">
        <f t="array" ref="L1319">SUMPRODUCT(("T_B_u-BEVELC-S2"=[2]OUT_TransportEnergyCons!$A$3:$A$1000)*1,("Var_Fin"=[2]OUT_TransportEnergyCons!$B$3:$B$1000)*1,ISNUMBER(SEARCH("ELC",[2]OUT_TransportEnergyCons!$C$3:$C$1000))*1,[2]OUT_TransportEnergyCons!J$3:J$1000)</f>
        <v>0.12079239103342139</v>
      </c>
      <c r="N1319" s="1"/>
    </row>
    <row r="1320" spans="2:16" x14ac:dyDescent="0.35">
      <c r="B1320" s="5" t="str">
        <f t="shared" si="1394"/>
        <v>SPS1</v>
      </c>
      <c r="C1320" s="5" t="str">
        <f t="shared" si="1395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1.124793842669136E-2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2.1967993787638643E-2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3.9900623509673903E-2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0.80531207199989374</v>
      </c>
      <c r="J1320" s="1" cm="1">
        <f t="array" ref="J1320">SUMPRODUCT(("T_B_u-BEVELC-S3"=[2]OUT_TransportEnergyCons!$A$3:$A$1000)*1,("Var_Fin"=[2]OUT_TransportEnergyCons!$B$3:$B$1000)*1,ISNUMBER(SEARCH("ELC",[2]OUT_TransportEnergyCons!$C$3:$C$1000))*1,[2]OUT_TransportEnergyCons!H$3:H$1000)</f>
        <v>0.82699546849959749</v>
      </c>
      <c r="K1320" s="1" cm="1">
        <f t="array" ref="K1320">SUMPRODUCT(("T_B_u-BEVELC-S3"=[2]OUT_TransportEnergyCons!$A$3:$A$1000)*1,("Var_Fin"=[2]OUT_TransportEnergyCons!$B$3:$B$1000)*1,ISNUMBER(SEARCH("ELC",[2]OUT_TransportEnergyCons!$C$3:$C$1000))*1,[2]OUT_TransportEnergyCons!I$3:I$1000)</f>
        <v>0.79781519147968638</v>
      </c>
      <c r="L1320" s="1" cm="1">
        <f t="array" ref="L1320">SUMPRODUCT(("T_B_u-BEVELC-S3"=[2]OUT_TransportEnergyCons!$A$3:$A$1000)*1,("Var_Fin"=[2]OUT_TransportEnergyCons!$B$3:$B$1000)*1,ISNUMBER(SEARCH("ELC",[2]OUT_TransportEnergyCons!$C$3:$C$1000))*1,[2]OUT_TransportEnergyCons!J$3:J$1000)</f>
        <v>0.78763751533391269</v>
      </c>
      <c r="N1320" s="1"/>
    </row>
    <row r="1321" spans="2:16" x14ac:dyDescent="0.35">
      <c r="B1321" s="5" t="str">
        <f t="shared" si="1394"/>
        <v>SPS1</v>
      </c>
      <c r="C1321" s="5" t="str">
        <f t="shared" si="1395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1.4796637298964924E-3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4.3504827794229933E-3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7.3535592315203662E-3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2.4897856540991838E-2</v>
      </c>
      <c r="J1321" s="1" cm="1">
        <f t="array" ref="J1321">SUMPRODUCT(("T_B_u-BEVELC-S4"=[2]OUT_TransportEnergyCons!$A$3:$A$1000)*1,("Var_Fin"=[2]OUT_TransportEnergyCons!$B$3:$B$1000)*1,ISNUMBER(SEARCH("ELC",[2]OUT_TransportEnergyCons!$C$3:$C$1000))*1,[2]OUT_TransportEnergyCons!H$3:H$1000)</f>
        <v>9.2099373095415522E-4</v>
      </c>
      <c r="K1321" s="1" cm="1">
        <f t="array" ref="K1321">SUMPRODUCT(("T_B_u-BEVELC-S4"=[2]OUT_TransportEnergyCons!$A$3:$A$1000)*1,("Var_Fin"=[2]OUT_TransportEnergyCons!$B$3:$B$1000)*1,ISNUMBER(SEARCH("ELC",[2]OUT_TransportEnergyCons!$C$3:$C$1000))*1,[2]OUT_TransportEnergyCons!I$3:I$1000)</f>
        <v>9.3693413314258712E-5</v>
      </c>
      <c r="L1321" s="1" cm="1">
        <f t="array" ref="L1321">SUMPRODUCT(("T_B_u-BEVELC-S4"=[2]OUT_TransportEnergyCons!$A$3:$A$1000)*1,("Var_Fin"=[2]OUT_TransportEnergyCons!$B$3:$B$1000)*1,ISNUMBER(SEARCH("ELC",[2]OUT_TransportEnergyCons!$C$3:$C$1000))*1,[2]OUT_TransportEnergyCons!J$3:J$1000)</f>
        <v>4.5324743901521453E-5</v>
      </c>
      <c r="N1321" s="1"/>
    </row>
    <row r="1322" spans="2:16" x14ac:dyDescent="0.35">
      <c r="B1322" s="5" t="str">
        <f t="shared" si="1394"/>
        <v>SPS1</v>
      </c>
      <c r="C1322" s="5" t="str">
        <f t="shared" si="1395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396">SUM(G1323:G1326)</f>
        <v>0</v>
      </c>
      <c r="H1322" s="1">
        <f t="shared" si="1396"/>
        <v>0</v>
      </c>
      <c r="I1322" s="1">
        <f t="shared" si="1396"/>
        <v>5.5006312076088962E-4</v>
      </c>
      <c r="J1322" s="1">
        <f t="shared" si="1396"/>
        <v>3.9784225954226598E-8</v>
      </c>
      <c r="K1322" s="1">
        <f t="shared" si="1396"/>
        <v>0</v>
      </c>
      <c r="L1322" s="1">
        <f t="shared" ref="L1322" si="1397">SUM(L1323:L1326)</f>
        <v>0</v>
      </c>
      <c r="N1322" s="1"/>
    </row>
    <row r="1323" spans="2:16" x14ac:dyDescent="0.35">
      <c r="B1323" s="5" t="str">
        <f t="shared" si="1394"/>
        <v>SPS1</v>
      </c>
      <c r="C1323" s="5" t="str">
        <f t="shared" si="1395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1.2057647434999166E-4</v>
      </c>
      <c r="J1323" s="1" cm="1">
        <f t="array" ref="J1323">SUMPRODUCT(("T_B_u-FCLH2O-S1"=[2]OUT_TransportEnergyCons!$A$3:$A$1000)*1,("Var_Fin"=[2]OUT_TransportEnergyCons!$B$3:$B$1000)*1,ISNUMBER(SEARCH("H2",[2]OUT_TransportEnergyCons!$C$3:$C$1000))*1,[2]OUT_TransportEnergyCons!H$3:H$1000)</f>
        <v>3.9784225954226598E-8</v>
      </c>
      <c r="K1323" s="1" cm="1">
        <f t="array" ref="K1323">SUMPRODUCT(("T_B_u-FCLH2O-S1"=[2]OUT_TransportEnergyCons!$A$3:$A$1000)*1,("Var_Fin"=[2]OUT_TransportEnergyCons!$B$3:$B$1000)*1,ISNUMBER(SEARCH("H2",[2]OUT_TransportEnergyCons!$C$3:$C$1000))*1,[2]OUT_TransportEnergyCons!I$3:I$1000)</f>
        <v>0</v>
      </c>
      <c r="L1323" s="1" cm="1">
        <f t="array" ref="L1323">SUMPRODUCT(("T_B_u-FCLH2O-S1"=[2]OUT_TransportEnergyCons!$A$3:$A$1000)*1,("Var_Fin"=[2]OUT_TransportEnergyCons!$B$3:$B$1000)*1,ISNUMBER(SEARCH("H2",[2]OUT_TransportEnergyCons!$C$3:$C$1000))*1,[2]OUT_TransportEnergyCons!J$3:J$1000)</f>
        <v>0</v>
      </c>
      <c r="N1323" s="1"/>
    </row>
    <row r="1324" spans="2:16" x14ac:dyDescent="0.35">
      <c r="B1324" s="5" t="str">
        <f t="shared" si="1394"/>
        <v>SPS1</v>
      </c>
      <c r="C1324" s="5" t="str">
        <f t="shared" si="1395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1.043825120630263E-4</v>
      </c>
      <c r="J1324" s="1" cm="1">
        <f t="array" ref="J1324">SUMPRODUCT(("T_B_u-FCLH2O-S2"=[2]OUT_TransportEnergyCons!$A$3:$A$1000)*1,("Var_Fin"=[2]OUT_TransportEnergyCons!$B$3:$B$1000)*1,ISNUMBER(SEARCH("H2",[2]OUT_TransportEnergyCons!$C$3:$C$1000))*1,[2]OUT_TransportEnergyCons!H$3:H$1000)</f>
        <v>0</v>
      </c>
      <c r="K1324" s="1" cm="1">
        <f t="array" ref="K1324">SUMPRODUCT(("T_B_u-FCLH2O-S2"=[2]OUT_TransportEnergyCons!$A$3:$A$1000)*1,("Var_Fin"=[2]OUT_TransportEnergyCons!$B$3:$B$1000)*1,ISNUMBER(SEARCH("H2",[2]OUT_TransportEnergyCons!$C$3:$C$1000))*1,[2]OUT_TransportEnergyCons!I$3:I$1000)</f>
        <v>0</v>
      </c>
      <c r="L1324" s="1" cm="1">
        <f t="array" ref="L1324">SUMPRODUCT(("T_B_u-FCLH2O-S2"=[2]OUT_TransportEnergyCons!$A$3:$A$1000)*1,("Var_Fin"=[2]OUT_TransportEnergyCons!$B$3:$B$1000)*1,ISNUMBER(SEARCH("H2",[2]OUT_TransportEnergyCons!$C$3:$C$1000))*1,[2]OUT_TransportEnergyCons!J$3:J$1000)</f>
        <v>0</v>
      </c>
      <c r="N1324" s="1"/>
    </row>
    <row r="1325" spans="2:16" x14ac:dyDescent="0.35">
      <c r="B1325" s="5" t="str">
        <f t="shared" si="1394"/>
        <v>SPS1</v>
      </c>
      <c r="C1325" s="5" t="str">
        <f t="shared" si="1395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1.6145010233653467E-4</v>
      </c>
      <c r="J1325" s="1" cm="1">
        <f t="array" ref="J1325">SUMPRODUCT(("T_B_u-FCLH2O-S3"=[2]OUT_TransportEnergyCons!$A$3:$A$1000)*1,("Var_Fin"=[2]OUT_TransportEnergyCons!$B$3:$B$1000)*1,ISNUMBER(SEARCH("H2",[2]OUT_TransportEnergyCons!$C$3:$C$1000))*1,[2]OUT_TransportEnergyCons!H$3:H$1000)</f>
        <v>0</v>
      </c>
      <c r="K1325" s="1" cm="1">
        <f t="array" ref="K1325">SUMPRODUCT(("T_B_u-FCLH2O-S3"=[2]OUT_TransportEnergyCons!$A$3:$A$1000)*1,("Var_Fin"=[2]OUT_TransportEnergyCons!$B$3:$B$1000)*1,ISNUMBER(SEARCH("H2",[2]OUT_TransportEnergyCons!$C$3:$C$1000))*1,[2]OUT_TransportEnergyCons!I$3:I$1000)</f>
        <v>0</v>
      </c>
      <c r="L1325" s="1" cm="1">
        <f t="array" ref="L1325">SUMPRODUCT(("T_B_u-FCLH2O-S3"=[2]OUT_TransportEnergyCons!$A$3:$A$1000)*1,("Var_Fin"=[2]OUT_TransportEnergyCons!$B$3:$B$1000)*1,ISNUMBER(SEARCH("H2",[2]OUT_TransportEnergyCons!$C$3:$C$1000))*1,[2]OUT_TransportEnergyCons!J$3:J$1000)</f>
        <v>0</v>
      </c>
      <c r="N1325" s="1"/>
    </row>
    <row r="1326" spans="2:16" x14ac:dyDescent="0.35">
      <c r="B1326" s="5" t="str">
        <f t="shared" si="1394"/>
        <v>SPS1</v>
      </c>
      <c r="C1326" s="5" t="str">
        <f t="shared" si="1395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1.6365403201133697E-4</v>
      </c>
      <c r="J1326" s="1" cm="1">
        <f t="array" ref="J1326">SUMPRODUCT(("T_B_u-FCLH2O-S4"=[2]OUT_TransportEnergyCons!$A$3:$A$1000)*1,("Var_Fin"=[2]OUT_TransportEnergyCons!$B$3:$B$1000)*1,ISNUMBER(SEARCH("H2",[2]OUT_TransportEnergyCons!$C$3:$C$1000))*1,[2]OUT_TransportEnergyCons!H$3:H$1000)</f>
        <v>0</v>
      </c>
      <c r="K1326" s="1" cm="1">
        <f t="array" ref="K1326">SUMPRODUCT(("T_B_u-FCLH2O-S4"=[2]OUT_TransportEnergyCons!$A$3:$A$1000)*1,("Var_Fin"=[2]OUT_TransportEnergyCons!$B$3:$B$1000)*1,ISNUMBER(SEARCH("H2",[2]OUT_TransportEnergyCons!$C$3:$C$1000))*1,[2]OUT_TransportEnergyCons!I$3:I$1000)</f>
        <v>0</v>
      </c>
      <c r="L1326" s="1" cm="1">
        <f t="array" ref="L1326">SUMPRODUCT(("T_B_u-FCLH2O-S4"=[2]OUT_TransportEnergyCons!$A$3:$A$1000)*1,("Var_Fin"=[2]OUT_TransportEnergyCons!$B$3:$B$1000)*1,ISNUMBER(SEARCH("H2",[2]OUT_TransportEnergyCons!$C$3:$C$1000))*1,[2]OUT_TransportEnergyCons!J$3:J$1000)</f>
        <v>0</v>
      </c>
      <c r="N1326" s="1"/>
    </row>
    <row r="1327" spans="2:16" x14ac:dyDescent="0.35">
      <c r="B1327" s="5" t="str">
        <f t="shared" si="1394"/>
        <v>SPS1</v>
      </c>
      <c r="C1327" s="5" t="str">
        <f t="shared" si="1395"/>
        <v>CH</v>
      </c>
      <c r="D1327" t="s">
        <v>1317</v>
      </c>
      <c r="E1327" t="s">
        <v>8</v>
      </c>
      <c r="F1327" s="1">
        <f>SUM(F1332:F1340)</f>
        <v>0.7536227296849396</v>
      </c>
      <c r="G1327" s="1">
        <f t="shared" ref="G1327:K1327" si="1398">SUM(G1332:G1340)</f>
        <v>1.1676086215176547</v>
      </c>
      <c r="H1327" s="1">
        <f t="shared" si="1398"/>
        <v>2.0203601521409085</v>
      </c>
      <c r="I1327" s="1">
        <f t="shared" si="1398"/>
        <v>4.5466620915683631E-3</v>
      </c>
      <c r="J1327" s="1">
        <f t="shared" si="1398"/>
        <v>1.6592855558611695E-5</v>
      </c>
      <c r="K1327" s="1">
        <f t="shared" si="1398"/>
        <v>0</v>
      </c>
      <c r="L1327" s="1">
        <f t="shared" ref="L1327" si="1399">SUM(L1332:L1340)</f>
        <v>1.948706563749862E-6</v>
      </c>
      <c r="N1327" s="1"/>
    </row>
    <row r="1328" spans="2:16" x14ac:dyDescent="0.35">
      <c r="B1328" s="5" t="str">
        <f t="shared" si="1394"/>
        <v>SPS1</v>
      </c>
      <c r="C1328" s="5" t="str">
        <f t="shared" si="1395"/>
        <v>CH</v>
      </c>
      <c r="D1328" t="s">
        <v>1318</v>
      </c>
      <c r="E1328" t="s">
        <v>8</v>
      </c>
      <c r="F1328" s="1">
        <f>IF(F1327-F1329&lt;0,0,F1327-F1329)</f>
        <v>0.73543053449855811</v>
      </c>
      <c r="G1328" s="1">
        <f t="shared" ref="G1328:L1328" si="1400">IF(G1327-G1329&lt;0,0,G1327-G1329)</f>
        <v>1.1371675803683441</v>
      </c>
      <c r="H1328" s="1">
        <f t="shared" si="1400"/>
        <v>1.9300792157017936</v>
      </c>
      <c r="I1328" s="1">
        <f t="shared" si="1400"/>
        <v>4.3178634765088913E-3</v>
      </c>
      <c r="J1328" s="1">
        <f t="shared" si="1400"/>
        <v>1.5178992703201503E-5</v>
      </c>
      <c r="K1328" s="1">
        <f t="shared" si="1400"/>
        <v>0</v>
      </c>
      <c r="L1328" s="1">
        <f t="shared" si="1400"/>
        <v>0</v>
      </c>
      <c r="N1328" s="1"/>
    </row>
    <row r="1329" spans="2:14" x14ac:dyDescent="0.35">
      <c r="B1329" s="5" t="str">
        <f t="shared" si="1394"/>
        <v>SPS1</v>
      </c>
      <c r="C1329" s="5" t="str">
        <f t="shared" si="1395"/>
        <v>CH</v>
      </c>
      <c r="D1329" t="s">
        <v>1319</v>
      </c>
      <c r="E1329" t="s">
        <v>8</v>
      </c>
      <c r="F1329" s="1">
        <f>SUM(F1330:F1331)</f>
        <v>1.8192195186381478E-2</v>
      </c>
      <c r="G1329" s="1">
        <f t="shared" ref="G1329" si="1401">SUM(G1330:G1331)</f>
        <v>3.0441041149310507E-2</v>
      </c>
      <c r="H1329" s="1">
        <f t="shared" ref="H1329" si="1402">SUM(H1330:H1331)</f>
        <v>9.0280936439114792E-2</v>
      </c>
      <c r="I1329" s="1">
        <f t="shared" ref="I1329" si="1403">SUM(I1330:I1331)</f>
        <v>2.2879861505947143E-4</v>
      </c>
      <c r="J1329" s="1">
        <f t="shared" ref="J1329" si="1404">SUM(J1330:J1331)</f>
        <v>1.4138628554101928E-6</v>
      </c>
      <c r="K1329" s="1">
        <f t="shared" ref="K1329:L1329" si="1405">SUM(K1330:K1331)</f>
        <v>0</v>
      </c>
      <c r="L1329" s="1">
        <f t="shared" si="1405"/>
        <v>1.963104697481946E-6</v>
      </c>
      <c r="N1329" s="1"/>
    </row>
    <row r="1330" spans="2:14" x14ac:dyDescent="0.35">
      <c r="B1330" s="5" t="str">
        <f t="shared" si="1394"/>
        <v>SPS1</v>
      </c>
      <c r="C1330" s="5" t="str">
        <f t="shared" si="1395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1.8192195186381478E-2</v>
      </c>
      <c r="G1330" s="1">
        <f>[1]Transport!C$26/SUM([1]Transport!C$22,[1]Transport!C$26)*G1327*(G$34+G$582)/(G$34+G$582+G$38)</f>
        <v>3.0441041149310507E-2</v>
      </c>
      <c r="H1330" s="1">
        <f>[1]Transport!D$26/SUM([1]Transport!D$22,[1]Transport!D$26)*H1327*(H$34+H$582)/(H$34+H$582+H$38)</f>
        <v>9.0280936439114792E-2</v>
      </c>
      <c r="I1330" s="1">
        <f>[1]Transport!E$26/SUM([1]Transport!E$22,[1]Transport!E$26)*I1327*(I$34+I$582)/(I$34+I$582+I$38)</f>
        <v>2.2879861505947143E-4</v>
      </c>
      <c r="J1330" s="1">
        <f>[2]Transport!F$26/SUM([2]Transport!F$22,[2]Transport!F$26)*J1327*(J$34+J$582)/(J$34+J$582+J$38)</f>
        <v>1.4138628554101928E-6</v>
      </c>
      <c r="K1330" s="1">
        <f>[2]Transport!G$26/SUM([2]Transport!G$22,[2]Transport!G$26)*K1327*(K$34+K$582)/(K$34+K$582+K$38)</f>
        <v>0</v>
      </c>
      <c r="L1330" s="1">
        <f>[2]Transport!H$26/SUM([2]Transport!H$22,[2]Transport!H$26)*L1327*(L$34+L$582)/(L$34+L$582+L$38)</f>
        <v>9.8338020607430953E-7</v>
      </c>
      <c r="N1330" s="1"/>
    </row>
    <row r="1331" spans="2:14" x14ac:dyDescent="0.35">
      <c r="B1331" s="5" t="str">
        <f t="shared" si="1394"/>
        <v>SPS1</v>
      </c>
      <c r="C1331" s="5" t="str">
        <f t="shared" si="1395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(J$38+J$718)/([2]Transport!F$22+[2]Transport!F$26)*J1327</f>
        <v>0</v>
      </c>
      <c r="K1331" s="1">
        <f>(K$38+K$718)/([2]Transport!G$22+[2]Transport!G$26)*K1327</f>
        <v>0</v>
      </c>
      <c r="L1331" s="1">
        <f>(L$38+L$718)/([2]Transport!H$22+[2]Transport!H$26)*L1327</f>
        <v>9.7972449140763622E-7</v>
      </c>
      <c r="N1331" s="1"/>
    </row>
    <row r="1332" spans="2:14" x14ac:dyDescent="0.35">
      <c r="B1332" s="5" t="str">
        <f t="shared" si="1394"/>
        <v>SPS1</v>
      </c>
      <c r="C1332" s="5" t="str">
        <f t="shared" si="1395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4.2367945554122557E-2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5.0839923821335009E-2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1.0684298667244189E-4</v>
      </c>
      <c r="J1332" s="1" cm="1">
        <f t="array" ref="J1332">SUMPRODUCT(("T_B_u-HYBDSL-S1"=[2]OUT_TransportEnergyCons!$A$3:$A$1000)*1,("Var_Fin"=[2]OUT_TransportEnergyCons!$B$3:$B$1000)*1,ISNUMBER(SEARCH("DSL",[2]OUT_TransportEnergyCons!$C$3:$C$1000))*1,[2]OUT_TransportEnergyCons!H$3:H$1000)</f>
        <v>1.2586713142390404E-5</v>
      </c>
      <c r="K1332" s="1" cm="1">
        <f t="array" ref="K1332">SUMPRODUCT(("T_B_u-HYBDSL-S1"=[2]OUT_TransportEnergyCons!$A$3:$A$1000)*1,("Var_Fin"=[2]OUT_TransportEnergyCons!$B$3:$B$1000)*1,ISNUMBER(SEARCH("DSL",[2]OUT_TransportEnergyCons!$C$3:$C$1000))*1,[2]OUT_TransportEnergyCons!I$3:I$1000)</f>
        <v>0</v>
      </c>
      <c r="L1332" s="1" cm="1">
        <f t="array" ref="L1332">SUMPRODUCT(("T_B_u-HYBDSL-S1"=[2]OUT_TransportEnergyCons!$A$3:$A$1000)*1,("Var_Fin"=[2]OUT_TransportEnergyCons!$B$3:$B$1000)*1,ISNUMBER(SEARCH("DSL",[2]OUT_TransportEnergyCons!$C$3:$C$1000))*1,[2]OUT_TransportEnergyCons!J$3:J$1000)</f>
        <v>0</v>
      </c>
      <c r="N1332" s="1"/>
    </row>
    <row r="1333" spans="2:14" x14ac:dyDescent="0.35">
      <c r="B1333" s="5" t="str">
        <f t="shared" si="1394"/>
        <v>SPS1</v>
      </c>
      <c r="C1333" s="5" t="str">
        <f t="shared" si="1395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2.8313002971595458E-3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6.1706592954065016E-3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1.9302365924091347E-4</v>
      </c>
      <c r="J1333" s="1" cm="1">
        <f t="array" ref="J1333">SUMPRODUCT(("T_B_u-HYBDSL-S2"=[2]OUT_TransportEnergyCons!$A$3:$A$1000)*1,("Var_Fin"=[2]OUT_TransportEnergyCons!$B$3:$B$1000)*1,ISNUMBER(SEARCH("DSL",[2]OUT_TransportEnergyCons!$C$3:$C$1000))*1,[2]OUT_TransportEnergyCons!H$3:H$1000)</f>
        <v>4.0061424162212901E-6</v>
      </c>
      <c r="K1333" s="1" cm="1">
        <f t="array" ref="K1333">SUMPRODUCT(("T_B_u-HYBDSL-S2"=[2]OUT_TransportEnergyCons!$A$3:$A$1000)*1,("Var_Fin"=[2]OUT_TransportEnergyCons!$B$3:$B$1000)*1,ISNUMBER(SEARCH("DSL",[2]OUT_TransportEnergyCons!$C$3:$C$1000))*1,[2]OUT_TransportEnergyCons!I$3:I$1000)</f>
        <v>0</v>
      </c>
      <c r="L1333" s="1" cm="1">
        <f t="array" ref="L1333">SUMPRODUCT(("T_B_u-HYBDSL-S2"=[2]OUT_TransportEnergyCons!$A$3:$A$1000)*1,("Var_Fin"=[2]OUT_TransportEnergyCons!$B$3:$B$1000)*1,ISNUMBER(SEARCH("DSL",[2]OUT_TransportEnergyCons!$C$3:$C$1000))*1,[2]OUT_TransportEnergyCons!J$3:J$1000)</f>
        <v>0</v>
      </c>
      <c r="N1333" s="1"/>
    </row>
    <row r="1334" spans="2:14" x14ac:dyDescent="0.35">
      <c r="B1334" s="5" t="str">
        <f t="shared" si="1394"/>
        <v>SPS1</v>
      </c>
      <c r="C1334" s="5" t="str">
        <f t="shared" si="1395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5.2518818332171081E-3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8.9233025831578581E-3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5.0925688129633997E-4</v>
      </c>
      <c r="J1334" s="1" cm="1">
        <f t="array" ref="J1334">SUMPRODUCT(("T_B_u-HYBDSL-S3"=[2]OUT_TransportEnergyCons!$A$3:$A$1000)*1,("Var_Fin"=[2]OUT_TransportEnergyCons!$B$3:$B$1000)*1,ISNUMBER(SEARCH("DSL",[2]OUT_TransportEnergyCons!$C$3:$C$1000))*1,[2]OUT_TransportEnergyCons!H$3:H$1000)</f>
        <v>0</v>
      </c>
      <c r="K1334" s="1" cm="1">
        <f t="array" ref="K1334">SUMPRODUCT(("T_B_u-HYBDSL-S3"=[2]OUT_TransportEnergyCons!$A$3:$A$1000)*1,("Var_Fin"=[2]OUT_TransportEnergyCons!$B$3:$B$1000)*1,ISNUMBER(SEARCH("DSL",[2]OUT_TransportEnergyCons!$C$3:$C$1000))*1,[2]OUT_TransportEnergyCons!I$3:I$1000)</f>
        <v>0</v>
      </c>
      <c r="L1334" s="1" cm="1">
        <f t="array" ref="L1334">SUMPRODUCT(("T_B_u-HYBDSL-S3"=[2]OUT_TransportEnergyCons!$A$3:$A$1000)*1,("Var_Fin"=[2]OUT_TransportEnergyCons!$B$3:$B$1000)*1,ISNUMBER(SEARCH("DSL",[2]OUT_TransportEnergyCons!$C$3:$C$1000))*1,[2]OUT_TransportEnergyCons!J$3:J$1000)</f>
        <v>1.948706563749862E-6</v>
      </c>
      <c r="N1334" s="1"/>
    </row>
    <row r="1335" spans="2:14" x14ac:dyDescent="0.35">
      <c r="B1335" s="5" t="str">
        <f t="shared" si="1394"/>
        <v>SPS1</v>
      </c>
      <c r="C1335" s="5" t="str">
        <f t="shared" si="1395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4.4476549577757423E-4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9.0773491903551413E-4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4.1127198295730155E-4</v>
      </c>
      <c r="J1335" s="1" cm="1">
        <f t="array" ref="J1335">SUMPRODUCT(("T_B_u-HYBDSL-S4"=[2]OUT_TransportEnergyCons!$A$3:$A$1000)*1,("Var_Fin"=[2]OUT_TransportEnergyCons!$B$3:$B$1000)*1,ISNUMBER(SEARCH("DSL",[2]OUT_TransportEnergyCons!$C$3:$C$1000))*1,[2]OUT_TransportEnergyCons!H$3:H$1000)</f>
        <v>0</v>
      </c>
      <c r="K1335" s="1" cm="1">
        <f t="array" ref="K1335">SUMPRODUCT(("T_B_u-HYBDSL-S4"=[2]OUT_TransportEnergyCons!$A$3:$A$1000)*1,("Var_Fin"=[2]OUT_TransportEnergyCons!$B$3:$B$1000)*1,ISNUMBER(SEARCH("DSL",[2]OUT_TransportEnergyCons!$C$3:$C$1000))*1,[2]OUT_TransportEnergyCons!I$3:I$1000)</f>
        <v>0</v>
      </c>
      <c r="L1335" s="1" cm="1">
        <f t="array" ref="L1335">SUMPRODUCT(("T_B_u-HYBDSL-S4"=[2]OUT_TransportEnergyCons!$A$3:$A$1000)*1,("Var_Fin"=[2]OUT_TransportEnergyCons!$B$3:$B$1000)*1,ISNUMBER(SEARCH("DSL",[2]OUT_TransportEnergyCons!$C$3:$C$1000))*1,[2]OUT_TransportEnergyCons!J$3:J$1000)</f>
        <v>0</v>
      </c>
      <c r="N1335" s="1"/>
    </row>
    <row r="1336" spans="2:14" x14ac:dyDescent="0.35">
      <c r="B1336" s="5" t="str">
        <f t="shared" si="1394"/>
        <v>SPS1</v>
      </c>
      <c r="C1336" s="5" t="str">
        <f t="shared" si="1395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1.7323535843650411E-2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1.7309620658331071E-2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1.7205303809380557E-2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SUMPRODUCT(("T_B_u-ICEDSLEXT"=[2]OUT_TransportEnergyCons!$A$3:$A$1000)*1,("Var_Fin"=[2]OUT_TransportEnergyCons!$B$3:$B$1000)*1,ISNUMBER(SEARCH("DSL",[2]OUT_TransportEnergyCons!$C$3:$C$1000))*1,[2]OUT_TransportEnergyCons!H$3:H$1000)</f>
        <v>0</v>
      </c>
      <c r="K1336" s="1" cm="1">
        <f t="array" ref="K1336">SUMPRODUCT(("T_B_u-ICEDSLEXT"=[2]OUT_TransportEnergyCons!$A$3:$A$1000)*1,("Var_Fin"=[2]OUT_TransportEnergyCons!$B$3:$B$1000)*1,ISNUMBER(SEARCH("DSL",[2]OUT_TransportEnergyCons!$C$3:$C$1000))*1,[2]OUT_TransportEnergyCons!I$3:I$1000)</f>
        <v>0</v>
      </c>
      <c r="L1336" s="1" cm="1">
        <f t="array" ref="L1336">SUMPRODUCT(("T_B_u-ICEDSLEXT"=[2]OUT_TransportEnergyCons!$A$3:$A$1000)*1,("Var_Fin"=[2]OUT_TransportEnergyCons!$B$3:$B$1000)*1,ISNUMBER(SEARCH("DSL",[2]OUT_TransportEnergyCons!$C$3:$C$1000))*1,[2]OUT_TransportEnergyCons!J$3:J$1000)</f>
        <v>0</v>
      </c>
      <c r="N1336" s="1"/>
    </row>
    <row r="1337" spans="2:14" x14ac:dyDescent="0.35">
      <c r="B1337" s="5" t="str">
        <f t="shared" si="1394"/>
        <v>SPS1</v>
      </c>
      <c r="C1337" s="5" t="str">
        <f t="shared" si="1395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8.0300332306343218E-4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0.1117262963017483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0.2598213870236698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1.3768028025773447E-4</v>
      </c>
      <c r="J1337" s="1" cm="1">
        <f t="array" ref="J1337">SUMPRODUCT(("T_B_u-ICEDSL-S1"=[2]OUT_TransportEnergyCons!$A$3:$A$1000)*1,("Var_Fin"=[2]OUT_TransportEnergyCons!$B$3:$B$1000)*1,ISNUMBER(SEARCH("DSL",[2]OUT_TransportEnergyCons!$C$3:$C$1000))*1,[2]OUT_TransportEnergyCons!H$3:H$1000)</f>
        <v>0</v>
      </c>
      <c r="K1337" s="1" cm="1">
        <f t="array" ref="K1337">SUMPRODUCT(("T_B_u-ICEDSL-S1"=[2]OUT_TransportEnergyCons!$A$3:$A$1000)*1,("Var_Fin"=[2]OUT_TransportEnergyCons!$B$3:$B$1000)*1,ISNUMBER(SEARCH("DSL",[2]OUT_TransportEnergyCons!$C$3:$C$1000))*1,[2]OUT_TransportEnergyCons!I$3:I$1000)</f>
        <v>0</v>
      </c>
      <c r="L1337" s="1" cm="1">
        <f t="array" ref="L1337">SUMPRODUCT(("T_B_u-ICEDSL-S1"=[2]OUT_TransportEnergyCons!$A$3:$A$1000)*1,("Var_Fin"=[2]OUT_TransportEnergyCons!$B$3:$B$1000)*1,ISNUMBER(SEARCH("DSL",[2]OUT_TransportEnergyCons!$C$3:$C$1000))*1,[2]OUT_TransportEnergyCons!J$3:J$1000)</f>
        <v>0</v>
      </c>
      <c r="N1337" s="1"/>
    </row>
    <row r="1338" spans="2:14" x14ac:dyDescent="0.35">
      <c r="B1338" s="5" t="str">
        <f t="shared" si="1394"/>
        <v>SPS1</v>
      </c>
      <c r="C1338" s="5" t="str">
        <f t="shared" si="1395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0.10205634371657067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0.11199998618001675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0.16278872147502296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9.190708875387811E-4</v>
      </c>
      <c r="J1338" s="1" cm="1">
        <f t="array" ref="J1338">SUMPRODUCT(("T_B_u-ICEDSL-S2"=[2]OUT_TransportEnergyCons!$A$3:$A$1000)*1,("Var_Fin"=[2]OUT_TransportEnergyCons!$B$3:$B$1000)*1,ISNUMBER(SEARCH("DSL",[2]OUT_TransportEnergyCons!$C$3:$C$1000))*1,[2]OUT_TransportEnergyCons!H$3:H$1000)</f>
        <v>0</v>
      </c>
      <c r="K1338" s="1" cm="1">
        <f t="array" ref="K1338">SUMPRODUCT(("T_B_u-ICEDSL-S2"=[2]OUT_TransportEnergyCons!$A$3:$A$1000)*1,("Var_Fin"=[2]OUT_TransportEnergyCons!$B$3:$B$1000)*1,ISNUMBER(SEARCH("DSL",[2]OUT_TransportEnergyCons!$C$3:$C$1000))*1,[2]OUT_TransportEnergyCons!I$3:I$1000)</f>
        <v>0</v>
      </c>
      <c r="L1338" s="1" cm="1">
        <f t="array" ref="L1338">SUMPRODUCT(("T_B_u-ICEDSL-S2"=[2]OUT_TransportEnergyCons!$A$3:$A$1000)*1,("Var_Fin"=[2]OUT_TransportEnergyCons!$B$3:$B$1000)*1,ISNUMBER(SEARCH("DSL",[2]OUT_TransportEnergyCons!$C$3:$C$1000))*1,[2]OUT_TransportEnergyCons!J$3:J$1000)</f>
        <v>0</v>
      </c>
      <c r="N1338" s="1"/>
    </row>
    <row r="1339" spans="2:14" x14ac:dyDescent="0.35">
      <c r="B1339" s="5" t="str">
        <f t="shared" si="1394"/>
        <v>SPS1</v>
      </c>
      <c r="C1339" s="5" t="str">
        <f t="shared" si="1395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0.617997995815463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0.87174173094889229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1.5070067580689368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1.2338394954341072E-3</v>
      </c>
      <c r="J1339" s="1" cm="1">
        <f t="array" ref="J1339">SUMPRODUCT(("T_B_u-ICEDSL-S3"=[2]OUT_TransportEnergyCons!$A$3:$A$1000)*1,("Var_Fin"=[2]OUT_TransportEnergyCons!$B$3:$B$1000)*1,ISNUMBER(SEARCH("DSL",[2]OUT_TransportEnergyCons!$C$3:$C$1000))*1,[2]OUT_TransportEnergyCons!H$3:H$1000)</f>
        <v>0</v>
      </c>
      <c r="K1339" s="1" cm="1">
        <f t="array" ref="K1339">SUMPRODUCT(("T_B_u-ICEDSL-S3"=[2]OUT_TransportEnergyCons!$A$3:$A$1000)*1,("Var_Fin"=[2]OUT_TransportEnergyCons!$B$3:$B$1000)*1,ISNUMBER(SEARCH("DSL",[2]OUT_TransportEnergyCons!$C$3:$C$1000))*1,[2]OUT_TransportEnergyCons!I$3:I$1000)</f>
        <v>0</v>
      </c>
      <c r="L1339" s="1" cm="1">
        <f t="array" ref="L1339">SUMPRODUCT(("T_B_u-ICEDSL-S3"=[2]OUT_TransportEnergyCons!$A$3:$A$1000)*1,("Var_Fin"=[2]OUT_TransportEnergyCons!$B$3:$B$1000)*1,ISNUMBER(SEARCH("DSL",[2]OUT_TransportEnergyCons!$C$3:$C$1000))*1,[2]OUT_TransportEnergyCons!J$3:J$1000)</f>
        <v>0</v>
      </c>
      <c r="N1339" s="1"/>
    </row>
    <row r="1340" spans="2:14" x14ac:dyDescent="0.35">
      <c r="B1340" s="5" t="str">
        <f t="shared" si="1394"/>
        <v>SPS1</v>
      </c>
      <c r="C1340" s="5" t="str">
        <f t="shared" si="1395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1.5441850986192118E-2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3.9350942483893777E-3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6.696361144963723E-3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1.0356759181707432E-3</v>
      </c>
      <c r="J1340" s="1" cm="1">
        <f t="array" ref="J1340">SUMPRODUCT(("T_B_u-ICEDSL-S4"=[2]OUT_TransportEnergyCons!$A$3:$A$1000)*1,("Var_Fin"=[2]OUT_TransportEnergyCons!$B$3:$B$1000)*1,ISNUMBER(SEARCH("DSL",[2]OUT_TransportEnergyCons!$C$3:$C$1000))*1,[2]OUT_TransportEnergyCons!H$3:H$1000)</f>
        <v>0</v>
      </c>
      <c r="K1340" s="1" cm="1">
        <f t="array" ref="K1340">SUMPRODUCT(("T_B_u-ICEDSL-S4"=[2]OUT_TransportEnergyCons!$A$3:$A$1000)*1,("Var_Fin"=[2]OUT_TransportEnergyCons!$B$3:$B$1000)*1,ISNUMBER(SEARCH("DSL",[2]OUT_TransportEnergyCons!$C$3:$C$1000))*1,[2]OUT_TransportEnergyCons!I$3:I$1000)</f>
        <v>0</v>
      </c>
      <c r="L1340" s="1" cm="1">
        <f t="array" ref="L1340">SUMPRODUCT(("T_B_u-ICEDSL-S4"=[2]OUT_TransportEnergyCons!$A$3:$A$1000)*1,("Var_Fin"=[2]OUT_TransportEnergyCons!$B$3:$B$1000)*1,ISNUMBER(SEARCH("DSL",[2]OUT_TransportEnergyCons!$C$3:$C$1000))*1,[2]OUT_TransportEnergyCons!J$3:J$1000)</f>
        <v>0</v>
      </c>
      <c r="N1340" s="1"/>
    </row>
    <row r="1341" spans="2:14" x14ac:dyDescent="0.35">
      <c r="B1341" s="5" t="str">
        <f t="shared" si="1394"/>
        <v>SPS1</v>
      </c>
      <c r="C1341" s="5" t="str">
        <f t="shared" si="1395"/>
        <v>CH</v>
      </c>
      <c r="D1341" t="s">
        <v>1343</v>
      </c>
      <c r="E1341" t="s">
        <v>8</v>
      </c>
      <c r="F1341" s="1">
        <f>SUM(F1346:F1350)</f>
        <v>3.1958796353785218E-4</v>
      </c>
      <c r="G1341" s="1">
        <f t="shared" ref="G1341:K1341" si="1406">SUM(G1346:G1350)</f>
        <v>6.8163710929064966E-3</v>
      </c>
      <c r="H1341" s="1">
        <f t="shared" si="1406"/>
        <v>2.4909037043737349E-2</v>
      </c>
      <c r="I1341" s="1">
        <f t="shared" si="1406"/>
        <v>3.3424146328196775E-3</v>
      </c>
      <c r="J1341" s="1">
        <f t="shared" si="1406"/>
        <v>0</v>
      </c>
      <c r="K1341" s="1">
        <f t="shared" si="1406"/>
        <v>0</v>
      </c>
      <c r="L1341" s="1">
        <f t="shared" ref="L1341" si="1407">SUM(L1346:L1350)</f>
        <v>0</v>
      </c>
      <c r="N1341" s="1"/>
    </row>
    <row r="1342" spans="2:14" x14ac:dyDescent="0.35">
      <c r="B1342" s="5" t="str">
        <f t="shared" si="1394"/>
        <v>SPS1</v>
      </c>
      <c r="C1342" s="5" t="str">
        <f t="shared" si="1395"/>
        <v>CH</v>
      </c>
      <c r="D1342" t="s">
        <v>1344</v>
      </c>
      <c r="E1342" t="s">
        <v>8</v>
      </c>
      <c r="F1342" s="1">
        <f>IF(F1341-F1343&lt;0,0,F1341-F1343)</f>
        <v>2.9386180202665757E-4</v>
      </c>
      <c r="G1342" s="1">
        <f t="shared" ref="G1342:L1342" si="1408">IF(G1341-G1343&lt;0,0,G1341-G1343)</f>
        <v>6.1515998544094466E-3</v>
      </c>
      <c r="H1342" s="1">
        <f t="shared" si="1408"/>
        <v>2.2579084705890762E-2</v>
      </c>
      <c r="I1342" s="1">
        <f t="shared" si="1408"/>
        <v>2.7831706007222265E-3</v>
      </c>
      <c r="J1342" s="1">
        <f t="shared" si="1408"/>
        <v>0</v>
      </c>
      <c r="K1342" s="1">
        <f t="shared" si="1408"/>
        <v>0</v>
      </c>
      <c r="L1342" s="1">
        <f t="shared" si="1408"/>
        <v>0</v>
      </c>
      <c r="N1342" s="1"/>
    </row>
    <row r="1343" spans="2:14" x14ac:dyDescent="0.35">
      <c r="B1343" s="5" t="str">
        <f t="shared" si="1394"/>
        <v>SPS1</v>
      </c>
      <c r="C1343" s="5" t="str">
        <f t="shared" si="1395"/>
        <v>CH</v>
      </c>
      <c r="D1343" t="s">
        <v>1345</v>
      </c>
      <c r="E1343" t="s">
        <v>8</v>
      </c>
      <c r="F1343" s="1">
        <f>SUM(F1344:F1345)</f>
        <v>2.572616151119462E-5</v>
      </c>
      <c r="G1343" s="1">
        <f t="shared" ref="G1343" si="1409">SUM(G1344:G1345)</f>
        <v>6.6477123849704989E-4</v>
      </c>
      <c r="H1343" s="1">
        <f t="shared" ref="H1343" si="1410">SUM(H1344:H1345)</f>
        <v>2.3299523378465885E-3</v>
      </c>
      <c r="I1343" s="1">
        <f t="shared" ref="I1343" si="1411">SUM(I1344:I1345)</f>
        <v>5.5924403209745108E-4</v>
      </c>
      <c r="J1343" s="1">
        <f t="shared" ref="J1343" si="1412">SUM(J1344:J1345)</f>
        <v>0</v>
      </c>
      <c r="K1343" s="1">
        <f t="shared" ref="K1343:L1343" si="1413">SUM(K1344:K1345)</f>
        <v>0</v>
      </c>
      <c r="L1343" s="1">
        <f t="shared" si="1413"/>
        <v>0</v>
      </c>
      <c r="N1343" s="1"/>
    </row>
    <row r="1344" spans="2:14" x14ac:dyDescent="0.35">
      <c r="B1344" s="5" t="str">
        <f t="shared" si="1394"/>
        <v>SPS1</v>
      </c>
      <c r="C1344" s="5" t="str">
        <f t="shared" si="1395"/>
        <v>CH</v>
      </c>
      <c r="D1344" t="s">
        <v>1346</v>
      </c>
      <c r="E1344" t="s">
        <v>8</v>
      </c>
      <c r="F1344" s="1">
        <f>[1]Transport!B$27/SUM([1]Transport!B$24,[1]Transport!B$27)*F1341*(F$47+F$614)/(F$47+F$614+F$49)</f>
        <v>2.572616151119462E-5</v>
      </c>
      <c r="G1344" s="1">
        <f>[1]Transport!C$27/SUM([1]Transport!C$24,[1]Transport!C$27)*G1341*(G$47+G$614)/(G$47+G$614+G$49)</f>
        <v>6.6477123849704989E-4</v>
      </c>
      <c r="H1344" s="1">
        <f>[1]Transport!D$27/SUM([1]Transport!D$24,[1]Transport!D$27)*H1341*(H$47+H$614)/(H$47+H$614+H$49)</f>
        <v>2.3299523378465885E-3</v>
      </c>
      <c r="I1344" s="1">
        <f>[1]Transport!E$27/SUM([1]Transport!E$24,[1]Transport!E$27)*I1341*(I$47+I$614)/(I$47+I$614+I$49)</f>
        <v>5.5924403209745108E-4</v>
      </c>
      <c r="J1344" s="1">
        <f>[2]Transport!F$27/SUM([2]Transport!F$24,[2]Transport!F$27)*J1341*(J$47+J$614)/(J$47+J$614+J$49)</f>
        <v>0</v>
      </c>
      <c r="K1344" s="1">
        <f>[2]Transport!G$27/SUM([2]Transport!G$24,[2]Transport!G$27)*K1341*(K$47+K$614)/(K$47+K$614+K$49)</f>
        <v>0</v>
      </c>
      <c r="L1344" s="1">
        <f>[2]Transport!H$27/SUM([2]Transport!H$24,[2]Transport!H$27)*L1341*(L$47+L$614)/(L$47+L$614+L$49)</f>
        <v>0</v>
      </c>
      <c r="N1344" s="1"/>
    </row>
    <row r="1345" spans="2:14" x14ac:dyDescent="0.35">
      <c r="B1345" s="5" t="str">
        <f t="shared" si="1394"/>
        <v>SPS1</v>
      </c>
      <c r="C1345" s="5" t="str">
        <f t="shared" si="1395"/>
        <v>CH</v>
      </c>
      <c r="D1345" t="s">
        <v>1347</v>
      </c>
      <c r="E1345" t="s">
        <v>8</v>
      </c>
      <c r="F1345" s="1">
        <f>(F$49+F$716)/([1]Transport!B$24+[1]Transport!B$27)*F1341</f>
        <v>0</v>
      </c>
      <c r="G1345" s="1">
        <f>(G$49+G$716)/([1]Transport!C$24+[1]Transport!C$27)*G1341</f>
        <v>0</v>
      </c>
      <c r="H1345" s="1">
        <f>(H$49+H$716)/([1]Transport!D$24+[1]Transport!D$27)*H1341</f>
        <v>0</v>
      </c>
      <c r="I1345" s="1">
        <f>(I$49+I$716)/([1]Transport!E$24+[1]Transport!E$27)*I1341</f>
        <v>0</v>
      </c>
      <c r="J1345" s="1">
        <f>(J$49+J$716)/([2]Transport!F$24+[2]Transport!F$27)*J1341</f>
        <v>0</v>
      </c>
      <c r="K1345" s="1">
        <f>(K$49+K$716)/([2]Transport!G$24+[2]Transport!G$27)*K1341</f>
        <v>0</v>
      </c>
      <c r="L1345" s="1">
        <f>(L$49+L$716)/([2]Transport!H$24+[2]Transport!H$27)*L1341</f>
        <v>0</v>
      </c>
      <c r="N1345" s="1"/>
    </row>
    <row r="1346" spans="2:14" x14ac:dyDescent="0.35">
      <c r="B1346" s="5" t="str">
        <f t="shared" si="1394"/>
        <v>SPS1</v>
      </c>
      <c r="C1346" s="5" t="str">
        <f t="shared" si="1395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3.1958796353785218E-4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3.2660113027697339E-4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3.2884410245894943E-4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SUMPRODUCT(("T_B_u-ICEngaEXT"=[2]OUT_TransportEnergyCons!$A$3:$A$1000)*1,("Var_Fin"=[2]OUT_TransportEnergyCons!$B$3:$B$1000)*1,ISNUMBER(SEARCH("nga",[2]OUT_TransportEnergyCons!$C$3:$C$1000))*1,[2]OUT_TransportEnergyCons!H$3:H$1000)</f>
        <v>0</v>
      </c>
      <c r="K1346" s="1" cm="1">
        <f t="array" ref="K1346">SUMPRODUCT(("T_B_u-ICEngaEXT"=[2]OUT_TransportEnergyCons!$A$3:$A$1000)*1,("Var_Fin"=[2]OUT_TransportEnergyCons!$B$3:$B$1000)*1,ISNUMBER(SEARCH("nga",[2]OUT_TransportEnergyCons!$C$3:$C$1000))*1,[2]OUT_TransportEnergyCons!I$3:I$1000)</f>
        <v>0</v>
      </c>
      <c r="L1346" s="1" cm="1">
        <f t="array" ref="L1346">SUMPRODUCT(("T_B_u-ICEngaEXT"=[2]OUT_TransportEnergyCons!$A$3:$A$1000)*1,("Var_Fin"=[2]OUT_TransportEnergyCons!$B$3:$B$1000)*1,ISNUMBER(SEARCH("nga",[2]OUT_TransportEnergyCons!$C$3:$C$1000))*1,[2]OUT_TransportEnergyCons!J$3:J$1000)</f>
        <v>0</v>
      </c>
      <c r="N1346" s="1"/>
    </row>
    <row r="1347" spans="2:14" x14ac:dyDescent="0.35">
      <c r="B1347" s="5" t="str">
        <f t="shared" si="1394"/>
        <v>SPS1</v>
      </c>
      <c r="C1347" s="5" t="str">
        <f t="shared" si="1395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2.3781197463432296E-3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5.0984103155730749E-3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5.282311773662521E-4</v>
      </c>
      <c r="J1347" s="1" cm="1">
        <f t="array" ref="J1347">SUMPRODUCT(("T_B_u-ICEnga-S1"=[2]OUT_TransportEnergyCons!$A$3:$A$1000)*1,("Var_Fin"=[2]OUT_TransportEnergyCons!$B$3:$B$1000)*1,ISNUMBER(SEARCH("nga",[2]OUT_TransportEnergyCons!$C$3:$C$1000))*1,[2]OUT_TransportEnergyCons!H$3:H$1000)</f>
        <v>0</v>
      </c>
      <c r="K1347" s="1" cm="1">
        <f t="array" ref="K1347">SUMPRODUCT(("T_B_u-ICEnga-S1"=[2]OUT_TransportEnergyCons!$A$3:$A$1000)*1,("Var_Fin"=[2]OUT_TransportEnergyCons!$B$3:$B$1000)*1,ISNUMBER(SEARCH("nga",[2]OUT_TransportEnergyCons!$C$3:$C$1000))*1,[2]OUT_TransportEnergyCons!I$3:I$1000)</f>
        <v>0</v>
      </c>
      <c r="L1347" s="1" cm="1">
        <f t="array" ref="L1347">SUMPRODUCT(("T_B_u-ICEnga-S1"=[2]OUT_TransportEnergyCons!$A$3:$A$1000)*1,("Var_Fin"=[2]OUT_TransportEnergyCons!$B$3:$B$1000)*1,ISNUMBER(SEARCH("nga",[2]OUT_TransportEnergyCons!$C$3:$C$1000))*1,[2]OUT_TransportEnergyCons!J$3:J$1000)</f>
        <v>0</v>
      </c>
      <c r="N1347" s="1"/>
    </row>
    <row r="1348" spans="2:14" x14ac:dyDescent="0.35">
      <c r="B1348" s="5" t="str">
        <f t="shared" si="1394"/>
        <v>SPS1</v>
      </c>
      <c r="C1348" s="5" t="str">
        <f t="shared" si="1395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1.4647888631091652E-3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5.2084729214573371E-3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6.3755287099338679E-4</v>
      </c>
      <c r="J1348" s="1" cm="1">
        <f t="array" ref="J1348">SUMPRODUCT(("T_B_u-ICEnga-S2"=[2]OUT_TransportEnergyCons!$A$3:$A$1000)*1,("Var_Fin"=[2]OUT_TransportEnergyCons!$B$3:$B$1000)*1,ISNUMBER(SEARCH("nga",[2]OUT_TransportEnergyCons!$C$3:$C$1000))*1,[2]OUT_TransportEnergyCons!H$3:H$1000)</f>
        <v>0</v>
      </c>
      <c r="K1348" s="1" cm="1">
        <f t="array" ref="K1348">SUMPRODUCT(("T_B_u-ICEnga-S2"=[2]OUT_TransportEnergyCons!$A$3:$A$1000)*1,("Var_Fin"=[2]OUT_TransportEnergyCons!$B$3:$B$1000)*1,ISNUMBER(SEARCH("nga",[2]OUT_TransportEnergyCons!$C$3:$C$1000))*1,[2]OUT_TransportEnergyCons!I$3:I$1000)</f>
        <v>0</v>
      </c>
      <c r="L1348" s="1" cm="1">
        <f t="array" ref="L1348">SUMPRODUCT(("T_B_u-ICEnga-S2"=[2]OUT_TransportEnergyCons!$A$3:$A$1000)*1,("Var_Fin"=[2]OUT_TransportEnergyCons!$B$3:$B$1000)*1,ISNUMBER(SEARCH("nga",[2]OUT_TransportEnergyCons!$C$3:$C$1000))*1,[2]OUT_TransportEnergyCons!J$3:J$1000)</f>
        <v>0</v>
      </c>
      <c r="N1348" s="1"/>
    </row>
    <row r="1349" spans="2:14" x14ac:dyDescent="0.35">
      <c r="B1349" s="5" t="str">
        <f t="shared" si="1394"/>
        <v>SPS1</v>
      </c>
      <c r="C1349" s="5" t="str">
        <f t="shared" si="1395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2.1356870167187924E-3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1.2813199461561493E-2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1.1735769637990902E-3</v>
      </c>
      <c r="J1349" s="1" cm="1">
        <f t="array" ref="J1349">SUMPRODUCT(("T_B_u-ICEnga-S3"=[2]OUT_TransportEnergyCons!$A$3:$A$1000)*1,("Var_Fin"=[2]OUT_TransportEnergyCons!$B$3:$B$1000)*1,ISNUMBER(SEARCH("nga",[2]OUT_TransportEnergyCons!$C$3:$C$1000))*1,[2]OUT_TransportEnergyCons!H$3:H$1000)</f>
        <v>0</v>
      </c>
      <c r="K1349" s="1" cm="1">
        <f t="array" ref="K1349">SUMPRODUCT(("T_B_u-ICEnga-S3"=[2]OUT_TransportEnergyCons!$A$3:$A$1000)*1,("Var_Fin"=[2]OUT_TransportEnergyCons!$B$3:$B$1000)*1,ISNUMBER(SEARCH("nga",[2]OUT_TransportEnergyCons!$C$3:$C$1000))*1,[2]OUT_TransportEnergyCons!I$3:I$1000)</f>
        <v>0</v>
      </c>
      <c r="L1349" s="1" cm="1">
        <f t="array" ref="L1349">SUMPRODUCT(("T_B_u-ICEnga-S3"=[2]OUT_TransportEnergyCons!$A$3:$A$1000)*1,("Var_Fin"=[2]OUT_TransportEnergyCons!$B$3:$B$1000)*1,ISNUMBER(SEARCH("nga",[2]OUT_TransportEnergyCons!$C$3:$C$1000))*1,[2]OUT_TransportEnergyCons!J$3:J$1000)</f>
        <v>0</v>
      </c>
      <c r="N1349" s="1"/>
    </row>
    <row r="1350" spans="2:14" x14ac:dyDescent="0.35">
      <c r="B1350" s="5" t="str">
        <f t="shared" si="1394"/>
        <v>SPS1</v>
      </c>
      <c r="C1350" s="5" t="str">
        <f t="shared" si="1395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5.1117433645833687E-4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1.460110242686498E-3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1.0030536206609487E-3</v>
      </c>
      <c r="J1350" s="1" cm="1">
        <f t="array" ref="J1350">SUMPRODUCT(("T_B_u-ICEnga-S4"=[2]OUT_TransportEnergyCons!$A$3:$A$1000)*1,("Var_Fin"=[2]OUT_TransportEnergyCons!$B$3:$B$1000)*1,ISNUMBER(SEARCH("nga",[2]OUT_TransportEnergyCons!$C$3:$C$1000))*1,[2]OUT_TransportEnergyCons!H$3:H$1000)</f>
        <v>0</v>
      </c>
      <c r="K1350" s="1" cm="1">
        <f t="array" ref="K1350">SUMPRODUCT(("T_B_u-ICEnga-S4"=[2]OUT_TransportEnergyCons!$A$3:$A$1000)*1,("Var_Fin"=[2]OUT_TransportEnergyCons!$B$3:$B$1000)*1,ISNUMBER(SEARCH("nga",[2]OUT_TransportEnergyCons!$C$3:$C$1000))*1,[2]OUT_TransportEnergyCons!I$3:I$1000)</f>
        <v>0</v>
      </c>
      <c r="L1350" s="1" cm="1">
        <f t="array" ref="L1350">SUMPRODUCT(("T_B_u-ICEnga-S4"=[2]OUT_TransportEnergyCons!$A$3:$A$1000)*1,("Var_Fin"=[2]OUT_TransportEnergyCons!$B$3:$B$1000)*1,ISNUMBER(SEARCH("nga",[2]OUT_TransportEnergyCons!$C$3:$C$1000))*1,[2]OUT_TransportEnergyCons!J$3:J$1000)</f>
        <v>0</v>
      </c>
      <c r="N1350" s="1"/>
    </row>
    <row r="1351" spans="2:14" x14ac:dyDescent="0.3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0.2968795183905088</v>
      </c>
      <c r="G1351" s="3">
        <f t="shared" ref="G1351:K1351" si="1414">SUM(G1352:G1374)</f>
        <v>0.30219222541584206</v>
      </c>
      <c r="H1351" s="3">
        <f t="shared" si="1414"/>
        <v>0.31021463884339934</v>
      </c>
      <c r="I1351" s="3">
        <f t="shared" si="1414"/>
        <v>0.32357821960057503</v>
      </c>
      <c r="J1351" s="3">
        <f t="shared" si="1414"/>
        <v>0.33688720964146912</v>
      </c>
      <c r="K1351" s="3">
        <f t="shared" si="1414"/>
        <v>0.35121844686106862</v>
      </c>
      <c r="L1351" s="3">
        <f t="shared" ref="L1351" si="1415">SUM(L1352:L1374)</f>
        <v>0.3757030885609221</v>
      </c>
      <c r="N1351" s="1"/>
    </row>
    <row r="1352" spans="2:14" x14ac:dyDescent="0.3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2.069699747680074E-3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1.7042181035781467E-3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1.0609188645374344E-3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SUMPRODUCT(("T_B_u-BeVELCEXT"=[2]OUT_TransportEnergyCons!$A$3:$A$1000)*1,("var_fout"=[2]OUT_TransportEnergyCons!$B$3:$B$1000)*1,ISNUMBER(SEARCH("tpbsu",[2]OUT_TransportEnergyCons!$C$3:$C$1000))*1,[2]OUT_TransportEnergyCons!H$3:H$1000)</f>
        <v>0</v>
      </c>
      <c r="K1352" s="1" cm="1">
        <f t="array" ref="K1352">SUMPRODUCT(("T_B_u-BeVELCEXT"=[2]OUT_TransportEnergyCons!$A$3:$A$1000)*1,("var_fout"=[2]OUT_TransportEnergyCons!$B$3:$B$1000)*1,ISNUMBER(SEARCH("tpbsu",[2]OUT_TransportEnergyCons!$C$3:$C$1000))*1,[2]OUT_TransportEnergyCons!I$3:I$1000)</f>
        <v>0</v>
      </c>
      <c r="L1352" s="1" cm="1">
        <f t="array" ref="L1352">SUMPRODUCT(("T_B_u-BeVELCEXT"=[2]OUT_TransportEnergyCons!$A$3:$A$1000)*1,("var_fout"=[2]OUT_TransportEnergyCons!$B$3:$B$1000)*1,ISNUMBER(SEARCH("tpbsu",[2]OUT_TransportEnergyCons!$C$3:$C$1000))*1,[2]OUT_TransportEnergyCons!J$3:J$1000)</f>
        <v>0</v>
      </c>
      <c r="N1352" s="1"/>
    </row>
    <row r="1353" spans="2:14" x14ac:dyDescent="0.35">
      <c r="B1353" s="5" t="str">
        <f t="shared" ref="B1353:B1374" si="1416">B1352</f>
        <v>SPS1</v>
      </c>
      <c r="C1353" s="5" t="str">
        <f t="shared" ref="C1353:C1374" si="1417">C1352</f>
        <v>CH</v>
      </c>
      <c r="D1353" t="s">
        <v>1350</v>
      </c>
      <c r="E1353" t="str">
        <f t="shared" ref="E1353:E1374" si="1418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2.1119754479936794E-5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1.283020964777295E-2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1.8584211028950502E-2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0.1062158456128276</v>
      </c>
      <c r="J1353" s="1" cm="1">
        <f t="array" ref="J1353">SUMPRODUCT(("T_B_u-BEVELC-S1"=[2]OUT_TransportEnergyCons!$A$3:$A$1000)*1,("var_fout"=[2]OUT_TransportEnergyCons!$B$3:$B$1000)*1,ISNUMBER(SEARCH("tpbsu",[2]OUT_TransportEnergyCons!$C$3:$C$1000))*1,[2]OUT_TransportEnergyCons!H$3:H$1000)</f>
        <v>0.11452503207229799</v>
      </c>
      <c r="K1353" s="1" cm="1">
        <f t="array" ref="K1353">SUMPRODUCT(("T_B_u-BEVELC-S1"=[2]OUT_TransportEnergyCons!$A$3:$A$1000)*1,("var_fout"=[2]OUT_TransportEnergyCons!$B$3:$B$1000)*1,ISNUMBER(SEARCH("tpbsu",[2]OUT_TransportEnergyCons!$C$3:$C$1000))*1,[2]OUT_TransportEnergyCons!I$3:I$1000)</f>
        <v>0.1195267058052536</v>
      </c>
      <c r="L1353" s="1" cm="1">
        <f t="array" ref="L1353">SUMPRODUCT(("T_B_u-BEVELC-S1"=[2]OUT_TransportEnergyCons!$A$3:$A$1000)*1,("var_fout"=[2]OUT_TransportEnergyCons!$B$3:$B$1000)*1,ISNUMBER(SEARCH("tpbsu",[2]OUT_TransportEnergyCons!$C$3:$C$1000))*1,[2]OUT_TransportEnergyCons!J$3:J$1000)</f>
        <v>0.12786678083862632</v>
      </c>
      <c r="N1353" s="1"/>
    </row>
    <row r="1354" spans="2:14" x14ac:dyDescent="0.35">
      <c r="B1354" s="5" t="str">
        <f t="shared" si="1416"/>
        <v>SPS1</v>
      </c>
      <c r="C1354" s="5" t="str">
        <f t="shared" si="1417"/>
        <v>CH</v>
      </c>
      <c r="D1354" t="s">
        <v>1351</v>
      </c>
      <c r="E1354" t="str">
        <f t="shared" si="1418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6.6357837340836234E-4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2.4576348014040939E-3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7.3009697464081775E-3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3.9731281503223435E-2</v>
      </c>
      <c r="J1354" s="1" cm="1">
        <f t="array" ref="J1354">SUMPRODUCT(("T_B_u-BEVELC-S2"=[2]OUT_TransportEnergyCons!$A$3:$A$1000)*1,("var_fout"=[2]OUT_TransportEnergyCons!$B$3:$B$1000)*1,ISNUMBER(SEARCH("tpbsu",[2]OUT_TransportEnergyCons!$C$3:$C$1000))*1,[2]OUT_TransportEnergyCons!H$3:H$1000)</f>
        <v>4.1381205497840252E-2</v>
      </c>
      <c r="K1354" s="1" cm="1">
        <f t="array" ref="K1354">SUMPRODUCT(("T_B_u-BEVELC-S2"=[2]OUT_TransportEnergyCons!$A$3:$A$1000)*1,("var_fout"=[2]OUT_TransportEnergyCons!$B$3:$B$1000)*1,ISNUMBER(SEARCH("tpbsu",[2]OUT_TransportEnergyCons!$C$3:$C$1000))*1,[2]OUT_TransportEnergyCons!I$3:I$1000)</f>
        <v>4.3141171564980631E-2</v>
      </c>
      <c r="L1354" s="1" cm="1">
        <f t="array" ref="L1354">SUMPRODUCT(("T_B_u-BEVELC-S2"=[2]OUT_TransportEnergyCons!$A$3:$A$1000)*1,("var_fout"=[2]OUT_TransportEnergyCons!$B$3:$B$1000)*1,ISNUMBER(SEARCH("tpbsu",[2]OUT_TransportEnergyCons!$C$3:$C$1000))*1,[2]OUT_TransportEnergyCons!J$3:J$1000)</f>
        <v>4.6147432479807897E-2</v>
      </c>
      <c r="N1354" s="1"/>
    </row>
    <row r="1355" spans="2:14" x14ac:dyDescent="0.35">
      <c r="B1355" s="5" t="str">
        <f t="shared" si="1416"/>
        <v>SPS1</v>
      </c>
      <c r="C1355" s="5" t="str">
        <f t="shared" si="1417"/>
        <v>CH</v>
      </c>
      <c r="D1355" t="s">
        <v>1352</v>
      </c>
      <c r="E1355" t="str">
        <f t="shared" si="1418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2.0580398733543699E-3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4.0806278617089211E-3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7.6555854267575827E-3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0.17344254537374912</v>
      </c>
      <c r="J1355" s="1" cm="1">
        <f t="array" ref="J1355">SUMPRODUCT(("T_B_u-BEVELC-S3"=[2]OUT_TransportEnergyCons!$A$3:$A$1000)*1,("var_fout"=[2]OUT_TransportEnergyCons!$B$3:$B$1000)*1,ISNUMBER(SEARCH("tpbsu",[2]OUT_TransportEnergyCons!$C$3:$C$1000))*1,[2]OUT_TransportEnergyCons!H$3:H$1000)</f>
        <v>0.18084383750504213</v>
      </c>
      <c r="K1355" s="1" cm="1">
        <f t="array" ref="K1355">SUMPRODUCT(("T_B_u-BEVELC-S3"=[2]OUT_TransportEnergyCons!$A$3:$A$1000)*1,("var_fout"=[2]OUT_TransportEnergyCons!$B$3:$B$1000)*1,ISNUMBER(SEARCH("tpbsu",[2]OUT_TransportEnergyCons!$C$3:$C$1000))*1,[2]OUT_TransportEnergyCons!I$3:I$1000)</f>
        <v>0.1885358726488178</v>
      </c>
      <c r="L1355" s="1" cm="1">
        <f t="array" ref="L1355">SUMPRODUCT(("T_B_u-BEVELC-S3"=[2]OUT_TransportEnergyCons!$A$3:$A$1000)*1,("var_fout"=[2]OUT_TransportEnergyCons!$B$3:$B$1000)*1,ISNUMBER(SEARCH("tpbsu",[2]OUT_TransportEnergyCons!$C$3:$C$1000))*1,[2]OUT_TransportEnergyCons!J$3:J$1000)</f>
        <v>0.20168092097245341</v>
      </c>
      <c r="N1355" s="1"/>
    </row>
    <row r="1356" spans="2:14" x14ac:dyDescent="0.35">
      <c r="B1356" s="5" t="str">
        <f t="shared" si="1416"/>
        <v>SPS1</v>
      </c>
      <c r="C1356" s="5" t="str">
        <f t="shared" si="1417"/>
        <v>CH</v>
      </c>
      <c r="D1356" t="s">
        <v>1353</v>
      </c>
      <c r="E1356" t="str">
        <f t="shared" si="1418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1.8049989694102938E-4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5.4294037456633281E-4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9.4230311089095193E-4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3.5501880638219097E-3</v>
      </c>
      <c r="J1356" s="1" cm="1">
        <f t="array" ref="J1356">SUMPRODUCT(("T_B_u-BEVELC-S4"=[2]OUT_TransportEnergyCons!$A$3:$A$1000)*1,("var_fout"=[2]OUT_TransportEnergyCons!$B$3:$B$1000)*1,ISNUMBER(SEARCH("tpbsu",[2]OUT_TransportEnergyCons!$C$3:$C$1000))*1,[2]OUT_TransportEnergyCons!H$3:H$1000)</f>
        <v>1.3411790922703172E-4</v>
      </c>
      <c r="K1356" s="1" cm="1">
        <f t="array" ref="K1356">SUMPRODUCT(("T_B_u-BEVELC-S4"=[2]OUT_TransportEnergyCons!$A$3:$A$1000)*1,("var_fout"=[2]OUT_TransportEnergyCons!$B$3:$B$1000)*1,ISNUMBER(SEARCH("tpbsu",[2]OUT_TransportEnergyCons!$C$3:$C$1000))*1,[2]OUT_TransportEnergyCons!I$3:I$1000)</f>
        <v>1.4696842016598347E-5</v>
      </c>
      <c r="L1356" s="1" cm="1">
        <f t="array" ref="L1356">SUMPRODUCT(("T_B_u-BEVELC-S4"=[2]OUT_TransportEnergyCons!$A$3:$A$1000)*1,("var_fout"=[2]OUT_TransportEnergyCons!$B$3:$B$1000)*1,ISNUMBER(SEARCH("tpbsu",[2]OUT_TransportEnergyCons!$C$3:$C$1000))*1,[2]OUT_TransportEnergyCons!J$3:J$1000)</f>
        <v>7.7618703524863276E-6</v>
      </c>
      <c r="N1356" s="1"/>
    </row>
    <row r="1357" spans="2:14" x14ac:dyDescent="0.35">
      <c r="B1357" s="5" t="str">
        <f t="shared" si="1416"/>
        <v>SPS1</v>
      </c>
      <c r="C1357" s="5" t="str">
        <f t="shared" si="1417"/>
        <v>CH</v>
      </c>
      <c r="D1357" t="s">
        <v>1354</v>
      </c>
      <c r="E1357" t="str">
        <f t="shared" si="1418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2.8263338012571438E-5</v>
      </c>
      <c r="J1357" s="1" cm="1">
        <f t="array" ref="J1357">SUMPRODUCT(("T_B_u-FCLH2O-S1"=[2]OUT_TransportEnergyCons!$A$3:$A$1000)*1,("var_fout"=[2]OUT_TransportEnergyCons!$B$3:$B$1000)*1,ISNUMBER(SEARCH("tpbsu",[2]OUT_TransportEnergyCons!$C$3:$C$1000))*1,[2]OUT_TransportEnergyCons!H$3:H$1000)</f>
        <v>1.00121603267236E-8</v>
      </c>
      <c r="K1357" s="1" cm="1">
        <f t="array" ref="K1357">SUMPRODUCT(("T_B_u-FCLH2O-S1"=[2]OUT_TransportEnergyCons!$A$3:$A$1000)*1,("var_fout"=[2]OUT_TransportEnergyCons!$B$3:$B$1000)*1,ISNUMBER(SEARCH("tpbsu",[2]OUT_TransportEnergyCons!$C$3:$C$1000))*1,[2]OUT_TransportEnergyCons!I$3:I$1000)</f>
        <v>0</v>
      </c>
      <c r="L1357" s="1" cm="1">
        <f t="array" ref="L1357">SUMPRODUCT(("T_B_u-FCLH2O-S1"=[2]OUT_TransportEnergyCons!$A$3:$A$1000)*1,("var_fout"=[2]OUT_TransportEnergyCons!$B$3:$B$1000)*1,ISNUMBER(SEARCH("tpbsu",[2]OUT_TransportEnergyCons!$C$3:$C$1000))*1,[2]OUT_TransportEnergyCons!J$3:J$1000)</f>
        <v>0</v>
      </c>
      <c r="N1357" s="1"/>
    </row>
    <row r="1358" spans="2:14" x14ac:dyDescent="0.35">
      <c r="B1358" s="5" t="str">
        <f t="shared" si="1416"/>
        <v>SPS1</v>
      </c>
      <c r="C1358" s="5" t="str">
        <f t="shared" si="1417"/>
        <v>CH</v>
      </c>
      <c r="D1358" t="s">
        <v>1355</v>
      </c>
      <c r="E1358" t="str">
        <f t="shared" si="1418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1.7651240878267877E-5</v>
      </c>
      <c r="J1358" s="1" cm="1">
        <f t="array" ref="J1358">SUMPRODUCT(("T_B_u-FCLH2O-S2"=[2]OUT_TransportEnergyCons!$A$3:$A$1000)*1,("var_fout"=[2]OUT_TransportEnergyCons!$B$3:$B$1000)*1,ISNUMBER(SEARCH("tpbsu",[2]OUT_TransportEnergyCons!$C$3:$C$1000))*1,[2]OUT_TransportEnergyCons!H$3:H$1000)</f>
        <v>0</v>
      </c>
      <c r="K1358" s="1" cm="1">
        <f t="array" ref="K1358">SUMPRODUCT(("T_B_u-FCLH2O-S2"=[2]OUT_TransportEnergyCons!$A$3:$A$1000)*1,("var_fout"=[2]OUT_TransportEnergyCons!$B$3:$B$1000)*1,ISNUMBER(SEARCH("tpbsu",[2]OUT_TransportEnergyCons!$C$3:$C$1000))*1,[2]OUT_TransportEnergyCons!I$3:I$1000)</f>
        <v>0</v>
      </c>
      <c r="L1358" s="1" cm="1">
        <f t="array" ref="L1358">SUMPRODUCT(("T_B_u-FCLH2O-S2"=[2]OUT_TransportEnergyCons!$A$3:$A$1000)*1,("var_fout"=[2]OUT_TransportEnergyCons!$B$3:$B$1000)*1,ISNUMBER(SEARCH("tpbsu",[2]OUT_TransportEnergyCons!$C$3:$C$1000))*1,[2]OUT_TransportEnergyCons!J$3:J$1000)</f>
        <v>0</v>
      </c>
      <c r="N1358" s="1"/>
    </row>
    <row r="1359" spans="2:14" x14ac:dyDescent="0.35">
      <c r="B1359" s="5" t="str">
        <f t="shared" si="1416"/>
        <v>SPS1</v>
      </c>
      <c r="C1359" s="5" t="str">
        <f t="shared" si="1417"/>
        <v>CH</v>
      </c>
      <c r="D1359" t="s">
        <v>1356</v>
      </c>
      <c r="E1359" t="str">
        <f t="shared" si="1418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1.8261361362408397E-5</v>
      </c>
      <c r="J1359" s="1" cm="1">
        <f t="array" ref="J1359">SUMPRODUCT(("T_B_u-FCLH2O-S3"=[2]OUT_TransportEnergyCons!$A$3:$A$1000)*1,("var_fout"=[2]OUT_TransportEnergyCons!$B$3:$B$1000)*1,ISNUMBER(SEARCH("tpbsu",[2]OUT_TransportEnergyCons!$C$3:$C$1000))*1,[2]OUT_TransportEnergyCons!H$3:H$1000)</f>
        <v>0</v>
      </c>
      <c r="K1359" s="1" cm="1">
        <f t="array" ref="K1359">SUMPRODUCT(("T_B_u-FCLH2O-S3"=[2]OUT_TransportEnergyCons!$A$3:$A$1000)*1,("var_fout"=[2]OUT_TransportEnergyCons!$B$3:$B$1000)*1,ISNUMBER(SEARCH("tpbsu",[2]OUT_TransportEnergyCons!$C$3:$C$1000))*1,[2]OUT_TransportEnergyCons!I$3:I$1000)</f>
        <v>0</v>
      </c>
      <c r="L1359" s="1" cm="1">
        <f t="array" ref="L1359">SUMPRODUCT(("T_B_u-FCLH2O-S3"=[2]OUT_TransportEnergyCons!$A$3:$A$1000)*1,("var_fout"=[2]OUT_TransportEnergyCons!$B$3:$B$1000)*1,ISNUMBER(SEARCH("tpbsu",[2]OUT_TransportEnergyCons!$C$3:$C$1000))*1,[2]OUT_TransportEnergyCons!J$3:J$1000)</f>
        <v>0</v>
      </c>
      <c r="N1359" s="1"/>
    </row>
    <row r="1360" spans="2:14" x14ac:dyDescent="0.35">
      <c r="B1360" s="5" t="str">
        <f t="shared" si="1416"/>
        <v>SPS1</v>
      </c>
      <c r="C1360" s="5" t="str">
        <f t="shared" si="1417"/>
        <v>CH</v>
      </c>
      <c r="D1360" t="s">
        <v>1357</v>
      </c>
      <c r="E1360" t="str">
        <f t="shared" si="1418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1.2420792818835754E-5</v>
      </c>
      <c r="J1360" s="1" cm="1">
        <f t="array" ref="J1360">SUMPRODUCT(("T_B_u-FCLH2O-S4"=[2]OUT_TransportEnergyCons!$A$3:$A$1000)*1,("var_fout"=[2]OUT_TransportEnergyCons!$B$3:$B$1000)*1,ISNUMBER(SEARCH("tpbsu",[2]OUT_TransportEnergyCons!$C$3:$C$1000))*1,[2]OUT_TransportEnergyCons!H$3:H$1000)</f>
        <v>0</v>
      </c>
      <c r="K1360" s="1" cm="1">
        <f t="array" ref="K1360">SUMPRODUCT(("T_B_u-FCLH2O-S4"=[2]OUT_TransportEnergyCons!$A$3:$A$1000)*1,("var_fout"=[2]OUT_TransportEnergyCons!$B$3:$B$1000)*1,ISNUMBER(SEARCH("tpbsu",[2]OUT_TransportEnergyCons!$C$3:$C$1000))*1,[2]OUT_TransportEnergyCons!I$3:I$1000)</f>
        <v>0</v>
      </c>
      <c r="L1360" s="1" cm="1">
        <f t="array" ref="L1360">SUMPRODUCT(("T_B_u-FCLH2O-S4"=[2]OUT_TransportEnergyCons!$A$3:$A$1000)*1,("var_fout"=[2]OUT_TransportEnergyCons!$B$3:$B$1000)*1,ISNUMBER(SEARCH("tpbsu",[2]OUT_TransportEnergyCons!$C$3:$C$1000))*1,[2]OUT_TransportEnergyCons!J$3:J$1000)</f>
        <v>0</v>
      </c>
      <c r="N1360" s="1"/>
    </row>
    <row r="1361" spans="2:14" x14ac:dyDescent="0.35">
      <c r="B1361" s="5" t="str">
        <f t="shared" si="1416"/>
        <v>SPS1</v>
      </c>
      <c r="C1361" s="5" t="str">
        <f t="shared" si="1417"/>
        <v>CH</v>
      </c>
      <c r="D1361" t="s">
        <v>1358</v>
      </c>
      <c r="E1361" t="str">
        <f t="shared" si="1418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6.8853715802157343E-3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8.3313308665358826E-3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1.8410561254178524E-5</v>
      </c>
      <c r="J1361" s="1" cm="1">
        <f t="array" ref="J1361">SUMPRODUCT(("T_B_u-HYBDSL-S1"=[2]OUT_TransportEnergyCons!$A$3:$A$1000)*1,("var_fout"=[2]OUT_TransportEnergyCons!$B$3:$B$1000)*1,ISNUMBER(SEARCH("tpbsu",[2]OUT_TransportEnergyCons!$C$3:$C$1000))*1,[2]OUT_TransportEnergyCons!H$3:H$1000)</f>
        <v>2.4481936535675666E-6</v>
      </c>
      <c r="K1361" s="1" cm="1">
        <f t="array" ref="K1361">SUMPRODUCT(("T_B_u-HYBDSL-S1"=[2]OUT_TransportEnergyCons!$A$3:$A$1000)*1,("var_fout"=[2]OUT_TransportEnergyCons!$B$3:$B$1000)*1,ISNUMBER(SEARCH("tpbsu",[2]OUT_TransportEnergyCons!$C$3:$C$1000))*1,[2]OUT_TransportEnergyCons!I$3:I$1000)</f>
        <v>0</v>
      </c>
      <c r="L1361" s="1" cm="1">
        <f t="array" ref="L1361">SUMPRODUCT(("T_B_u-HYBDSL-S1"=[2]OUT_TransportEnergyCons!$A$3:$A$1000)*1,("var_fout"=[2]OUT_TransportEnergyCons!$B$3:$B$1000)*1,ISNUMBER(SEARCH("tpbsu",[2]OUT_TransportEnergyCons!$C$3:$C$1000))*1,[2]OUT_TransportEnergyCons!J$3:J$1000)</f>
        <v>0</v>
      </c>
      <c r="N1361" s="1"/>
    </row>
    <row r="1362" spans="2:14" x14ac:dyDescent="0.35">
      <c r="B1362" s="5" t="str">
        <f t="shared" si="1416"/>
        <v>SPS1</v>
      </c>
      <c r="C1362" s="5" t="str">
        <f t="shared" si="1417"/>
        <v>CH</v>
      </c>
      <c r="D1362" t="s">
        <v>1359</v>
      </c>
      <c r="E1362" t="str">
        <f t="shared" si="1418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3.2982931096350827E-4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7.3770140373026569E-4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2.3993739364750304E-5</v>
      </c>
      <c r="J1362" s="1" cm="1">
        <f t="array" ref="J1362">SUMPRODUCT(("T_B_u-HYBDSL-S2"=[2]OUT_TransportEnergyCons!$A$3:$A$1000)*1,("var_fout"=[2]OUT_TransportEnergyCons!$B$3:$B$1000)*1,ISNUMBER(SEARCH("tpbsu",[2]OUT_TransportEnergyCons!$C$3:$C$1000))*1,[2]OUT_TransportEnergyCons!H$3:H$1000)</f>
        <v>5.5845124782141327E-7</v>
      </c>
      <c r="K1362" s="1" cm="1">
        <f t="array" ref="K1362">SUMPRODUCT(("T_B_u-HYBDSL-S2"=[2]OUT_TransportEnergyCons!$A$3:$A$1000)*1,("var_fout"=[2]OUT_TransportEnergyCons!$B$3:$B$1000)*1,ISNUMBER(SEARCH("tpbsu",[2]OUT_TransportEnergyCons!$C$3:$C$1000))*1,[2]OUT_TransportEnergyCons!I$3:I$1000)</f>
        <v>0</v>
      </c>
      <c r="L1362" s="1" cm="1">
        <f t="array" ref="L1362">SUMPRODUCT(("T_B_u-HYBDSL-S2"=[2]OUT_TransportEnergyCons!$A$3:$A$1000)*1,("var_fout"=[2]OUT_TransportEnergyCons!$B$3:$B$1000)*1,ISNUMBER(SEARCH("tpbsu",[2]OUT_TransportEnergyCons!$C$3:$C$1000))*1,[2]OUT_TransportEnergyCons!J$3:J$1000)</f>
        <v>0</v>
      </c>
      <c r="N1362" s="1"/>
    </row>
    <row r="1363" spans="2:14" x14ac:dyDescent="0.35">
      <c r="B1363" s="5" t="str">
        <f t="shared" si="1416"/>
        <v>SPS1</v>
      </c>
      <c r="C1363" s="5" t="str">
        <f t="shared" si="1417"/>
        <v>CH</v>
      </c>
      <c r="D1363" t="s">
        <v>1360</v>
      </c>
      <c r="E1363" t="str">
        <f t="shared" si="1418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4.108853246442473E-4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7.1223003643087286E-4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4.2756586093244895E-5</v>
      </c>
      <c r="J1363" s="1" cm="1">
        <f t="array" ref="J1363">SUMPRODUCT(("T_B_u-HYBDSL-S3"=[2]OUT_TransportEnergyCons!$A$3:$A$1000)*1,("var_fout"=[2]OUT_TransportEnergyCons!$B$3:$B$1000)*1,ISNUMBER(SEARCH("tpbsu",[2]OUT_TransportEnergyCons!$C$3:$C$1000))*1,[2]OUT_TransportEnergyCons!H$3:H$1000)</f>
        <v>0</v>
      </c>
      <c r="K1363" s="1" cm="1">
        <f t="array" ref="K1363">SUMPRODUCT(("T_B_u-HYBDSL-S3"=[2]OUT_TransportEnergyCons!$A$3:$A$1000)*1,("var_fout"=[2]OUT_TransportEnergyCons!$B$3:$B$1000)*1,ISNUMBER(SEARCH("tpbsu",[2]OUT_TransportEnergyCons!$C$3:$C$1000))*1,[2]OUT_TransportEnergyCons!I$3:I$1000)</f>
        <v>0</v>
      </c>
      <c r="L1363" s="1" cm="1">
        <f t="array" ref="L1363">SUMPRODUCT(("T_B_u-HYBDSL-S3"=[2]OUT_TransportEnergyCons!$A$3:$A$1000)*1,("var_fout"=[2]OUT_TransportEnergyCons!$B$3:$B$1000)*1,ISNUMBER(SEARCH("tpbsu",[2]OUT_TransportEnergyCons!$C$3:$C$1000))*1,[2]OUT_TransportEnergyCons!J$3:J$1000)</f>
        <v>1.9239968194295692E-7</v>
      </c>
      <c r="N1363" s="1"/>
    </row>
    <row r="1364" spans="2:14" x14ac:dyDescent="0.35">
      <c r="B1364" s="5" t="str">
        <f t="shared" si="1416"/>
        <v>SPS1</v>
      </c>
      <c r="C1364" s="5" t="str">
        <f t="shared" si="1417"/>
        <v>CH</v>
      </c>
      <c r="D1364" t="s">
        <v>1361</v>
      </c>
      <c r="E1364" t="str">
        <f t="shared" si="1418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2.3462020289192208E-5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4.9018131399460307E-5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2.3209544856457946E-5</v>
      </c>
      <c r="J1364" s="1" cm="1">
        <f t="array" ref="J1364">SUMPRODUCT(("T_B_u-HYBDSL-S4"=[2]OUT_TransportEnergyCons!$A$3:$A$1000)*1,("var_fout"=[2]OUT_TransportEnergyCons!$B$3:$B$1000)*1,ISNUMBER(SEARCH("tpbsu",[2]OUT_TransportEnergyCons!$C$3:$C$1000))*1,[2]OUT_TransportEnergyCons!H$3:H$1000)</f>
        <v>0</v>
      </c>
      <c r="K1364" s="1" cm="1">
        <f t="array" ref="K1364">SUMPRODUCT(("T_B_u-HYBDSL-S4"=[2]OUT_TransportEnergyCons!$A$3:$A$1000)*1,("var_fout"=[2]OUT_TransportEnergyCons!$B$3:$B$1000)*1,ISNUMBER(SEARCH("tpbsu",[2]OUT_TransportEnergyCons!$C$3:$C$1000))*1,[2]OUT_TransportEnergyCons!I$3:I$1000)</f>
        <v>0</v>
      </c>
      <c r="L1364" s="1" cm="1">
        <f t="array" ref="L1364">SUMPRODUCT(("T_B_u-HYBDSL-S4"=[2]OUT_TransportEnergyCons!$A$3:$A$1000)*1,("var_fout"=[2]OUT_TransportEnergyCons!$B$3:$B$1000)*1,ISNUMBER(SEARCH("tpbsu",[2]OUT_TransportEnergyCons!$C$3:$C$1000))*1,[2]OUT_TransportEnergyCons!J$3:J$1000)</f>
        <v>0</v>
      </c>
      <c r="N1364" s="1"/>
    </row>
    <row r="1365" spans="2:14" x14ac:dyDescent="0.35">
      <c r="B1365" s="5" t="str">
        <f t="shared" si="1416"/>
        <v>SPS1</v>
      </c>
      <c r="C1365" s="5" t="str">
        <f t="shared" si="1417"/>
        <v>CH</v>
      </c>
      <c r="D1365" t="s">
        <v>2001</v>
      </c>
      <c r="E1365" t="str">
        <f t="shared" si="1418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0.24198694105284999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0.19368767145318413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0.12079792672857369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SUMPRODUCT(("T_B_u-ICEDSLEXT"=[2]OUT_TransportEnergyCons!$A$3:$A$1000)*1,("var_fout"=[2]OUT_TransportEnergyCons!$B$3:$B$1000)*1,ISNUMBER(SEARCH("tpbsu",[2]OUT_TransportEnergyCons!$C$3:$C$1000))*1,[2]OUT_TransportEnergyCons!H$3:H$1000)</f>
        <v>0</v>
      </c>
      <c r="K1365" s="1" cm="1">
        <f t="array" ref="K1365">SUMPRODUCT(("T_B_u-ICEDSLEXT"=[2]OUT_TransportEnergyCons!$A$3:$A$1000)*1,("var_fout"=[2]OUT_TransportEnergyCons!$B$3:$B$1000)*1,ISNUMBER(SEARCH("tpbsu",[2]OUT_TransportEnergyCons!$C$3:$C$1000))*1,[2]OUT_TransportEnergyCons!I$3:I$1000)</f>
        <v>0</v>
      </c>
      <c r="L1365" s="1" cm="1">
        <f t="array" ref="L1365">SUMPRODUCT(("T_B_u-ICEDSLEXT"=[2]OUT_TransportEnergyCons!$A$3:$A$1000)*1,("var_fout"=[2]OUT_TransportEnergyCons!$B$3:$B$1000)*1,ISNUMBER(SEARCH("tpbsu",[2]OUT_TransportEnergyCons!$C$3:$C$1000))*1,[2]OUT_TransportEnergyCons!J$3:J$1000)</f>
        <v>0</v>
      </c>
      <c r="N1365" s="1"/>
    </row>
    <row r="1366" spans="2:14" x14ac:dyDescent="0.35">
      <c r="B1366" s="5" t="str">
        <f t="shared" si="1416"/>
        <v>SPS1</v>
      </c>
      <c r="C1366" s="5" t="str">
        <f t="shared" si="1417"/>
        <v>CH</v>
      </c>
      <c r="D1366" t="s">
        <v>1362</v>
      </c>
      <c r="E1366" t="str">
        <f t="shared" si="1418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9.9507503282491807E-5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1.4355094916924624E-2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3.4402343355592377E-2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1.7568474188955871E-5</v>
      </c>
      <c r="J1366" s="1" cm="1">
        <f t="array" ref="J1366">SUMPRODUCT(("T_B_u-ICEDSL-S1"=[2]OUT_TransportEnergyCons!$A$3:$A$1000)*1,("var_fout"=[2]OUT_TransportEnergyCons!$B$3:$B$1000)*1,ISNUMBER(SEARCH("tpbsu",[2]OUT_TransportEnergyCons!$C$3:$C$1000))*1,[2]OUT_TransportEnergyCons!H$3:H$1000)</f>
        <v>0</v>
      </c>
      <c r="K1366" s="1" cm="1">
        <f t="array" ref="K1366">SUMPRODUCT(("T_B_u-ICEDSL-S1"=[2]OUT_TransportEnergyCons!$A$3:$A$1000)*1,("var_fout"=[2]OUT_TransportEnergyCons!$B$3:$B$1000)*1,ISNUMBER(SEARCH("tpbsu",[2]OUT_TransportEnergyCons!$C$3:$C$1000))*1,[2]OUT_TransportEnergyCons!I$3:I$1000)</f>
        <v>0</v>
      </c>
      <c r="L1366" s="1" cm="1">
        <f t="array" ref="L1366">SUMPRODUCT(("T_B_u-ICEDSL-S1"=[2]OUT_TransportEnergyCons!$A$3:$A$1000)*1,("var_fout"=[2]OUT_TransportEnergyCons!$B$3:$B$1000)*1,ISNUMBER(SEARCH("tpbsu",[2]OUT_TransportEnergyCons!$C$3:$C$1000))*1,[2]OUT_TransportEnergyCons!J$3:J$1000)</f>
        <v>0</v>
      </c>
      <c r="N1366" s="1"/>
    </row>
    <row r="1367" spans="2:14" x14ac:dyDescent="0.35">
      <c r="B1367" s="5" t="str">
        <f t="shared" si="1416"/>
        <v>SPS1</v>
      </c>
      <c r="C1367" s="5" t="str">
        <f t="shared" si="1417"/>
        <v>CH</v>
      </c>
      <c r="D1367" t="s">
        <v>1363</v>
      </c>
      <c r="E1367" t="str">
        <f t="shared" si="1418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8.9264446046589084E-3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9.8384883571199025E-3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1.4514006426720464E-2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8.3368882041242053E-5</v>
      </c>
      <c r="J1367" s="1" cm="1">
        <f t="array" ref="J1367">SUMPRODUCT(("T_B_u-ICEDSL-S2"=[2]OUT_TransportEnergyCons!$A$3:$A$1000)*1,("var_fout"=[2]OUT_TransportEnergyCons!$B$3:$B$1000)*1,ISNUMBER(SEARCH("tpbsu",[2]OUT_TransportEnergyCons!$C$3:$C$1000))*1,[2]OUT_TransportEnergyCons!H$3:H$1000)</f>
        <v>0</v>
      </c>
      <c r="K1367" s="1" cm="1">
        <f t="array" ref="K1367">SUMPRODUCT(("T_B_u-ICEDSL-S2"=[2]OUT_TransportEnergyCons!$A$3:$A$1000)*1,("var_fout"=[2]OUT_TransportEnergyCons!$B$3:$B$1000)*1,ISNUMBER(SEARCH("tpbsu",[2]OUT_TransportEnergyCons!$C$3:$C$1000))*1,[2]OUT_TransportEnergyCons!I$3:I$1000)</f>
        <v>0</v>
      </c>
      <c r="L1367" s="1" cm="1">
        <f t="array" ref="L1367">SUMPRODUCT(("T_B_u-ICEDSL-S2"=[2]OUT_TransportEnergyCons!$A$3:$A$1000)*1,("var_fout"=[2]OUT_TransportEnergyCons!$B$3:$B$1000)*1,ISNUMBER(SEARCH("tpbsu",[2]OUT_TransportEnergyCons!$C$3:$C$1000))*1,[2]OUT_TransportEnergyCons!J$3:J$1000)</f>
        <v>0</v>
      </c>
      <c r="N1367" s="1"/>
    </row>
    <row r="1368" spans="2:14" x14ac:dyDescent="0.35">
      <c r="B1368" s="5" t="str">
        <f t="shared" si="1416"/>
        <v>SPS1</v>
      </c>
      <c r="C1368" s="5" t="str">
        <f t="shared" si="1417"/>
        <v>CH</v>
      </c>
      <c r="D1368" t="s">
        <v>1364</v>
      </c>
      <c r="E1368" t="str">
        <f t="shared" si="1418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3.5812692154139132E-2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5.0688547996695775E-2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9.0661543101879502E-2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7.4926495595288692E-5</v>
      </c>
      <c r="J1368" s="1" cm="1">
        <f t="array" ref="J1368">SUMPRODUCT(("T_B_u-ICEDSL-S3"=[2]OUT_TransportEnergyCons!$A$3:$A$1000)*1,("var_fout"=[2]OUT_TransportEnergyCons!$B$3:$B$1000)*1,ISNUMBER(SEARCH("tpbsu",[2]OUT_TransportEnergyCons!$C$3:$C$1000))*1,[2]OUT_TransportEnergyCons!H$3:H$1000)</f>
        <v>0</v>
      </c>
      <c r="K1368" s="1" cm="1">
        <f t="array" ref="K1368">SUMPRODUCT(("T_B_u-ICEDSL-S3"=[2]OUT_TransportEnergyCons!$A$3:$A$1000)*1,("var_fout"=[2]OUT_TransportEnergyCons!$B$3:$B$1000)*1,ISNUMBER(SEARCH("tpbsu",[2]OUT_TransportEnergyCons!$C$3:$C$1000))*1,[2]OUT_TransportEnergyCons!I$3:I$1000)</f>
        <v>0</v>
      </c>
      <c r="L1368" s="1" cm="1">
        <f t="array" ref="L1368">SUMPRODUCT(("T_B_u-ICEDSL-S3"=[2]OUT_TransportEnergyCons!$A$3:$A$1000)*1,("var_fout"=[2]OUT_TransportEnergyCons!$B$3:$B$1000)*1,ISNUMBER(SEARCH("tpbsu",[2]OUT_TransportEnergyCons!$C$3:$C$1000))*1,[2]OUT_TransportEnergyCons!J$3:J$1000)</f>
        <v>0</v>
      </c>
      <c r="N1368" s="1"/>
    </row>
    <row r="1369" spans="2:14" x14ac:dyDescent="0.35">
      <c r="B1369" s="5" t="str">
        <f t="shared" si="1416"/>
        <v>SPS1</v>
      </c>
      <c r="C1369" s="5" t="str">
        <f t="shared" si="1417"/>
        <v>CH</v>
      </c>
      <c r="D1369" t="s">
        <v>1365</v>
      </c>
      <c r="E1369" t="str">
        <f t="shared" si="1418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5.9677320673333335E-4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1.53348900256659E-4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2.6267269298269107E-4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4.2226081591331143E-5</v>
      </c>
      <c r="J1369" s="1" cm="1">
        <f t="array" ref="J1369">SUMPRODUCT(("T_B_u-ICEDSL-S4"=[2]OUT_TransportEnergyCons!$A$3:$A$1000)*1,("var_fout"=[2]OUT_TransportEnergyCons!$B$3:$B$1000)*1,ISNUMBER(SEARCH("tpbsu",[2]OUT_TransportEnergyCons!$C$3:$C$1000))*1,[2]OUT_TransportEnergyCons!H$3:H$1000)</f>
        <v>0</v>
      </c>
      <c r="K1369" s="1" cm="1">
        <f t="array" ref="K1369">SUMPRODUCT(("T_B_u-ICEDSL-S4"=[2]OUT_TransportEnergyCons!$A$3:$A$1000)*1,("var_fout"=[2]OUT_TransportEnergyCons!$B$3:$B$1000)*1,ISNUMBER(SEARCH("tpbsu",[2]OUT_TransportEnergyCons!$C$3:$C$1000))*1,[2]OUT_TransportEnergyCons!I$3:I$1000)</f>
        <v>0</v>
      </c>
      <c r="L1369" s="1" cm="1">
        <f t="array" ref="L1369">SUMPRODUCT(("T_B_u-ICEDSL-S4"=[2]OUT_TransportEnergyCons!$A$3:$A$1000)*1,("var_fout"=[2]OUT_TransportEnergyCons!$B$3:$B$1000)*1,ISNUMBER(SEARCH("tpbsu",[2]OUT_TransportEnergyCons!$C$3:$C$1000))*1,[2]OUT_TransportEnergyCons!J$3:J$1000)</f>
        <v>0</v>
      </c>
      <c r="N1369" s="1"/>
    </row>
    <row r="1370" spans="2:14" x14ac:dyDescent="0.35">
      <c r="B1370" s="5" t="str">
        <f t="shared" si="1416"/>
        <v>SPS1</v>
      </c>
      <c r="C1370" s="5" t="str">
        <f t="shared" si="1417"/>
        <v>CH</v>
      </c>
      <c r="D1370" t="s">
        <v>2005</v>
      </c>
      <c r="E1370" t="str">
        <f t="shared" si="1418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4.4642222229811374E-3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3.653685563001728E-3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2.3066668016693188E-3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SUMPRODUCT(("T_B_u-ICEngaEXT"=[2]OUT_TransportEnergyCons!$A$3:$A$1000)*1,("var_fout"=[2]OUT_TransportEnergyCons!$B$3:$B$1000)*1,ISNUMBER(SEARCH("tpbsu",[2]OUT_TransportEnergyCons!$C$3:$C$1000))*1,[2]OUT_TransportEnergyCons!H$3:H$1000)</f>
        <v>0</v>
      </c>
      <c r="K1370" s="1" cm="1">
        <f t="array" ref="K1370">SUMPRODUCT(("T_B_u-ICEngaEXT"=[2]OUT_TransportEnergyCons!$A$3:$A$1000)*1,("var_fout"=[2]OUT_TransportEnergyCons!$B$3:$B$1000)*1,ISNUMBER(SEARCH("tpbsu",[2]OUT_TransportEnergyCons!$C$3:$C$1000))*1,[2]OUT_TransportEnergyCons!I$3:I$1000)</f>
        <v>0</v>
      </c>
      <c r="L1370" s="1" cm="1">
        <f t="array" ref="L1370">SUMPRODUCT(("T_B_u-ICEngaEXT"=[2]OUT_TransportEnergyCons!$A$3:$A$1000)*1,("var_fout"=[2]OUT_TransportEnergyCons!$B$3:$B$1000)*1,ISNUMBER(SEARCH("tpbsu",[2]OUT_TransportEnergyCons!$C$3:$C$1000))*1,[2]OUT_TransportEnergyCons!J$3:J$1000)</f>
        <v>0</v>
      </c>
      <c r="N1370" s="1"/>
    </row>
    <row r="1371" spans="2:14" x14ac:dyDescent="0.35">
      <c r="B1371" s="5" t="str">
        <f t="shared" si="1416"/>
        <v>SPS1</v>
      </c>
      <c r="C1371" s="5" t="str">
        <f t="shared" si="1417"/>
        <v>CH</v>
      </c>
      <c r="D1371" t="s">
        <v>1366</v>
      </c>
      <c r="E1371" t="str">
        <f t="shared" si="1418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2.8593921996517571E-4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6.2856532996014274E-4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6.7452481415699098E-5</v>
      </c>
      <c r="J1371" s="1" cm="1">
        <f t="array" ref="J1371">SUMPRODUCT(("T_B_u-ICEnga-S1"=[2]OUT_TransportEnergyCons!$A$3:$A$1000)*1,("var_fout"=[2]OUT_TransportEnergyCons!$B$3:$B$1000)*1,ISNUMBER(SEARCH("tpbsu",[2]OUT_TransportEnergyCons!$C$3:$C$1000))*1,[2]OUT_TransportEnergyCons!H$3:H$1000)</f>
        <v>0</v>
      </c>
      <c r="K1371" s="1" cm="1">
        <f t="array" ref="K1371">SUMPRODUCT(("T_B_u-ICEnga-S1"=[2]OUT_TransportEnergyCons!$A$3:$A$1000)*1,("var_fout"=[2]OUT_TransportEnergyCons!$B$3:$B$1000)*1,ISNUMBER(SEARCH("tpbsu",[2]OUT_TransportEnergyCons!$C$3:$C$1000))*1,[2]OUT_TransportEnergyCons!I$3:I$1000)</f>
        <v>0</v>
      </c>
      <c r="L1371" s="1" cm="1">
        <f t="array" ref="L1371">SUMPRODUCT(("T_B_u-ICEnga-S1"=[2]OUT_TransportEnergyCons!$A$3:$A$1000)*1,("var_fout"=[2]OUT_TransportEnergyCons!$B$3:$B$1000)*1,ISNUMBER(SEARCH("tpbsu",[2]OUT_TransportEnergyCons!$C$3:$C$1000))*1,[2]OUT_TransportEnergyCons!J$3:J$1000)</f>
        <v>0</v>
      </c>
      <c r="N1371" s="1"/>
    </row>
    <row r="1372" spans="2:14" x14ac:dyDescent="0.35">
      <c r="B1372" s="5" t="str">
        <f t="shared" si="1416"/>
        <v>SPS1</v>
      </c>
      <c r="C1372" s="5" t="str">
        <f t="shared" si="1417"/>
        <v>CH</v>
      </c>
      <c r="D1372" t="s">
        <v>1367</v>
      </c>
      <c r="E1372" t="str">
        <f t="shared" si="1418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1.2450423545269407E-4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4.5760668100620395E-4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5.7425674646853255E-5</v>
      </c>
      <c r="J1372" s="1" cm="1">
        <f t="array" ref="J1372">SUMPRODUCT(("T_B_u-ICEnga-S2"=[2]OUT_TransportEnergyCons!$A$3:$A$1000)*1,("var_fout"=[2]OUT_TransportEnergyCons!$B$3:$B$1000)*1,ISNUMBER(SEARCH("tpbsu",[2]OUT_TransportEnergyCons!$C$3:$C$1000))*1,[2]OUT_TransportEnergyCons!H$3:H$1000)</f>
        <v>0</v>
      </c>
      <c r="K1372" s="1" cm="1">
        <f t="array" ref="K1372">SUMPRODUCT(("T_B_u-ICEnga-S2"=[2]OUT_TransportEnergyCons!$A$3:$A$1000)*1,("var_fout"=[2]OUT_TransportEnergyCons!$B$3:$B$1000)*1,ISNUMBER(SEARCH("tpbsu",[2]OUT_TransportEnergyCons!$C$3:$C$1000))*1,[2]OUT_TransportEnergyCons!I$3:I$1000)</f>
        <v>0</v>
      </c>
      <c r="L1372" s="1" cm="1">
        <f t="array" ref="L1372">SUMPRODUCT(("T_B_u-ICEnga-S2"=[2]OUT_TransportEnergyCons!$A$3:$A$1000)*1,("var_fout"=[2]OUT_TransportEnergyCons!$B$3:$B$1000)*1,ISNUMBER(SEARCH("tpbsu",[2]OUT_TransportEnergyCons!$C$3:$C$1000))*1,[2]OUT_TransportEnergyCons!J$3:J$1000)</f>
        <v>0</v>
      </c>
      <c r="N1372" s="1"/>
    </row>
    <row r="1373" spans="2:14" x14ac:dyDescent="0.35">
      <c r="B1373" s="5" t="str">
        <f t="shared" si="1416"/>
        <v>SPS1</v>
      </c>
      <c r="C1373" s="5" t="str">
        <f t="shared" si="1417"/>
        <v>CH</v>
      </c>
      <c r="D1373" t="s">
        <v>1368</v>
      </c>
      <c r="E1373" t="str">
        <f t="shared" si="1418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1.2050001788873909E-4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7.5260424562096924E-4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7.0223354229547531E-5</v>
      </c>
      <c r="J1373" s="1" cm="1">
        <f t="array" ref="J1373">SUMPRODUCT(("T_B_u-ICEnga-S3"=[2]OUT_TransportEnergyCons!$A$3:$A$1000)*1,("var_fout"=[2]OUT_TransportEnergyCons!$B$3:$B$1000)*1,ISNUMBER(SEARCH("tpbsu",[2]OUT_TransportEnergyCons!$C$3:$C$1000))*1,[2]OUT_TransportEnergyCons!H$3:H$1000)</f>
        <v>0</v>
      </c>
      <c r="K1373" s="1" cm="1">
        <f t="array" ref="K1373">SUMPRODUCT(("T_B_u-ICEnga-S3"=[2]OUT_TransportEnergyCons!$A$3:$A$1000)*1,("var_fout"=[2]OUT_TransportEnergyCons!$B$3:$B$1000)*1,ISNUMBER(SEARCH("tpbsu",[2]OUT_TransportEnergyCons!$C$3:$C$1000))*1,[2]OUT_TransportEnergyCons!I$3:I$1000)</f>
        <v>0</v>
      </c>
      <c r="L1373" s="1" cm="1">
        <f t="array" ref="L1373">SUMPRODUCT(("T_B_u-ICEnga-S3"=[2]OUT_TransportEnergyCons!$A$3:$A$1000)*1,("var_fout"=[2]OUT_TransportEnergyCons!$B$3:$B$1000)*1,ISNUMBER(SEARCH("tpbsu",[2]OUT_TransportEnergyCons!$C$3:$C$1000))*1,[2]OUT_TransportEnergyCons!J$3:J$1000)</f>
        <v>0</v>
      </c>
      <c r="N1373" s="1"/>
    </row>
    <row r="1374" spans="2:14" x14ac:dyDescent="0.35">
      <c r="B1374" s="5" t="str">
        <f t="shared" si="1416"/>
        <v>SPS1</v>
      </c>
      <c r="C1374" s="5" t="str">
        <f t="shared" si="1417"/>
        <v>CH</v>
      </c>
      <c r="D1374" t="s">
        <v>1369</v>
      </c>
      <c r="E1374" t="str">
        <f t="shared" si="1418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1.926573020955691E-5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5.6434863752907247E-5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4.0200438603369262E-5</v>
      </c>
      <c r="J1374" s="1" cm="1">
        <f t="array" ref="J1374">SUMPRODUCT(("T_B_u-ICEnga-S4"=[2]OUT_TransportEnergyCons!$A$3:$A$1000)*1,("var_fout"=[2]OUT_TransportEnergyCons!$B$3:$B$1000)*1,ISNUMBER(SEARCH("tpbsu",[2]OUT_TransportEnergyCons!$C$3:$C$1000))*1,[2]OUT_TransportEnergyCons!H$3:H$1000)</f>
        <v>0</v>
      </c>
      <c r="K1374" s="1" cm="1">
        <f t="array" ref="K1374">SUMPRODUCT(("T_B_u-ICEnga-S4"=[2]OUT_TransportEnergyCons!$A$3:$A$1000)*1,("var_fout"=[2]OUT_TransportEnergyCons!$B$3:$B$1000)*1,ISNUMBER(SEARCH("tpbsu",[2]OUT_TransportEnergyCons!$C$3:$C$1000))*1,[2]OUT_TransportEnergyCons!I$3:I$1000)</f>
        <v>0</v>
      </c>
      <c r="L1374" s="1" cm="1">
        <f t="array" ref="L1374">SUMPRODUCT(("T_B_u-ICEnga-S4"=[2]OUT_TransportEnergyCons!$A$3:$A$1000)*1,("var_fout"=[2]OUT_TransportEnergyCons!$B$3:$B$1000)*1,ISNUMBER(SEARCH("tpbsu",[2]OUT_TransportEnergyCons!$C$3:$C$1000))*1,[2]OUT_TransportEnergyCons!J$3:J$1000)</f>
        <v>0</v>
      </c>
      <c r="N1374" s="1"/>
    </row>
    <row r="1375" spans="2:14" x14ac:dyDescent="0.3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2" t="s">
        <v>292</v>
      </c>
      <c r="G1375" s="22" t="s">
        <v>292</v>
      </c>
      <c r="H1375" s="22" t="s">
        <v>292</v>
      </c>
      <c r="I1375" s="22" t="s">
        <v>292</v>
      </c>
      <c r="J1375" s="22" t="s">
        <v>292</v>
      </c>
      <c r="K1375" s="22" t="s">
        <v>292</v>
      </c>
      <c r="L1375" s="22" t="s">
        <v>292</v>
      </c>
      <c r="N1375" s="1"/>
    </row>
    <row r="1376" spans="2:14" x14ac:dyDescent="0.35">
      <c r="B1376" s="5" t="str">
        <f t="shared" ref="B1376:B1398" si="1419">B1375</f>
        <v>SPS1</v>
      </c>
      <c r="C1376" s="5" t="str">
        <f t="shared" ref="C1376:C1398" si="1420">C1375</f>
        <v>CH</v>
      </c>
      <c r="D1376" t="s">
        <v>1371</v>
      </c>
      <c r="E1376" t="s">
        <v>1229</v>
      </c>
      <c r="F1376" s="1">
        <f>IFERROR(F1352/F1317,"-")</f>
        <v>4.190604214466032</v>
      </c>
      <c r="G1376" s="1">
        <f t="shared" ref="G1376:K1376" si="1421">IFERROR(G1352/G1317,"-")</f>
        <v>3.3737507326839338</v>
      </c>
      <c r="H1376" s="1">
        <f t="shared" si="1421"/>
        <v>2.1484705100107919</v>
      </c>
      <c r="I1376" s="1" t="str">
        <f t="shared" si="1421"/>
        <v>-</v>
      </c>
      <c r="J1376" s="1" t="str">
        <f t="shared" si="1421"/>
        <v>-</v>
      </c>
      <c r="K1376" s="1" t="str">
        <f t="shared" si="1421"/>
        <v>-</v>
      </c>
      <c r="L1376" s="1" t="str">
        <f t="shared" ref="L1376" si="1422">IFERROR(L1352/L1317,"-")</f>
        <v>-</v>
      </c>
      <c r="N1376" s="1"/>
    </row>
    <row r="1377" spans="2:14" x14ac:dyDescent="0.35">
      <c r="B1377" s="5" t="str">
        <f t="shared" si="1419"/>
        <v>SPS1</v>
      </c>
      <c r="C1377" s="5" t="str">
        <f t="shared" si="1420"/>
        <v>CH</v>
      </c>
      <c r="D1377" t="s">
        <v>1372</v>
      </c>
      <c r="E1377" t="s">
        <v>1229</v>
      </c>
      <c r="F1377" s="1">
        <f t="shared" ref="F1377:K1377" si="1423">IFERROR(F1353/F1318,"-")</f>
        <v>0.37869321701871772</v>
      </c>
      <c r="G1377" s="1">
        <f t="shared" si="1423"/>
        <v>0.39241462945557604</v>
      </c>
      <c r="H1377" s="1">
        <f t="shared" si="1423"/>
        <v>0.39862319026309284</v>
      </c>
      <c r="I1377" s="1">
        <f t="shared" si="1423"/>
        <v>0.4462756434205043</v>
      </c>
      <c r="J1377" s="1">
        <f t="shared" si="1423"/>
        <v>0.471015828852968</v>
      </c>
      <c r="K1377" s="1">
        <f t="shared" si="1423"/>
        <v>0.47343394213762757</v>
      </c>
      <c r="L1377" s="1">
        <f t="shared" ref="L1377" si="1424">IFERROR(L1353/L1318,"-")</f>
        <v>0.52975374074678239</v>
      </c>
      <c r="N1377" s="1"/>
    </row>
    <row r="1378" spans="2:14" x14ac:dyDescent="0.35">
      <c r="B1378" s="5" t="str">
        <f t="shared" si="1419"/>
        <v>SPS1</v>
      </c>
      <c r="C1378" s="5" t="str">
        <f t="shared" si="1420"/>
        <v>CH</v>
      </c>
      <c r="D1378" t="s">
        <v>1373</v>
      </c>
      <c r="E1378" t="s">
        <v>1229</v>
      </c>
      <c r="F1378" s="1">
        <f t="shared" ref="F1378:K1378" si="1425">IFERROR(F1354/F1319,"-")</f>
        <v>0.27518070496490715</v>
      </c>
      <c r="G1378" s="1">
        <f t="shared" si="1425"/>
        <v>0.28247901110709805</v>
      </c>
      <c r="H1378" s="1">
        <f t="shared" si="1425"/>
        <v>0.29369103424729631</v>
      </c>
      <c r="I1378" s="1">
        <f t="shared" si="1425"/>
        <v>0.31970356226297869</v>
      </c>
      <c r="J1378" s="1">
        <f t="shared" si="1425"/>
        <v>0.33954668212468059</v>
      </c>
      <c r="K1378" s="1">
        <f t="shared" si="1425"/>
        <v>0.34352474978765629</v>
      </c>
      <c r="L1378" s="1">
        <f t="shared" ref="L1378" si="1426">IFERROR(L1354/L1319,"-")</f>
        <v>0.3820392334732377</v>
      </c>
      <c r="N1378" s="1"/>
    </row>
    <row r="1379" spans="2:14" x14ac:dyDescent="0.35">
      <c r="B1379" s="5" t="str">
        <f t="shared" si="1419"/>
        <v>SPS1</v>
      </c>
      <c r="C1379" s="5" t="str">
        <f t="shared" si="1420"/>
        <v>CH</v>
      </c>
      <c r="D1379" t="s">
        <v>1374</v>
      </c>
      <c r="E1379" t="s">
        <v>1229</v>
      </c>
      <c r="F1379" s="1">
        <f t="shared" ref="F1379:K1379" si="1427">IFERROR(F1355/F1320,"-")</f>
        <v>0.18297040713439905</v>
      </c>
      <c r="G1379" s="1">
        <f t="shared" si="1427"/>
        <v>0.18575332372886433</v>
      </c>
      <c r="H1379" s="1">
        <f t="shared" si="1427"/>
        <v>0.19186631068312721</v>
      </c>
      <c r="I1379" s="1">
        <f t="shared" si="1427"/>
        <v>0.21537308504891256</v>
      </c>
      <c r="J1379" s="1">
        <f t="shared" si="1427"/>
        <v>0.21867572966650439</v>
      </c>
      <c r="K1379" s="1">
        <f t="shared" si="1427"/>
        <v>0.23631522019422241</v>
      </c>
      <c r="L1379" s="1">
        <f t="shared" ref="L1379" si="1428">IFERROR(L1355/L1320,"-")</f>
        <v>0.25605804325731285</v>
      </c>
      <c r="N1379" s="1"/>
    </row>
    <row r="1380" spans="2:14" x14ac:dyDescent="0.35">
      <c r="B1380" s="5" t="str">
        <f t="shared" si="1419"/>
        <v>SPS1</v>
      </c>
      <c r="C1380" s="5" t="str">
        <f t="shared" si="1420"/>
        <v>CH</v>
      </c>
      <c r="D1380" t="s">
        <v>1375</v>
      </c>
      <c r="E1380" t="s">
        <v>1229</v>
      </c>
      <c r="F1380" s="1">
        <f t="shared" ref="F1380:K1380" si="1429">IFERROR(F1356/F1321,"-")</f>
        <v>0.12198710645807069</v>
      </c>
      <c r="G1380" s="1">
        <f t="shared" si="1429"/>
        <v>0.12480002843232568</v>
      </c>
      <c r="H1380" s="1">
        <f t="shared" si="1429"/>
        <v>0.1281424520049903</v>
      </c>
      <c r="I1380" s="1">
        <f t="shared" si="1429"/>
        <v>0.14259010842868658</v>
      </c>
      <c r="J1380" s="1">
        <f t="shared" si="1429"/>
        <v>0.14562304250223804</v>
      </c>
      <c r="K1380" s="1">
        <f t="shared" si="1429"/>
        <v>0.15686099477775894</v>
      </c>
      <c r="L1380" s="1">
        <f t="shared" ref="L1380" si="1430">IFERROR(L1356/L1321,"-")</f>
        <v>0.17125017560718703</v>
      </c>
      <c r="N1380" s="1"/>
    </row>
    <row r="1381" spans="2:14" x14ac:dyDescent="0.35">
      <c r="B1381" s="5" t="str">
        <f t="shared" si="1419"/>
        <v>SPS1</v>
      </c>
      <c r="C1381" s="5" t="str">
        <f t="shared" si="1420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431">IFERROR(G1357/G1323,"-")</f>
        <v>-</v>
      </c>
      <c r="H1381" s="1" t="str">
        <f t="shared" si="1431"/>
        <v>-</v>
      </c>
      <c r="I1381" s="1">
        <f t="shared" si="1431"/>
        <v>0.23440176174444091</v>
      </c>
      <c r="J1381" s="1">
        <f t="shared" si="1431"/>
        <v>0.2516615589867956</v>
      </c>
      <c r="K1381" s="1" t="str">
        <f t="shared" si="1431"/>
        <v>-</v>
      </c>
      <c r="L1381" s="1" t="str">
        <f t="shared" ref="L1381" si="1432">IFERROR(L1357/L1323,"-")</f>
        <v>-</v>
      </c>
      <c r="N1381" s="1"/>
    </row>
    <row r="1382" spans="2:14" x14ac:dyDescent="0.35">
      <c r="B1382" s="5" t="str">
        <f t="shared" si="1419"/>
        <v>SPS1</v>
      </c>
      <c r="C1382" s="5" t="str">
        <f t="shared" si="1420"/>
        <v>CH</v>
      </c>
      <c r="D1382" t="s">
        <v>1377</v>
      </c>
      <c r="E1382" t="s">
        <v>1229</v>
      </c>
      <c r="F1382" s="1" t="str">
        <f t="shared" ref="F1382:K1382" si="1433">IFERROR(F1358/F1324,"-")</f>
        <v>-</v>
      </c>
      <c r="G1382" s="1" t="str">
        <f t="shared" si="1433"/>
        <v>-</v>
      </c>
      <c r="H1382" s="1" t="str">
        <f t="shared" si="1433"/>
        <v>-</v>
      </c>
      <c r="I1382" s="1">
        <f t="shared" si="1433"/>
        <v>0.1691015145104961</v>
      </c>
      <c r="J1382" s="1" t="str">
        <f t="shared" si="1433"/>
        <v>-</v>
      </c>
      <c r="K1382" s="1" t="str">
        <f t="shared" si="1433"/>
        <v>-</v>
      </c>
      <c r="L1382" s="1" t="str">
        <f t="shared" ref="L1382" si="1434">IFERROR(L1358/L1324,"-")</f>
        <v>-</v>
      </c>
      <c r="N1382" s="1"/>
    </row>
    <row r="1383" spans="2:14" x14ac:dyDescent="0.35">
      <c r="B1383" s="5" t="str">
        <f t="shared" si="1419"/>
        <v>SPS1</v>
      </c>
      <c r="C1383" s="5" t="str">
        <f t="shared" si="1420"/>
        <v>CH</v>
      </c>
      <c r="D1383" t="s">
        <v>1378</v>
      </c>
      <c r="E1383" t="s">
        <v>1229</v>
      </c>
      <c r="F1383" s="1" t="str">
        <f t="shared" ref="F1383:K1383" si="1435">IFERROR(F1359/F1325,"-")</f>
        <v>-</v>
      </c>
      <c r="G1383" s="1" t="str">
        <f t="shared" si="1435"/>
        <v>-</v>
      </c>
      <c r="H1383" s="1" t="str">
        <f t="shared" si="1435"/>
        <v>-</v>
      </c>
      <c r="I1383" s="1">
        <f t="shared" si="1435"/>
        <v>0.11310839137372303</v>
      </c>
      <c r="J1383" s="1" t="str">
        <f t="shared" si="1435"/>
        <v>-</v>
      </c>
      <c r="K1383" s="1" t="str">
        <f t="shared" si="1435"/>
        <v>-</v>
      </c>
      <c r="L1383" s="1" t="str">
        <f t="shared" ref="L1383" si="1436">IFERROR(L1359/L1325,"-")</f>
        <v>-</v>
      </c>
      <c r="N1383" s="1"/>
    </row>
    <row r="1384" spans="2:14" x14ac:dyDescent="0.35">
      <c r="B1384" s="5" t="str">
        <f t="shared" si="1419"/>
        <v>SPS1</v>
      </c>
      <c r="C1384" s="5" t="str">
        <f t="shared" si="1420"/>
        <v>CH</v>
      </c>
      <c r="D1384" t="s">
        <v>1379</v>
      </c>
      <c r="E1384" t="s">
        <v>1229</v>
      </c>
      <c r="F1384" s="1" t="str">
        <f t="shared" ref="F1384:K1384" si="1437">IFERROR(F1360/F1326,"-")</f>
        <v>-</v>
      </c>
      <c r="G1384" s="1" t="str">
        <f t="shared" si="1437"/>
        <v>-</v>
      </c>
      <c r="H1384" s="1" t="str">
        <f t="shared" si="1437"/>
        <v>-</v>
      </c>
      <c r="I1384" s="1">
        <f t="shared" si="1437"/>
        <v>7.5896650184428788E-2</v>
      </c>
      <c r="J1384" s="1" t="str">
        <f t="shared" si="1437"/>
        <v>-</v>
      </c>
      <c r="K1384" s="1" t="str">
        <f t="shared" si="1437"/>
        <v>-</v>
      </c>
      <c r="L1384" s="1" t="str">
        <f t="shared" ref="L1384" si="1438">IFERROR(L1360/L1326,"-")</f>
        <v>-</v>
      </c>
      <c r="N1384" s="1"/>
    </row>
    <row r="1385" spans="2:14" x14ac:dyDescent="0.35">
      <c r="B1385" s="5" t="str">
        <f t="shared" si="1419"/>
        <v>SPS1</v>
      </c>
      <c r="C1385" s="5" t="str">
        <f t="shared" si="1420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439">IFERROR(G1361/G1332,"-")</f>
        <v>0.16251369968883853</v>
      </c>
      <c r="H1385" s="1">
        <f t="shared" si="1439"/>
        <v>0.16387378737651911</v>
      </c>
      <c r="I1385" s="1">
        <f t="shared" si="1439"/>
        <v>0.17231417641498015</v>
      </c>
      <c r="J1385" s="1">
        <f t="shared" si="1439"/>
        <v>0.19450619282983184</v>
      </c>
      <c r="K1385" s="1" t="str">
        <f t="shared" si="1439"/>
        <v>-</v>
      </c>
      <c r="L1385" s="1" t="str">
        <f t="shared" ref="L1385" si="1440">IFERROR(L1361/L1332,"-")</f>
        <v>-</v>
      </c>
      <c r="N1385" s="1"/>
    </row>
    <row r="1386" spans="2:14" x14ac:dyDescent="0.35">
      <c r="B1386" s="5" t="str">
        <f t="shared" si="1419"/>
        <v>SPS1</v>
      </c>
      <c r="C1386" s="5" t="str">
        <f t="shared" si="1420"/>
        <v>CH</v>
      </c>
      <c r="D1386" t="s">
        <v>1381</v>
      </c>
      <c r="E1386" t="s">
        <v>1229</v>
      </c>
      <c r="F1386" s="1" t="str">
        <f t="shared" ref="F1386:K1386" si="1441">IFERROR(F1362/F1333,"-")</f>
        <v>-</v>
      </c>
      <c r="G1386" s="1">
        <f t="shared" si="1441"/>
        <v>0.11649393435744133</v>
      </c>
      <c r="H1386" s="1">
        <f t="shared" si="1441"/>
        <v>0.11954985171186128</v>
      </c>
      <c r="I1386" s="1">
        <f t="shared" si="1441"/>
        <v>0.12430465497912688</v>
      </c>
      <c r="J1386" s="1">
        <f t="shared" si="1441"/>
        <v>0.13939875066851984</v>
      </c>
      <c r="K1386" s="1" t="str">
        <f t="shared" si="1441"/>
        <v>-</v>
      </c>
      <c r="L1386" s="1" t="str">
        <f t="shared" ref="L1386" si="1442">IFERROR(L1362/L1333,"-")</f>
        <v>-</v>
      </c>
      <c r="N1386" s="1"/>
    </row>
    <row r="1387" spans="2:14" x14ac:dyDescent="0.35">
      <c r="B1387" s="5" t="str">
        <f t="shared" si="1419"/>
        <v>SPS1</v>
      </c>
      <c r="C1387" s="5" t="str">
        <f t="shared" si="1420"/>
        <v>CH</v>
      </c>
      <c r="D1387" t="s">
        <v>1382</v>
      </c>
      <c r="E1387" t="s">
        <v>1229</v>
      </c>
      <c r="F1387" s="1" t="str">
        <f t="shared" ref="F1387:K1387" si="1443">IFERROR(F1363/F1334,"-")</f>
        <v>-</v>
      </c>
      <c r="G1387" s="1">
        <f t="shared" si="1443"/>
        <v>7.8235828164578899E-2</v>
      </c>
      <c r="H1387" s="1">
        <f t="shared" si="1443"/>
        <v>7.9816864865163248E-2</v>
      </c>
      <c r="I1387" s="1">
        <f t="shared" si="1443"/>
        <v>8.3958779279340853E-2</v>
      </c>
      <c r="J1387" s="1" t="str">
        <f t="shared" si="1443"/>
        <v>-</v>
      </c>
      <c r="K1387" s="1" t="str">
        <f t="shared" si="1443"/>
        <v>-</v>
      </c>
      <c r="L1387" s="1">
        <f t="shared" ref="L1387" si="1444">IFERROR(L1363/L1334,"-")</f>
        <v>9.8731992554448825E-2</v>
      </c>
      <c r="N1387" s="1"/>
    </row>
    <row r="1388" spans="2:14" x14ac:dyDescent="0.35">
      <c r="B1388" s="5" t="str">
        <f t="shared" si="1419"/>
        <v>SPS1</v>
      </c>
      <c r="C1388" s="5" t="str">
        <f t="shared" si="1420"/>
        <v>CH</v>
      </c>
      <c r="D1388" t="s">
        <v>1383</v>
      </c>
      <c r="E1388" t="s">
        <v>1229</v>
      </c>
      <c r="F1388" s="1" t="str">
        <f t="shared" ref="F1388:K1388" si="1445">IFERROR(F1364/F1335,"-")</f>
        <v>-</v>
      </c>
      <c r="G1388" s="1">
        <f t="shared" si="1445"/>
        <v>5.2751439830497751E-2</v>
      </c>
      <c r="H1388" s="1">
        <f t="shared" si="1445"/>
        <v>5.4000491081188123E-2</v>
      </c>
      <c r="I1388" s="1">
        <f t="shared" si="1445"/>
        <v>5.643356663774389E-2</v>
      </c>
      <c r="J1388" s="1" t="str">
        <f t="shared" si="1445"/>
        <v>-</v>
      </c>
      <c r="K1388" s="1" t="str">
        <f t="shared" si="1445"/>
        <v>-</v>
      </c>
      <c r="L1388" s="1" t="str">
        <f t="shared" ref="L1388" si="1446">IFERROR(L1364/L1335,"-")</f>
        <v>-</v>
      </c>
      <c r="N1388" s="1"/>
    </row>
    <row r="1389" spans="2:14" x14ac:dyDescent="0.35">
      <c r="B1389" s="5" t="str">
        <f t="shared" si="1419"/>
        <v>SPS1</v>
      </c>
      <c r="C1389" s="5" t="str">
        <f t="shared" si="1420"/>
        <v>CH</v>
      </c>
      <c r="D1389" t="s">
        <v>2002</v>
      </c>
      <c r="E1389" t="s">
        <v>1229</v>
      </c>
      <c r="F1389" s="1">
        <f>IFERROR(F1365/F1336,"-")</f>
        <v>13.968680714886816</v>
      </c>
      <c r="G1389" s="1">
        <f t="shared" ref="G1389:K1389" si="1447">IFERROR(G1365/G1336,"-")</f>
        <v>11.189596541502647</v>
      </c>
      <c r="H1389" s="1">
        <f t="shared" si="1447"/>
        <v>7.020970281426421</v>
      </c>
      <c r="I1389" s="1" t="str">
        <f t="shared" si="1447"/>
        <v>-</v>
      </c>
      <c r="J1389" s="1" t="str">
        <f t="shared" si="1447"/>
        <v>-</v>
      </c>
      <c r="K1389" s="1" t="str">
        <f t="shared" si="1447"/>
        <v>-</v>
      </c>
      <c r="L1389" s="1" t="str">
        <f t="shared" ref="L1389" si="1448">IFERROR(L1365/L1336,"-")</f>
        <v>-</v>
      </c>
      <c r="N1389" s="1"/>
    </row>
    <row r="1390" spans="2:14" x14ac:dyDescent="0.35">
      <c r="B1390" s="5" t="str">
        <f t="shared" si="1419"/>
        <v>SPS1</v>
      </c>
      <c r="C1390" s="5" t="str">
        <f t="shared" si="1420"/>
        <v>CH</v>
      </c>
      <c r="D1390" t="s">
        <v>1384</v>
      </c>
      <c r="E1390" t="s">
        <v>1229</v>
      </c>
      <c r="F1390" s="1">
        <f t="shared" ref="F1390:K1390" si="1449">IFERROR(F1366/F1337,"-")</f>
        <v>0.12391916748597483</v>
      </c>
      <c r="G1390" s="1">
        <f t="shared" si="1449"/>
        <v>0.12848447851663006</v>
      </c>
      <c r="H1390" s="1">
        <f t="shared" si="1449"/>
        <v>0.13240766570327914</v>
      </c>
      <c r="I1390" s="1">
        <f t="shared" si="1449"/>
        <v>0.12760341681516099</v>
      </c>
      <c r="J1390" s="1" t="str">
        <f t="shared" si="1449"/>
        <v>-</v>
      </c>
      <c r="K1390" s="1" t="str">
        <f t="shared" si="1449"/>
        <v>-</v>
      </c>
      <c r="L1390" s="1" t="str">
        <f t="shared" ref="L1390" si="1450">IFERROR(L1366/L1337,"-")</f>
        <v>-</v>
      </c>
      <c r="N1390" s="1"/>
    </row>
    <row r="1391" spans="2:14" x14ac:dyDescent="0.35">
      <c r="B1391" s="5" t="str">
        <f t="shared" si="1419"/>
        <v>SPS1</v>
      </c>
      <c r="C1391" s="5" t="str">
        <f t="shared" si="1420"/>
        <v>CH</v>
      </c>
      <c r="D1391" t="s">
        <v>1385</v>
      </c>
      <c r="E1391" t="s">
        <v>1229</v>
      </c>
      <c r="F1391" s="1">
        <f t="shared" ref="F1391:K1391" si="1451">IFERROR(F1367/F1338,"-")</f>
        <v>8.7465847585616971E-2</v>
      </c>
      <c r="G1391" s="1">
        <f t="shared" si="1451"/>
        <v>8.7843656884980081E-2</v>
      </c>
      <c r="H1391" s="1">
        <f t="shared" si="1451"/>
        <v>8.9158550391019442E-2</v>
      </c>
      <c r="I1391" s="1">
        <f t="shared" si="1451"/>
        <v>9.0709958471755225E-2</v>
      </c>
      <c r="J1391" s="1" t="str">
        <f t="shared" si="1451"/>
        <v>-</v>
      </c>
      <c r="K1391" s="1" t="str">
        <f t="shared" si="1451"/>
        <v>-</v>
      </c>
      <c r="L1391" s="1" t="str">
        <f t="shared" ref="L1391" si="1452">IFERROR(L1367/L1338,"-")</f>
        <v>-</v>
      </c>
      <c r="N1391" s="1"/>
    </row>
    <row r="1392" spans="2:14" x14ac:dyDescent="0.35">
      <c r="B1392" s="5" t="str">
        <f t="shared" si="1419"/>
        <v>SPS1</v>
      </c>
      <c r="C1392" s="5" t="str">
        <f t="shared" si="1420"/>
        <v>CH</v>
      </c>
      <c r="D1392" t="s">
        <v>1386</v>
      </c>
      <c r="E1392" t="s">
        <v>1229</v>
      </c>
      <c r="F1392" s="1">
        <f t="shared" ref="F1392:K1392" si="1453">IFERROR(F1368/F1339,"-")</f>
        <v>5.7949527986548621E-2</v>
      </c>
      <c r="G1392" s="1">
        <f t="shared" si="1453"/>
        <v>5.8146290577968787E-2</v>
      </c>
      <c r="H1392" s="1">
        <f t="shared" si="1453"/>
        <v>6.0160010973044534E-2</v>
      </c>
      <c r="I1392" s="1">
        <f t="shared" si="1453"/>
        <v>6.0726290471782129E-2</v>
      </c>
      <c r="J1392" s="1" t="str">
        <f t="shared" si="1453"/>
        <v>-</v>
      </c>
      <c r="K1392" s="1" t="str">
        <f t="shared" si="1453"/>
        <v>-</v>
      </c>
      <c r="L1392" s="1" t="str">
        <f t="shared" ref="L1392" si="1454">IFERROR(L1368/L1339,"-")</f>
        <v>-</v>
      </c>
      <c r="N1392" s="1"/>
    </row>
    <row r="1393" spans="2:14" x14ac:dyDescent="0.35">
      <c r="B1393" s="5" t="str">
        <f t="shared" si="1419"/>
        <v>SPS1</v>
      </c>
      <c r="C1393" s="5" t="str">
        <f t="shared" si="1420"/>
        <v>CH</v>
      </c>
      <c r="D1393" t="s">
        <v>1387</v>
      </c>
      <c r="E1393" t="s">
        <v>1229</v>
      </c>
      <c r="F1393" s="1">
        <f t="shared" ref="F1393:K1393" si="1455">IFERROR(F1369/F1340,"-")</f>
        <v>3.8646481387947559E-2</v>
      </c>
      <c r="G1393" s="1">
        <f t="shared" si="1455"/>
        <v>3.8969562246043851E-2</v>
      </c>
      <c r="H1393" s="1">
        <f t="shared" si="1455"/>
        <v>3.9226183787928609E-2</v>
      </c>
      <c r="I1393" s="1">
        <f t="shared" si="1455"/>
        <v>4.0771520173909927E-2</v>
      </c>
      <c r="J1393" s="1" t="str">
        <f t="shared" si="1455"/>
        <v>-</v>
      </c>
      <c r="K1393" s="1" t="str">
        <f t="shared" si="1455"/>
        <v>-</v>
      </c>
      <c r="L1393" s="1" t="str">
        <f t="shared" ref="L1393" si="1456">IFERROR(L1369/L1340,"-")</f>
        <v>-</v>
      </c>
      <c r="N1393" s="1"/>
    </row>
    <row r="1394" spans="2:14" x14ac:dyDescent="0.35">
      <c r="B1394" s="5" t="str">
        <f t="shared" si="1419"/>
        <v>SPS1</v>
      </c>
      <c r="C1394" s="5" t="str">
        <f t="shared" si="1420"/>
        <v>CH</v>
      </c>
      <c r="D1394" t="s">
        <v>2006</v>
      </c>
      <c r="E1394" t="s">
        <v>1229</v>
      </c>
      <c r="F1394" s="1">
        <f>IFERROR(F1370/F1346,"-")</f>
        <v>13.968680714886787</v>
      </c>
      <c r="G1394" s="1">
        <f t="shared" ref="G1394:K1394" si="1457">IFERROR(G1370/G1346,"-")</f>
        <v>11.186996076539073</v>
      </c>
      <c r="H1394" s="1">
        <f t="shared" si="1457"/>
        <v>7.0144691190174733</v>
      </c>
      <c r="I1394" s="1" t="str">
        <f t="shared" si="1457"/>
        <v>-</v>
      </c>
      <c r="J1394" s="1" t="str">
        <f t="shared" si="1457"/>
        <v>-</v>
      </c>
      <c r="K1394" s="1" t="str">
        <f t="shared" si="1457"/>
        <v>-</v>
      </c>
      <c r="L1394" s="1" t="str">
        <f t="shared" ref="L1394" si="1458">IFERROR(L1370/L1346,"-")</f>
        <v>-</v>
      </c>
      <c r="N1394" s="1"/>
    </row>
    <row r="1395" spans="2:14" x14ac:dyDescent="0.35">
      <c r="B1395" s="5" t="str">
        <f t="shared" si="1419"/>
        <v>SPS1</v>
      </c>
      <c r="C1395" s="5" t="str">
        <f t="shared" si="1420"/>
        <v>CH</v>
      </c>
      <c r="D1395" t="s">
        <v>1388</v>
      </c>
      <c r="E1395" t="s">
        <v>1229</v>
      </c>
      <c r="F1395" s="1" t="str">
        <f t="shared" ref="F1395:K1395" si="1459">IFERROR(F1371/F1347,"-")</f>
        <v>-</v>
      </c>
      <c r="G1395" s="1">
        <f t="shared" si="1459"/>
        <v>0.12023751974847217</v>
      </c>
      <c r="H1395" s="1">
        <f t="shared" si="1459"/>
        <v>0.12328653267474222</v>
      </c>
      <c r="I1395" s="1">
        <f t="shared" si="1459"/>
        <v>0.12769500231322115</v>
      </c>
      <c r="J1395" s="1" t="str">
        <f t="shared" si="1459"/>
        <v>-</v>
      </c>
      <c r="K1395" s="1" t="str">
        <f t="shared" si="1459"/>
        <v>-</v>
      </c>
      <c r="L1395" s="1" t="str">
        <f t="shared" ref="L1395" si="1460">IFERROR(L1371/L1347,"-")</f>
        <v>-</v>
      </c>
      <c r="N1395" s="1"/>
    </row>
    <row r="1396" spans="2:14" x14ac:dyDescent="0.35">
      <c r="B1396" s="5" t="str">
        <f t="shared" si="1419"/>
        <v>SPS1</v>
      </c>
      <c r="C1396" s="5" t="str">
        <f t="shared" si="1420"/>
        <v>CH</v>
      </c>
      <c r="D1396" t="s">
        <v>1389</v>
      </c>
      <c r="E1396" t="s">
        <v>1229</v>
      </c>
      <c r="F1396" s="1" t="str">
        <f t="shared" ref="F1396:K1396" si="1461">IFERROR(F1372/F1348,"-")</f>
        <v>-</v>
      </c>
      <c r="G1396" s="1">
        <f t="shared" si="1461"/>
        <v>8.499807623360886E-2</v>
      </c>
      <c r="H1396" s="1">
        <f t="shared" si="1461"/>
        <v>8.7858128074546085E-2</v>
      </c>
      <c r="I1396" s="1">
        <f t="shared" si="1461"/>
        <v>9.0072019528948083E-2</v>
      </c>
      <c r="J1396" s="1" t="str">
        <f t="shared" si="1461"/>
        <v>-</v>
      </c>
      <c r="K1396" s="1" t="str">
        <f t="shared" si="1461"/>
        <v>-</v>
      </c>
      <c r="L1396" s="1" t="str">
        <f t="shared" ref="L1396" si="1462">IFERROR(L1372/L1348,"-")</f>
        <v>-</v>
      </c>
      <c r="N1396" s="1"/>
    </row>
    <row r="1397" spans="2:14" x14ac:dyDescent="0.35">
      <c r="B1397" s="5" t="str">
        <f t="shared" si="1419"/>
        <v>SPS1</v>
      </c>
      <c r="C1397" s="5" t="str">
        <f t="shared" si="1420"/>
        <v>CH</v>
      </c>
      <c r="D1397" t="s">
        <v>1390</v>
      </c>
      <c r="E1397" t="s">
        <v>1229</v>
      </c>
      <c r="F1397" s="1" t="str">
        <f t="shared" ref="F1397:K1397" si="1463">IFERROR(F1373/F1349,"-")</f>
        <v>-</v>
      </c>
      <c r="G1397" s="1">
        <f t="shared" si="1463"/>
        <v>5.6422133461237138E-2</v>
      </c>
      <c r="H1397" s="1">
        <f t="shared" si="1463"/>
        <v>5.873663700301536E-2</v>
      </c>
      <c r="I1397" s="1">
        <f t="shared" si="1463"/>
        <v>5.983702509141052E-2</v>
      </c>
      <c r="J1397" s="1" t="str">
        <f t="shared" si="1463"/>
        <v>-</v>
      </c>
      <c r="K1397" s="1" t="str">
        <f t="shared" si="1463"/>
        <v>-</v>
      </c>
      <c r="L1397" s="1" t="str">
        <f t="shared" ref="L1397" si="1464">IFERROR(L1373/L1349,"-")</f>
        <v>-</v>
      </c>
      <c r="N1397" s="1"/>
    </row>
    <row r="1398" spans="2:14" x14ac:dyDescent="0.35">
      <c r="B1398" s="5" t="str">
        <f t="shared" si="1419"/>
        <v>SPS1</v>
      </c>
      <c r="C1398" s="5" t="str">
        <f t="shared" si="1420"/>
        <v>CH</v>
      </c>
      <c r="D1398" t="s">
        <v>1391</v>
      </c>
      <c r="E1398" t="s">
        <v>1229</v>
      </c>
      <c r="F1398" s="1" t="str">
        <f t="shared" ref="F1398:K1398" si="1465">IFERROR(F1374/F1350,"-")</f>
        <v>-</v>
      </c>
      <c r="G1398" s="1">
        <f t="shared" si="1465"/>
        <v>3.7689157759834363E-2</v>
      </c>
      <c r="H1398" s="1">
        <f t="shared" si="1465"/>
        <v>3.8651097775378354E-2</v>
      </c>
      <c r="I1398" s="1">
        <f t="shared" si="1465"/>
        <v>4.0078055425272006E-2</v>
      </c>
      <c r="J1398" s="1" t="str">
        <f t="shared" si="1465"/>
        <v>-</v>
      </c>
      <c r="K1398" s="1" t="str">
        <f t="shared" si="1465"/>
        <v>-</v>
      </c>
      <c r="L1398" s="1" t="str">
        <f t="shared" ref="L1398" si="1466">IFERROR(L1374/L1350,"-")</f>
        <v>-</v>
      </c>
      <c r="N1398" s="1"/>
    </row>
    <row r="1399" spans="2:14" x14ac:dyDescent="0.3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0.82268027692000445</v>
      </c>
      <c r="G1399" s="3">
        <f t="shared" ref="G1399" si="1467">G1400+G1406+G1411+G1425</f>
        <v>0.82234705698445332</v>
      </c>
      <c r="H1399" s="3">
        <f t="shared" ref="H1399" si="1468">H1400+H1406+H1411+H1425</f>
        <v>1.0022264330897186</v>
      </c>
      <c r="I1399" s="3">
        <f t="shared" ref="I1399" si="1469">I1400+I1406+I1411+I1425</f>
        <v>0.38450144962116312</v>
      </c>
      <c r="J1399" s="3">
        <f t="shared" ref="J1399" si="1470">J1400+J1406+J1411+J1425</f>
        <v>0.3625973588768811</v>
      </c>
      <c r="K1399" s="3">
        <f t="shared" ref="K1399:L1399" si="1471">K1400+K1406+K1411+K1425</f>
        <v>0.35836379189288547</v>
      </c>
      <c r="L1399" s="3">
        <f t="shared" si="1471"/>
        <v>0.31195103395656765</v>
      </c>
      <c r="N1399" s="1"/>
    </row>
    <row r="1400" spans="2:14" x14ac:dyDescent="0.3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4.4888221055717379E-3</v>
      </c>
      <c r="G1400" s="1">
        <f t="shared" ref="G1400" si="1472">SUM(G1401:G1405)</f>
        <v>1.4299313280981912E-2</v>
      </c>
      <c r="H1400" s="1">
        <f t="shared" ref="H1400" si="1473">SUM(H1401:H1405)</f>
        <v>2.3410565994649808E-2</v>
      </c>
      <c r="I1400" s="1">
        <f t="shared" ref="I1400" si="1474">SUM(I1401:I1405)</f>
        <v>0.3795744890057503</v>
      </c>
      <c r="J1400" s="1">
        <f t="shared" ref="J1400" si="1475">SUM(J1401:J1405)</f>
        <v>0.36256515822017227</v>
      </c>
      <c r="K1400" s="1">
        <f t="shared" ref="K1400:L1400" si="1476">SUM(K1401:K1405)</f>
        <v>0.35827306426236599</v>
      </c>
      <c r="L1400" s="1">
        <f t="shared" si="1476"/>
        <v>0.31191635444158833</v>
      </c>
      <c r="N1400" s="1"/>
    </row>
    <row r="1401" spans="2:14" x14ac:dyDescent="0.35">
      <c r="B1401" s="5" t="str">
        <f t="shared" ref="B1401:B1434" si="1477">B1400</f>
        <v>SPS1</v>
      </c>
      <c r="C1401" s="5" t="str">
        <f t="shared" ref="C1401:C1434" si="1478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SUMPRODUCT(("T_B_c-BeVELCEXT"=[2]OUT_TransportEnergyCons!$A$3:$A$1000)*1,("Var_Fin"=[2]OUT_TransportEnergyCons!$B$3:$B$1000)*1,ISNUMBER(SEARCH("ELC",[2]OUT_TransportEnergyCons!$C$3:$C$1000))*1,[2]OUT_TransportEnergyCons!H$3:H$1000)</f>
        <v>0</v>
      </c>
      <c r="K1401" s="1" cm="1">
        <f t="array" ref="K1401">SUMPRODUCT(("T_B_c-BeVELCEXT"=[2]OUT_TransportEnergyCons!$A$3:$A$1000)*1,("Var_Fin"=[2]OUT_TransportEnergyCons!$B$3:$B$1000)*1,ISNUMBER(SEARCH("ELC",[2]OUT_TransportEnergyCons!$C$3:$C$1000))*1,[2]OUT_TransportEnergyCons!I$3:I$1000)</f>
        <v>0</v>
      </c>
      <c r="L1401" s="1" cm="1">
        <f t="array" ref="L1401">SUMPRODUCT(("T_B_c-BeVELCEXT"=[2]OUT_TransportEnergyCons!$A$3:$A$1000)*1,("Var_Fin"=[2]OUT_TransportEnergyCons!$B$3:$B$1000)*1,ISNUMBER(SEARCH("ELC",[2]OUT_TransportEnergyCons!$C$3:$C$1000))*1,[2]OUT_TransportEnergyCons!J$3:J$1000)</f>
        <v>0</v>
      </c>
      <c r="N1401" s="1"/>
    </row>
    <row r="1402" spans="2:14" x14ac:dyDescent="0.35">
      <c r="B1402" s="5" t="str">
        <f t="shared" si="1477"/>
        <v>SPS1</v>
      </c>
      <c r="C1402" s="5" t="str">
        <f t="shared" si="1478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7.7605176806777251E-4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4.8493922540366078E-3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8.9666266559661045E-3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0.14441192451366688</v>
      </c>
      <c r="J1402" s="1" cm="1">
        <f t="array" ref="J1402">SUMPRODUCT(("T_B_c-BEVELC-S1"=[2]OUT_TransportEnergyCons!$A$3:$A$1000)*1,("Var_Fin"=[2]OUT_TransportEnergyCons!$B$3:$B$1000)*1,ISNUMBER(SEARCH("ELC",[2]OUT_TransportEnergyCons!$C$3:$C$1000))*1,[2]OUT_TransportEnergyCons!H$3:H$1000)</f>
        <v>0.13767139049529498</v>
      </c>
      <c r="K1402" s="1" cm="1">
        <f t="array" ref="K1402">SUMPRODUCT(("T_B_c-BEVELC-S1"=[2]OUT_TransportEnergyCons!$A$3:$A$1000)*1,("Var_Fin"=[2]OUT_TransportEnergyCons!$B$3:$B$1000)*1,ISNUMBER(SEARCH("ELC",[2]OUT_TransportEnergyCons!$C$3:$C$1000))*1,[2]OUT_TransportEnergyCons!I$3:I$1000)</f>
        <v>0.13760569367012523</v>
      </c>
      <c r="L1402" s="1" cm="1">
        <f t="array" ref="L1402">SUMPRODUCT(("T_B_c-BEVELC-S1"=[2]OUT_TransportEnergyCons!$A$3:$A$1000)*1,("Var_Fin"=[2]OUT_TransportEnergyCons!$B$3:$B$1000)*1,ISNUMBER(SEARCH("ELC",[2]OUT_TransportEnergyCons!$C$3:$C$1000))*1,[2]OUT_TransportEnergyCons!J$3:J$1000)</f>
        <v>0.11871971946966199</v>
      </c>
      <c r="N1402" s="1"/>
    </row>
    <row r="1403" spans="2:14" x14ac:dyDescent="0.35">
      <c r="B1403" s="5" t="str">
        <f t="shared" si="1477"/>
        <v>SPS1</v>
      </c>
      <c r="C1403" s="5" t="str">
        <f t="shared" si="1478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2.2797862956962425E-3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5.4014622191960885E-3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8.1850997088965538E-3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0.17730714657358523</v>
      </c>
      <c r="J1403" s="1" cm="1">
        <f t="array" ref="J1403">SUMPRODUCT(("T_B_c-BEVELC-S2"=[2]OUT_TransportEnergyCons!$A$3:$A$1000)*1,("Var_Fin"=[2]OUT_TransportEnergyCons!$B$3:$B$1000)*1,ISNUMBER(SEARCH("ELC",[2]OUT_TransportEnergyCons!$C$3:$C$1000))*1,[2]OUT_TransportEnergyCons!H$3:H$1000)</f>
        <v>0.17039136696855342</v>
      </c>
      <c r="K1403" s="1" cm="1">
        <f t="array" ref="K1403">SUMPRODUCT(("T_B_c-BEVELC-S2"=[2]OUT_TransportEnergyCons!$A$3:$A$1000)*1,("Var_Fin"=[2]OUT_TransportEnergyCons!$B$3:$B$1000)*1,ISNUMBER(SEARCH("ELC",[2]OUT_TransportEnergyCons!$C$3:$C$1000))*1,[2]OUT_TransportEnergyCons!I$3:I$1000)</f>
        <v>0.1668367510240526</v>
      </c>
      <c r="L1403" s="1" cm="1">
        <f t="array" ref="L1403">SUMPRODUCT(("T_B_c-BEVELC-S2"=[2]OUT_TransportEnergyCons!$A$3:$A$1000)*1,("Var_Fin"=[2]OUT_TransportEnergyCons!$B$3:$B$1000)*1,ISNUMBER(SEARCH("ELC",[2]OUT_TransportEnergyCons!$C$3:$C$1000))*1,[2]OUT_TransportEnergyCons!J$3:J$1000)</f>
        <v>0.14724249601729236</v>
      </c>
      <c r="N1403" s="1"/>
    </row>
    <row r="1404" spans="2:14" x14ac:dyDescent="0.35">
      <c r="B1404" s="5" t="str">
        <f t="shared" si="1477"/>
        <v>SPS1</v>
      </c>
      <c r="C1404" s="5" t="str">
        <f t="shared" si="1478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1.4329840418077231E-3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2.9856676865509242E-3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4.5414946749020501E-3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5.6761723069708468E-2</v>
      </c>
      <c r="J1404" s="1" cm="1">
        <f t="array" ref="J1404">SUMPRODUCT(("T_B_c-BEVELC-S3"=[2]OUT_TransportEnergyCons!$A$3:$A$1000)*1,("Var_Fin"=[2]OUT_TransportEnergyCons!$B$3:$B$1000)*1,ISNUMBER(SEARCH("ELC",[2]OUT_TransportEnergyCons!$C$3:$C$1000))*1,[2]OUT_TransportEnergyCons!H$3:H$1000)</f>
        <v>5.4450498384192865E-2</v>
      </c>
      <c r="K1404" s="1" cm="1">
        <f t="array" ref="K1404">SUMPRODUCT(("T_B_c-BEVELC-S3"=[2]OUT_TransportEnergyCons!$A$3:$A$1000)*1,("Var_Fin"=[2]OUT_TransportEnergyCons!$B$3:$B$1000)*1,ISNUMBER(SEARCH("ELC",[2]OUT_TransportEnergyCons!$C$3:$C$1000))*1,[2]OUT_TransportEnergyCons!I$3:I$1000)</f>
        <v>5.3700361502608547E-2</v>
      </c>
      <c r="L1404" s="1" cm="1">
        <f t="array" ref="L1404">SUMPRODUCT(("T_B_c-BEVELC-S3"=[2]OUT_TransportEnergyCons!$A$3:$A$1000)*1,("Var_Fin"=[2]OUT_TransportEnergyCons!$B$3:$B$1000)*1,ISNUMBER(SEARCH("ELC",[2]OUT_TransportEnergyCons!$C$3:$C$1000))*1,[2]OUT_TransportEnergyCons!J$3:J$1000)</f>
        <v>4.5917103044359059E-2</v>
      </c>
      <c r="N1404" s="1"/>
    </row>
    <row r="1405" spans="2:14" x14ac:dyDescent="0.35">
      <c r="B1405" s="5" t="str">
        <f t="shared" si="1477"/>
        <v>SPS1</v>
      </c>
      <c r="C1405" s="5" t="str">
        <f t="shared" si="1478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1.0627911211982919E-3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1.717344954885097E-3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1.0936948487897124E-3</v>
      </c>
      <c r="J1405" s="1" cm="1">
        <f t="array" ref="J1405">SUMPRODUCT(("T_B_c-BEVELC-S4"=[2]OUT_TransportEnergyCons!$A$3:$A$1000)*1,("Var_Fin"=[2]OUT_TransportEnergyCons!$B$3:$B$1000)*1,ISNUMBER(SEARCH("ELC",[2]OUT_TransportEnergyCons!$C$3:$C$1000))*1,[2]OUT_TransportEnergyCons!H$3:H$1000)</f>
        <v>5.1902372131048224E-5</v>
      </c>
      <c r="K1405" s="1" cm="1">
        <f t="array" ref="K1405">SUMPRODUCT(("T_B_c-BEVELC-S4"=[2]OUT_TransportEnergyCons!$A$3:$A$1000)*1,("Var_Fin"=[2]OUT_TransportEnergyCons!$B$3:$B$1000)*1,ISNUMBER(SEARCH("ELC",[2]OUT_TransportEnergyCons!$C$3:$C$1000))*1,[2]OUT_TransportEnergyCons!I$3:I$1000)</f>
        <v>1.3025806557966056E-4</v>
      </c>
      <c r="L1405" s="1" cm="1">
        <f t="array" ref="L1405">SUMPRODUCT(("T_B_c-BEVELC-S4"=[2]OUT_TransportEnergyCons!$A$3:$A$1000)*1,("Var_Fin"=[2]OUT_TransportEnergyCons!$B$3:$B$1000)*1,ISNUMBER(SEARCH("ELC",[2]OUT_TransportEnergyCons!$C$3:$C$1000))*1,[2]OUT_TransportEnergyCons!J$3:J$1000)</f>
        <v>3.7035910274848303E-5</v>
      </c>
      <c r="N1405" s="1"/>
    </row>
    <row r="1406" spans="2:14" x14ac:dyDescent="0.35">
      <c r="B1406" s="5" t="str">
        <f t="shared" si="1477"/>
        <v>SPS1</v>
      </c>
      <c r="C1406" s="5" t="str">
        <f t="shared" si="1478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479">SUM(G1407:G1410)</f>
        <v>0</v>
      </c>
      <c r="H1406" s="1">
        <f t="shared" ref="H1406" si="1480">SUM(H1407:H1410)</f>
        <v>0</v>
      </c>
      <c r="I1406" s="1">
        <f t="shared" ref="I1406" si="1481">SUM(I1407:I1410)</f>
        <v>4.636933561803163E-4</v>
      </c>
      <c r="J1406" s="1">
        <f t="shared" ref="J1406" si="1482">SUM(J1407:J1410)</f>
        <v>1.1415635042897653E-6</v>
      </c>
      <c r="K1406" s="1">
        <f t="shared" ref="K1406:L1406" si="1483">SUM(K1407:K1410)</f>
        <v>0</v>
      </c>
      <c r="L1406" s="1">
        <f t="shared" si="1483"/>
        <v>0</v>
      </c>
      <c r="N1406" s="1"/>
    </row>
    <row r="1407" spans="2:14" x14ac:dyDescent="0.35">
      <c r="B1407" s="5" t="str">
        <f t="shared" si="1477"/>
        <v>SPS1</v>
      </c>
      <c r="C1407" s="5" t="str">
        <f t="shared" si="1478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6.0446052890327579E-5</v>
      </c>
      <c r="J1407" s="1" cm="1">
        <f t="array" ref="J1407">SUMPRODUCT(("T_B_c-FCLH2O-S1"=[2]OUT_TransportEnergyCons!$A$3:$A$1000)*1,("Var_Fin"=[2]OUT_TransportEnergyCons!$B$3:$B$1000)*1,ISNUMBER(SEARCH("H2",[2]OUT_TransportEnergyCons!$C$3:$C$1000))*1,[2]OUT_TransportEnergyCons!H$3:H$1000)</f>
        <v>1.1415635042897653E-6</v>
      </c>
      <c r="K1407" s="1" cm="1">
        <f t="array" ref="K1407">SUMPRODUCT(("T_B_c-FCLH2O-S1"=[2]OUT_TransportEnergyCons!$A$3:$A$1000)*1,("Var_Fin"=[2]OUT_TransportEnergyCons!$B$3:$B$1000)*1,ISNUMBER(SEARCH("H2",[2]OUT_TransportEnergyCons!$C$3:$C$1000))*1,[2]OUT_TransportEnergyCons!I$3:I$1000)</f>
        <v>0</v>
      </c>
      <c r="L1407" s="1" cm="1">
        <f t="array" ref="L1407">SUMPRODUCT(("T_B_c-FCLH2O-S1"=[2]OUT_TransportEnergyCons!$A$3:$A$1000)*1,("Var_Fin"=[2]OUT_TransportEnergyCons!$B$3:$B$1000)*1,ISNUMBER(SEARCH("H2",[2]OUT_TransportEnergyCons!$C$3:$C$1000))*1,[2]OUT_TransportEnergyCons!J$3:J$1000)</f>
        <v>0</v>
      </c>
      <c r="N1407" s="1"/>
    </row>
    <row r="1408" spans="2:14" x14ac:dyDescent="0.35">
      <c r="B1408" s="5" t="str">
        <f t="shared" si="1477"/>
        <v>SPS1</v>
      </c>
      <c r="C1408" s="5" t="str">
        <f t="shared" si="1478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9.7096484599356865E-5</v>
      </c>
      <c r="J1408" s="1" cm="1">
        <f t="array" ref="J1408">SUMPRODUCT(("T_B_c-FCLH2O-S2"=[2]OUT_TransportEnergyCons!$A$3:$A$1000)*1,("Var_Fin"=[2]OUT_TransportEnergyCons!$B$3:$B$1000)*1,ISNUMBER(SEARCH("H2",[2]OUT_TransportEnergyCons!$C$3:$C$1000))*1,[2]OUT_TransportEnergyCons!H$3:H$1000)</f>
        <v>0</v>
      </c>
      <c r="K1408" s="1" cm="1">
        <f t="array" ref="K1408">SUMPRODUCT(("T_B_c-FCLH2O-S2"=[2]OUT_TransportEnergyCons!$A$3:$A$1000)*1,("Var_Fin"=[2]OUT_TransportEnergyCons!$B$3:$B$1000)*1,ISNUMBER(SEARCH("H2",[2]OUT_TransportEnergyCons!$C$3:$C$1000))*1,[2]OUT_TransportEnergyCons!I$3:I$1000)</f>
        <v>0</v>
      </c>
      <c r="L1408" s="1" cm="1">
        <f t="array" ref="L1408">SUMPRODUCT(("T_B_c-FCLH2O-S2"=[2]OUT_TransportEnergyCons!$A$3:$A$1000)*1,("Var_Fin"=[2]OUT_TransportEnergyCons!$B$3:$B$1000)*1,ISNUMBER(SEARCH("H2",[2]OUT_TransportEnergyCons!$C$3:$C$1000))*1,[2]OUT_TransportEnergyCons!J$3:J$1000)</f>
        <v>0</v>
      </c>
      <c r="N1408" s="1"/>
    </row>
    <row r="1409" spans="2:14" x14ac:dyDescent="0.35">
      <c r="B1409" s="5" t="str">
        <f t="shared" si="1477"/>
        <v>SPS1</v>
      </c>
      <c r="C1409" s="5" t="str">
        <f t="shared" si="1478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1.9453410076949448E-4</v>
      </c>
      <c r="J1409" s="1" cm="1">
        <f t="array" ref="J1409">SUMPRODUCT(("T_B_c-FCLH2O-S3"=[2]OUT_TransportEnergyCons!$A$3:$A$1000)*1,("Var_Fin"=[2]OUT_TransportEnergyCons!$B$3:$B$1000)*1,ISNUMBER(SEARCH("H2",[2]OUT_TransportEnergyCons!$C$3:$C$1000))*1,[2]OUT_TransportEnergyCons!H$3:H$1000)</f>
        <v>0</v>
      </c>
      <c r="K1409" s="1" cm="1">
        <f t="array" ref="K1409">SUMPRODUCT(("T_B_c-FCLH2O-S3"=[2]OUT_TransportEnergyCons!$A$3:$A$1000)*1,("Var_Fin"=[2]OUT_TransportEnergyCons!$B$3:$B$1000)*1,ISNUMBER(SEARCH("H2",[2]OUT_TransportEnergyCons!$C$3:$C$1000))*1,[2]OUT_TransportEnergyCons!I$3:I$1000)</f>
        <v>0</v>
      </c>
      <c r="L1409" s="1" cm="1">
        <f t="array" ref="L1409">SUMPRODUCT(("T_B_c-FCLH2O-S3"=[2]OUT_TransportEnergyCons!$A$3:$A$1000)*1,("Var_Fin"=[2]OUT_TransportEnergyCons!$B$3:$B$1000)*1,ISNUMBER(SEARCH("H2",[2]OUT_TransportEnergyCons!$C$3:$C$1000))*1,[2]OUT_TransportEnergyCons!J$3:J$1000)</f>
        <v>0</v>
      </c>
      <c r="N1409" s="1"/>
    </row>
    <row r="1410" spans="2:14" x14ac:dyDescent="0.35">
      <c r="B1410" s="5" t="str">
        <f t="shared" si="1477"/>
        <v>SPS1</v>
      </c>
      <c r="C1410" s="5" t="str">
        <f t="shared" si="1478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1.1161671792113741E-4</v>
      </c>
      <c r="J1410" s="1" cm="1">
        <f t="array" ref="J1410">SUMPRODUCT(("T_B_c-FCLH2O-S4"=[2]OUT_TransportEnergyCons!$A$3:$A$1000)*1,("Var_Fin"=[2]OUT_TransportEnergyCons!$B$3:$B$1000)*1,ISNUMBER(SEARCH("H2",[2]OUT_TransportEnergyCons!$C$3:$C$1000))*1,[2]OUT_TransportEnergyCons!H$3:H$1000)</f>
        <v>0</v>
      </c>
      <c r="K1410" s="1" cm="1">
        <f t="array" ref="K1410">SUMPRODUCT(("T_B_c-FCLH2O-S4"=[2]OUT_TransportEnergyCons!$A$3:$A$1000)*1,("Var_Fin"=[2]OUT_TransportEnergyCons!$B$3:$B$1000)*1,ISNUMBER(SEARCH("H2",[2]OUT_TransportEnergyCons!$C$3:$C$1000))*1,[2]OUT_TransportEnergyCons!I$3:I$1000)</f>
        <v>0</v>
      </c>
      <c r="L1410" s="1" cm="1">
        <f t="array" ref="L1410">SUMPRODUCT(("T_B_c-FCLH2O-S4"=[2]OUT_TransportEnergyCons!$A$3:$A$1000)*1,("Var_Fin"=[2]OUT_TransportEnergyCons!$B$3:$B$1000)*1,ISNUMBER(SEARCH("H2",[2]OUT_TransportEnergyCons!$C$3:$C$1000))*1,[2]OUT_TransportEnergyCons!J$3:J$1000)</f>
        <v>0</v>
      </c>
      <c r="N1410" s="1"/>
    </row>
    <row r="1411" spans="2:14" x14ac:dyDescent="0.35">
      <c r="B1411" s="5" t="str">
        <f t="shared" si="1477"/>
        <v>SPS1</v>
      </c>
      <c r="C1411" s="5" t="str">
        <f t="shared" si="1478"/>
        <v>CH</v>
      </c>
      <c r="D1411" t="s">
        <v>1406</v>
      </c>
      <c r="E1411" t="s">
        <v>8</v>
      </c>
      <c r="F1411" s="1">
        <f>SUM(F1416:F1424)</f>
        <v>0.81801294568004024</v>
      </c>
      <c r="G1411" s="1">
        <f t="shared" ref="G1411:K1411" si="1484">SUM(G1416:G1424)</f>
        <v>0.80275635379274379</v>
      </c>
      <c r="H1411" s="1">
        <f t="shared" si="1484"/>
        <v>0.96605931361034414</v>
      </c>
      <c r="I1411" s="1">
        <f t="shared" si="1484"/>
        <v>3.3163465689844372E-3</v>
      </c>
      <c r="J1411" s="1">
        <f t="shared" si="1484"/>
        <v>2.6716477063183546E-5</v>
      </c>
      <c r="K1411" s="1">
        <f t="shared" si="1484"/>
        <v>9.0727630519482844E-5</v>
      </c>
      <c r="L1411" s="1">
        <f t="shared" ref="L1411" si="1485">SUM(L1416:L1424)</f>
        <v>3.4679514979313301E-5</v>
      </c>
      <c r="N1411" s="1"/>
    </row>
    <row r="1412" spans="2:14" x14ac:dyDescent="0.35">
      <c r="B1412" s="5" t="str">
        <f t="shared" si="1477"/>
        <v>SPS1</v>
      </c>
      <c r="C1412" s="5" t="str">
        <f t="shared" si="1478"/>
        <v>CH</v>
      </c>
      <c r="D1412" t="s">
        <v>1407</v>
      </c>
      <c r="E1412" t="s">
        <v>8</v>
      </c>
      <c r="F1412" s="1">
        <f>IF(F1411-F1413&lt;0,0,F1411-F1413)</f>
        <v>0.79826639268127453</v>
      </c>
      <c r="G1412" s="1">
        <f t="shared" ref="G1412:L1412" si="1486">IF(G1411-G1413&lt;0,0,G1411-G1413)</f>
        <v>0.7818274751014298</v>
      </c>
      <c r="H1412" s="1">
        <f t="shared" si="1486"/>
        <v>0.92289040662311728</v>
      </c>
      <c r="I1412" s="1">
        <f t="shared" si="1486"/>
        <v>3.1494602935675784E-3</v>
      </c>
      <c r="J1412" s="1">
        <f t="shared" si="1486"/>
        <v>2.4439989184793671E-5</v>
      </c>
      <c r="K1412" s="1">
        <f t="shared" si="1486"/>
        <v>7.4270078474855675E-5</v>
      </c>
      <c r="L1412" s="1">
        <f t="shared" si="1486"/>
        <v>0</v>
      </c>
      <c r="N1412" s="1"/>
    </row>
    <row r="1413" spans="2:14" x14ac:dyDescent="0.35">
      <c r="B1413" s="5" t="str">
        <f t="shared" si="1477"/>
        <v>SPS1</v>
      </c>
      <c r="C1413" s="5" t="str">
        <f t="shared" si="1478"/>
        <v>CH</v>
      </c>
      <c r="D1413" t="s">
        <v>1408</v>
      </c>
      <c r="E1413" t="s">
        <v>8</v>
      </c>
      <c r="F1413" s="1">
        <f>SUM(F1414:F1415)</f>
        <v>1.9746552998765734E-2</v>
      </c>
      <c r="G1413" s="1">
        <f t="shared" ref="G1413" si="1487">SUM(G1414:G1415)</f>
        <v>2.0928878691314018E-2</v>
      </c>
      <c r="H1413" s="1">
        <f t="shared" ref="H1413" si="1488">SUM(H1414:H1415)</f>
        <v>4.3168906987226842E-2</v>
      </c>
      <c r="I1413" s="1">
        <f t="shared" ref="I1413" si="1489">SUM(I1414:I1415)</f>
        <v>1.6688627541685877E-4</v>
      </c>
      <c r="J1413" s="1">
        <f t="shared" ref="J1413" si="1490">SUM(J1414:J1415)</f>
        <v>2.2764878783898766E-6</v>
      </c>
      <c r="K1413" s="1">
        <f t="shared" ref="K1413:L1413" si="1491">SUM(K1414:K1415)</f>
        <v>1.6457552044627173E-5</v>
      </c>
      <c r="L1413" s="1">
        <f t="shared" si="1491"/>
        <v>3.4935746627384067E-5</v>
      </c>
      <c r="N1413" s="1"/>
    </row>
    <row r="1414" spans="2:14" x14ac:dyDescent="0.35">
      <c r="B1414" s="5" t="str">
        <f t="shared" si="1477"/>
        <v>SPS1</v>
      </c>
      <c r="C1414" s="5" t="str">
        <f t="shared" si="1478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1.9746552998765734E-2</v>
      </c>
      <c r="G1414" s="1">
        <f>[1]Transport!C$26/SUM([1]Transport!C$22,[1]Transport!C$26)*G1411*(G$34+G$582)/(G$34+G$582+G$38)</f>
        <v>2.0928878691314018E-2</v>
      </c>
      <c r="H1414" s="1">
        <f>[1]Transport!D$26/SUM([1]Transport!D$22,[1]Transport!D$26)*H1411*(H$34+H$582)/(H$34+H$582+H$38)</f>
        <v>4.3168906987226842E-2</v>
      </c>
      <c r="I1414" s="1">
        <f>[1]Transport!E$26/SUM([1]Transport!E$22,[1]Transport!E$26)*I1411*(I$34+I$582)/(I$34+I$582+I$38)</f>
        <v>1.6688627541685877E-4</v>
      </c>
      <c r="J1414" s="1">
        <f>[2]Transport!F$26/SUM([2]Transport!F$22,[2]Transport!F$26)*J1411*(J$34+J$582)/(J$34+J$582+J$38)</f>
        <v>2.2764878783898766E-6</v>
      </c>
      <c r="K1414" s="1">
        <f>[2]Transport!G$26/SUM([2]Transport!G$22,[2]Transport!G$26)*K1411*(K$34+K$582)/(K$34+K$582+K$38)</f>
        <v>1.540733685317033E-5</v>
      </c>
      <c r="L1414" s="1">
        <f>[2]Transport!H$26/SUM([2]Transport!H$22,[2]Transport!H$26)*L1411*(L$34+L$582)/(L$34+L$582+L$38)</f>
        <v>1.7500402175117694E-5</v>
      </c>
      <c r="N1414" s="1"/>
    </row>
    <row r="1415" spans="2:14" x14ac:dyDescent="0.35">
      <c r="B1415" s="5" t="str">
        <f t="shared" si="1477"/>
        <v>SPS1</v>
      </c>
      <c r="C1415" s="5" t="str">
        <f t="shared" si="1478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(J$38+J$718)/([2]Transport!F$22+[2]Transport!F$26)*J1411</f>
        <v>0</v>
      </c>
      <c r="K1415" s="1">
        <f>(K$38+K$718)/([2]Transport!G$22+[2]Transport!G$26)*K1411</f>
        <v>1.0502151914568439E-6</v>
      </c>
      <c r="L1415" s="1">
        <f>(L$38+L$718)/([2]Transport!H$22+[2]Transport!H$26)*L1411</f>
        <v>1.7435344452266374E-5</v>
      </c>
      <c r="N1415" s="1"/>
    </row>
    <row r="1416" spans="2:14" x14ac:dyDescent="0.35">
      <c r="B1416" s="5" t="str">
        <f t="shared" si="1477"/>
        <v>SPS1</v>
      </c>
      <c r="C1416" s="5" t="str">
        <f t="shared" si="1478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2.1488596991368427E-2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2.6005405148336505E-2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2.1494905947558231E-4</v>
      </c>
      <c r="J1416" s="1" cm="1">
        <f t="array" ref="J1416">SUMPRODUCT(("T_B_c-HYBDSL-S1"=[2]OUT_TransportEnergyCons!$A$3:$A$1000)*1,("Var_Fin"=[2]OUT_TransportEnergyCons!$B$3:$B$1000)*1,ISNUMBER(SEARCH("DSL",[2]OUT_TransportEnergyCons!$C$3:$C$1000))*1,[2]OUT_TransportEnergyCons!H$3:H$1000)</f>
        <v>1.5134991105968425E-5</v>
      </c>
      <c r="K1416" s="1" cm="1">
        <f t="array" ref="K1416">SUMPRODUCT(("T_B_c-HYBDSL-S1"=[2]OUT_TransportEnergyCons!$A$3:$A$1000)*1,("Var_Fin"=[2]OUT_TransportEnergyCons!$B$3:$B$1000)*1,ISNUMBER(SEARCH("DSL",[2]OUT_TransportEnergyCons!$C$3:$C$1000))*1,[2]OUT_TransportEnergyCons!I$3:I$1000)</f>
        <v>2.795480756895831E-5</v>
      </c>
      <c r="L1416" s="1" cm="1">
        <f t="array" ref="L1416">SUMPRODUCT(("T_B_c-HYBDSL-S1"=[2]OUT_TransportEnergyCons!$A$3:$A$1000)*1,("Var_Fin"=[2]OUT_TransportEnergyCons!$B$3:$B$1000)*1,ISNUMBER(SEARCH("DSL",[2]OUT_TransportEnergyCons!$C$3:$C$1000))*1,[2]OUT_TransportEnergyCons!J$3:J$1000)</f>
        <v>1.0745980860168523E-5</v>
      </c>
      <c r="N1416" s="1"/>
    </row>
    <row r="1417" spans="2:14" x14ac:dyDescent="0.35">
      <c r="B1417" s="5" t="str">
        <f t="shared" si="1477"/>
        <v>SPS1</v>
      </c>
      <c r="C1417" s="5" t="str">
        <f t="shared" si="1478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2.82131259615509E-3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5.1143871218554829E-3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3.6753062828250987E-4</v>
      </c>
      <c r="J1417" s="1" cm="1">
        <f t="array" ref="J1417">SUMPRODUCT(("T_B_c-HYBDSL-S2"=[2]OUT_TransportEnergyCons!$A$3:$A$1000)*1,("Var_Fin"=[2]OUT_TransportEnergyCons!$B$3:$B$1000)*1,ISNUMBER(SEARCH("DSL",[2]OUT_TransportEnergyCons!$C$3:$C$1000))*1,[2]OUT_TransportEnergyCons!H$3:H$1000)</f>
        <v>6.2679547699310253E-6</v>
      </c>
      <c r="K1417" s="1" cm="1">
        <f t="array" ref="K1417">SUMPRODUCT(("T_B_c-HYBDSL-S2"=[2]OUT_TransportEnergyCons!$A$3:$A$1000)*1,("Var_Fin"=[2]OUT_TransportEnergyCons!$B$3:$B$1000)*1,ISNUMBER(SEARCH("DSL",[2]OUT_TransportEnergyCons!$C$3:$C$1000))*1,[2]OUT_TransportEnergyCons!I$3:I$1000)</f>
        <v>3.3593295257308472E-5</v>
      </c>
      <c r="L1417" s="1" cm="1">
        <f t="array" ref="L1417">SUMPRODUCT(("T_B_c-HYBDSL-S2"=[2]OUT_TransportEnergyCons!$A$3:$A$1000)*1,("Var_Fin"=[2]OUT_TransportEnergyCons!$B$3:$B$1000)*1,ISNUMBER(SEARCH("DSL",[2]OUT_TransportEnergyCons!$C$3:$C$1000))*1,[2]OUT_TransportEnergyCons!J$3:J$1000)</f>
        <v>1.6179967412034082E-5</v>
      </c>
      <c r="N1417" s="1"/>
    </row>
    <row r="1418" spans="2:14" x14ac:dyDescent="0.35">
      <c r="B1418" s="5" t="str">
        <f t="shared" si="1477"/>
        <v>SPS1</v>
      </c>
      <c r="C1418" s="5" t="str">
        <f t="shared" si="1478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1.554714758312847E-3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2.8429938824282531E-3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8.8493424729238132E-4</v>
      </c>
      <c r="J1418" s="1" cm="1">
        <f t="array" ref="J1418">SUMPRODUCT(("T_B_c-HYBDSL-S3"=[2]OUT_TransportEnergyCons!$A$3:$A$1000)*1,("Var_Fin"=[2]OUT_TransportEnergyCons!$B$3:$B$1000)*1,ISNUMBER(SEARCH("DSL",[2]OUT_TransportEnergyCons!$C$3:$C$1000))*1,[2]OUT_TransportEnergyCons!H$3:H$1000)</f>
        <v>0</v>
      </c>
      <c r="K1418" s="1" cm="1">
        <f t="array" ref="K1418">SUMPRODUCT(("T_B_c-HYBDSL-S3"=[2]OUT_TransportEnergyCons!$A$3:$A$1000)*1,("Var_Fin"=[2]OUT_TransportEnergyCons!$B$3:$B$1000)*1,ISNUMBER(SEARCH("DSL",[2]OUT_TransportEnergyCons!$C$3:$C$1000))*1,[2]OUT_TransportEnergyCons!I$3:I$1000)</f>
        <v>0</v>
      </c>
      <c r="L1418" s="1" cm="1">
        <f t="array" ref="L1418">SUMPRODUCT(("T_B_c-HYBDSL-S3"=[2]OUT_TransportEnergyCons!$A$3:$A$1000)*1,("Var_Fin"=[2]OUT_TransportEnergyCons!$B$3:$B$1000)*1,ISNUMBER(SEARCH("DSL",[2]OUT_TransportEnergyCons!$C$3:$C$1000))*1,[2]OUT_TransportEnergyCons!J$3:J$1000)</f>
        <v>0</v>
      </c>
      <c r="N1418" s="1"/>
    </row>
    <row r="1419" spans="2:14" x14ac:dyDescent="0.35">
      <c r="B1419" s="5" t="str">
        <f t="shared" si="1477"/>
        <v>SPS1</v>
      </c>
      <c r="C1419" s="5" t="str">
        <f t="shared" si="1478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5.4352948088376993E-4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1.0421034288499009E-3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4.4666660716365488E-4</v>
      </c>
      <c r="J1419" s="1" cm="1">
        <f t="array" ref="J1419">SUMPRODUCT(("T_B_c-HYBDSL-S4"=[2]OUT_TransportEnergyCons!$A$3:$A$1000)*1,("Var_Fin"=[2]OUT_TransportEnergyCons!$B$3:$B$1000)*1,ISNUMBER(SEARCH("DSL",[2]OUT_TransportEnergyCons!$C$3:$C$1000))*1,[2]OUT_TransportEnergyCons!H$3:H$1000)</f>
        <v>0</v>
      </c>
      <c r="K1419" s="1" cm="1">
        <f t="array" ref="K1419">SUMPRODUCT(("T_B_c-HYBDSL-S4"=[2]OUT_TransportEnergyCons!$A$3:$A$1000)*1,("Var_Fin"=[2]OUT_TransportEnergyCons!$B$3:$B$1000)*1,ISNUMBER(SEARCH("DSL",[2]OUT_TransportEnergyCons!$C$3:$C$1000))*1,[2]OUT_TransportEnergyCons!I$3:I$1000)</f>
        <v>0</v>
      </c>
      <c r="L1419" s="1" cm="1">
        <f t="array" ref="L1419">SUMPRODUCT(("T_B_c-HYBDSL-S4"=[2]OUT_TransportEnergyCons!$A$3:$A$1000)*1,("Var_Fin"=[2]OUT_TransportEnergyCons!$B$3:$B$1000)*1,ISNUMBER(SEARCH("DSL",[2]OUT_TransportEnergyCons!$C$3:$C$1000))*1,[2]OUT_TransportEnergyCons!J$3:J$1000)</f>
        <v>0</v>
      </c>
      <c r="N1419" s="1"/>
    </row>
    <row r="1420" spans="2:14" x14ac:dyDescent="0.35">
      <c r="B1420" s="5" t="str">
        <f t="shared" si="1477"/>
        <v>SPS1</v>
      </c>
      <c r="C1420" s="5" t="str">
        <f t="shared" si="1478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6.0613052443606891E-3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6.026082253665856E-3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5.9218438449897869E-3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SUMPRODUCT(("T_B_c-ICEDSLEXT"=[2]OUT_TransportEnergyCons!$A$3:$A$1000)*1,("Var_Fin"=[2]OUT_TransportEnergyCons!$B$3:$B$1000)*1,ISNUMBER(SEARCH("DSL",[2]OUT_TransportEnergyCons!$C$3:$C$1000))*1,[2]OUT_TransportEnergyCons!H$3:H$1000)</f>
        <v>0</v>
      </c>
      <c r="K1420" s="1" cm="1">
        <f t="array" ref="K1420">SUMPRODUCT(("T_B_c-ICEDSLEXT"=[2]OUT_TransportEnergyCons!$A$3:$A$1000)*1,("Var_Fin"=[2]OUT_TransportEnergyCons!$B$3:$B$1000)*1,ISNUMBER(SEARCH("DSL",[2]OUT_TransportEnergyCons!$C$3:$C$1000))*1,[2]OUT_TransportEnergyCons!I$3:I$1000)</f>
        <v>0</v>
      </c>
      <c r="L1420" s="1" cm="1">
        <f t="array" ref="L1420">SUMPRODUCT(("T_B_c-ICEDSLEXT"=[2]OUT_TransportEnergyCons!$A$3:$A$1000)*1,("Var_Fin"=[2]OUT_TransportEnergyCons!$B$3:$B$1000)*1,ISNUMBER(SEARCH("DSL",[2]OUT_TransportEnergyCons!$C$3:$C$1000))*1,[2]OUT_TransportEnergyCons!J$3:J$1000)</f>
        <v>0</v>
      </c>
      <c r="N1420" s="1"/>
    </row>
    <row r="1421" spans="2:14" x14ac:dyDescent="0.35">
      <c r="B1421" s="5" t="str">
        <f t="shared" si="1477"/>
        <v>SPS1</v>
      </c>
      <c r="C1421" s="5" t="str">
        <f t="shared" si="1478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0.11222927653968538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0.26770148658456028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0.31671673577258802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2.0867896051354583E-4</v>
      </c>
      <c r="J1421" s="1" cm="1">
        <f t="array" ref="J1421">SUMPRODUCT(("T_B_c-ICEDSL-S1"=[2]OUT_TransportEnergyCons!$A$3:$A$1000)*1,("Var_Fin"=[2]OUT_TransportEnergyCons!$B$3:$B$1000)*1,ISNUMBER(SEARCH("DSL",[2]OUT_TransportEnergyCons!$C$3:$C$1000))*1,[2]OUT_TransportEnergyCons!H$3:H$1000)</f>
        <v>3.4285212314307606E-6</v>
      </c>
      <c r="K1421" s="1" cm="1">
        <f t="array" ref="K1421">SUMPRODUCT(("T_B_c-ICEDSL-S1"=[2]OUT_TransportEnergyCons!$A$3:$A$1000)*1,("Var_Fin"=[2]OUT_TransportEnergyCons!$B$3:$B$1000)*1,ISNUMBER(SEARCH("DSL",[2]OUT_TransportEnergyCons!$C$3:$C$1000))*1,[2]OUT_TransportEnergyCons!I$3:I$1000)</f>
        <v>1.1860732406051897E-5</v>
      </c>
      <c r="L1421" s="1" cm="1">
        <f t="array" ref="L1421">SUMPRODUCT(("T_B_c-ICEDSL-S1"=[2]OUT_TransportEnergyCons!$A$3:$A$1000)*1,("Var_Fin"=[2]OUT_TransportEnergyCons!$B$3:$B$1000)*1,ISNUMBER(SEARCH("DSL",[2]OUT_TransportEnergyCons!$C$3:$C$1000))*1,[2]OUT_TransportEnergyCons!J$3:J$1000)</f>
        <v>3.6630579248617734E-6</v>
      </c>
      <c r="N1421" s="1"/>
    </row>
    <row r="1422" spans="2:14" x14ac:dyDescent="0.35">
      <c r="B1422" s="5" t="str">
        <f t="shared" si="1477"/>
        <v>SPS1</v>
      </c>
      <c r="C1422" s="5" t="str">
        <f t="shared" si="1478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0.51624047537678963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0.38032269809317387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0.46166618628515405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3.805831713963647E-4</v>
      </c>
      <c r="J1422" s="1" cm="1">
        <f t="array" ref="J1422">SUMPRODUCT(("T_B_c-ICEDSL-S2"=[2]OUT_TransportEnergyCons!$A$3:$A$1000)*1,("Var_Fin"=[2]OUT_TransportEnergyCons!$B$3:$B$1000)*1,ISNUMBER(SEARCH("DSL",[2]OUT_TransportEnergyCons!$C$3:$C$1000))*1,[2]OUT_TransportEnergyCons!H$3:H$1000)</f>
        <v>1.8850099558533329E-6</v>
      </c>
      <c r="K1422" s="1" cm="1">
        <f t="array" ref="K1422">SUMPRODUCT(("T_B_c-ICEDSL-S2"=[2]OUT_TransportEnergyCons!$A$3:$A$1000)*1,("Var_Fin"=[2]OUT_TransportEnergyCons!$B$3:$B$1000)*1,ISNUMBER(SEARCH("DSL",[2]OUT_TransportEnergyCons!$C$3:$C$1000))*1,[2]OUT_TransportEnergyCons!I$3:I$1000)</f>
        <v>1.2330884412697593E-5</v>
      </c>
      <c r="L1422" s="1" cm="1">
        <f t="array" ref="L1422">SUMPRODUCT(("T_B_c-ICEDSL-S2"=[2]OUT_TransportEnergyCons!$A$3:$A$1000)*1,("Var_Fin"=[2]OUT_TransportEnergyCons!$B$3:$B$1000)*1,ISNUMBER(SEARCH("DSL",[2]OUT_TransportEnergyCons!$C$3:$C$1000))*1,[2]OUT_TransportEnergyCons!J$3:J$1000)</f>
        <v>4.0905087822489184E-6</v>
      </c>
      <c r="N1422" s="1"/>
    </row>
    <row r="1423" spans="2:14" x14ac:dyDescent="0.35">
      <c r="B1423" s="5" t="str">
        <f t="shared" si="1477"/>
        <v>SPS1</v>
      </c>
      <c r="C1423" s="5" t="str">
        <f t="shared" si="1478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0.1477322255793154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0.11754207998418099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0.13998389339023989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1.6162391818273295E-4</v>
      </c>
      <c r="J1423" s="1" cm="1">
        <f t="array" ref="J1423">SUMPRODUCT(("T_B_c-ICEDSL-S3"=[2]OUT_TransportEnergyCons!$A$3:$A$1000)*1,("Var_Fin"=[2]OUT_TransportEnergyCons!$B$3:$B$1000)*1,ISNUMBER(SEARCH("DSL",[2]OUT_TransportEnergyCons!$C$3:$C$1000))*1,[2]OUT_TransportEnergyCons!H$3:H$1000)</f>
        <v>0</v>
      </c>
      <c r="K1423" s="1" cm="1">
        <f t="array" ref="K1423">SUMPRODUCT(("T_B_c-ICEDSL-S3"=[2]OUT_TransportEnergyCons!$A$3:$A$1000)*1,("Var_Fin"=[2]OUT_TransportEnergyCons!$B$3:$B$1000)*1,ISNUMBER(SEARCH("DSL",[2]OUT_TransportEnergyCons!$C$3:$C$1000))*1,[2]OUT_TransportEnergyCons!I$3:I$1000)</f>
        <v>4.9879108744665665E-6</v>
      </c>
      <c r="L1423" s="1" cm="1">
        <f t="array" ref="L1423">SUMPRODUCT(("T_B_c-ICEDSL-S3"=[2]OUT_TransportEnergyCons!$A$3:$A$1000)*1,("Var_Fin"=[2]OUT_TransportEnergyCons!$B$3:$B$1000)*1,ISNUMBER(SEARCH("DSL",[2]OUT_TransportEnergyCons!$C$3:$C$1000))*1,[2]OUT_TransportEnergyCons!J$3:J$1000)</f>
        <v>0</v>
      </c>
      <c r="N1423" s="1"/>
    </row>
    <row r="1424" spans="2:14" x14ac:dyDescent="0.35">
      <c r="B1424" s="5" t="str">
        <f t="shared" si="1477"/>
        <v>SPS1</v>
      </c>
      <c r="C1424" s="5" t="str">
        <f t="shared" si="1478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3.5749662939889071E-2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4.7558530504427307E-3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6.765764735902278E-3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6.5137997667766507E-4</v>
      </c>
      <c r="J1424" s="1" cm="1">
        <f t="array" ref="J1424">SUMPRODUCT(("T_B_c-ICEDSL-S4"=[2]OUT_TransportEnergyCons!$A$3:$A$1000)*1,("Var_Fin"=[2]OUT_TransportEnergyCons!$B$3:$B$1000)*1,ISNUMBER(SEARCH("DSL",[2]OUT_TransportEnergyCons!$C$3:$C$1000))*1,[2]OUT_TransportEnergyCons!H$3:H$1000)</f>
        <v>0</v>
      </c>
      <c r="K1424" s="1" cm="1">
        <f t="array" ref="K1424">SUMPRODUCT(("T_B_c-ICEDSL-S4"=[2]OUT_TransportEnergyCons!$A$3:$A$1000)*1,("Var_Fin"=[2]OUT_TransportEnergyCons!$B$3:$B$1000)*1,ISNUMBER(SEARCH("DSL",[2]OUT_TransportEnergyCons!$C$3:$C$1000))*1,[2]OUT_TransportEnergyCons!I$3:I$1000)</f>
        <v>0</v>
      </c>
      <c r="L1424" s="1" cm="1">
        <f t="array" ref="L1424">SUMPRODUCT(("T_B_c-ICEDSL-S4"=[2]OUT_TransportEnergyCons!$A$3:$A$1000)*1,("Var_Fin"=[2]OUT_TransportEnergyCons!$B$3:$B$1000)*1,ISNUMBER(SEARCH("DSL",[2]OUT_TransportEnergyCons!$C$3:$C$1000))*1,[2]OUT_TransportEnergyCons!J$3:J$1000)</f>
        <v>0</v>
      </c>
      <c r="N1424" s="1"/>
    </row>
    <row r="1425" spans="2:14" x14ac:dyDescent="0.35">
      <c r="B1425" s="5" t="str">
        <f t="shared" si="1477"/>
        <v>SPS1</v>
      </c>
      <c r="C1425" s="5" t="str">
        <f t="shared" si="1478"/>
        <v>CH</v>
      </c>
      <c r="D1425" t="s">
        <v>1419</v>
      </c>
      <c r="E1425" t="s">
        <v>8</v>
      </c>
      <c r="F1425" s="1">
        <f>SUM(F1430:F1434)</f>
        <v>1.785091343924339E-4</v>
      </c>
      <c r="G1425" s="1">
        <f t="shared" ref="G1425" si="1492">SUM(G1430:G1434)</f>
        <v>5.2913899107276223E-3</v>
      </c>
      <c r="H1425" s="1">
        <f t="shared" ref="H1425" si="1493">SUM(H1430:H1434)</f>
        <v>1.2756553484724698E-2</v>
      </c>
      <c r="I1425" s="1">
        <f t="shared" ref="I1425" si="1494">SUM(I1430:I1434)</f>
        <v>1.1469206902480684E-3</v>
      </c>
      <c r="J1425" s="1">
        <f t="shared" ref="J1425" si="1495">SUM(J1430:J1434)</f>
        <v>4.3426161413326821E-6</v>
      </c>
      <c r="K1425" s="1">
        <f t="shared" ref="K1425:L1425" si="1496">SUM(K1430:K1434)</f>
        <v>0</v>
      </c>
      <c r="L1425" s="1">
        <f t="shared" si="1496"/>
        <v>0</v>
      </c>
      <c r="N1425" s="1"/>
    </row>
    <row r="1426" spans="2:14" x14ac:dyDescent="0.35">
      <c r="B1426" s="5" t="str">
        <f t="shared" si="1477"/>
        <v>SPS1</v>
      </c>
      <c r="C1426" s="5" t="str">
        <f t="shared" si="1478"/>
        <v>CH</v>
      </c>
      <c r="D1426" t="s">
        <v>1420</v>
      </c>
      <c r="E1426" t="s">
        <v>8</v>
      </c>
      <c r="F1426" s="1">
        <f>IF(F1425-F1427&lt;0,0,F1425-F1427)</f>
        <v>1.6413952305987389E-4</v>
      </c>
      <c r="G1426" s="1">
        <f t="shared" ref="G1426:L1426" si="1497">IF(G1425-G1427&lt;0,0,G1425-G1427)</f>
        <v>4.775343501812801E-3</v>
      </c>
      <c r="H1426" s="1">
        <f t="shared" si="1497"/>
        <v>1.1563325438116123E-2</v>
      </c>
      <c r="I1426" s="1">
        <f t="shared" si="1497"/>
        <v>9.5502093460068894E-4</v>
      </c>
      <c r="J1426" s="1">
        <f t="shared" si="1497"/>
        <v>0</v>
      </c>
      <c r="K1426" s="1">
        <f t="shared" si="1497"/>
        <v>0</v>
      </c>
      <c r="L1426" s="1">
        <f t="shared" si="1497"/>
        <v>0</v>
      </c>
      <c r="N1426" s="1"/>
    </row>
    <row r="1427" spans="2:14" x14ac:dyDescent="0.35">
      <c r="B1427" s="5" t="str">
        <f t="shared" si="1477"/>
        <v>SPS1</v>
      </c>
      <c r="C1427" s="5" t="str">
        <f t="shared" si="1478"/>
        <v>CH</v>
      </c>
      <c r="D1427" t="s">
        <v>1421</v>
      </c>
      <c r="E1427" t="s">
        <v>8</v>
      </c>
      <c r="F1427" s="1">
        <f>SUM(F1428:F1429)</f>
        <v>1.4369611332560025E-5</v>
      </c>
      <c r="G1427" s="1">
        <f t="shared" ref="G1427" si="1498">SUM(G1428:G1429)</f>
        <v>5.1604640891482164E-4</v>
      </c>
      <c r="H1427" s="1">
        <f t="shared" ref="H1427" si="1499">SUM(H1428:H1429)</f>
        <v>1.1932280466085752E-3</v>
      </c>
      <c r="I1427" s="1">
        <f t="shared" ref="I1427" si="1500">SUM(I1428:I1429)</f>
        <v>1.918997556473794E-4</v>
      </c>
      <c r="J1427" s="1">
        <f t="shared" ref="J1427" si="1501">SUM(J1428:J1429)</f>
        <v>5.4165338804294349E-4</v>
      </c>
      <c r="K1427" s="1">
        <f t="shared" ref="K1427:L1427" si="1502">SUM(K1428:K1429)</f>
        <v>0</v>
      </c>
      <c r="L1427" s="1">
        <f t="shared" si="1502"/>
        <v>0</v>
      </c>
      <c r="N1427" s="1"/>
    </row>
    <row r="1428" spans="2:14" x14ac:dyDescent="0.35">
      <c r="B1428" s="5" t="str">
        <f t="shared" si="1477"/>
        <v>SPS1</v>
      </c>
      <c r="C1428" s="5" t="str">
        <f t="shared" si="1478"/>
        <v>CH</v>
      </c>
      <c r="D1428" t="s">
        <v>1422</v>
      </c>
      <c r="E1428" t="s">
        <v>8</v>
      </c>
      <c r="F1428" s="1">
        <f>[1]Transport!B$27/SUM([1]Transport!B$24,[1]Transport!B$27)*F1425*(F$47+F$614)/(F$47+F$614+F$49)</f>
        <v>1.4369611332560025E-5</v>
      </c>
      <c r="G1428" s="1">
        <f>[1]Transport!C$27/SUM([1]Transport!C$24,[1]Transport!C$27)*G1425*(G$47+G$614)/(G$47+G$614+G$49)</f>
        <v>5.1604640891482164E-4</v>
      </c>
      <c r="H1428" s="1">
        <f>[1]Transport!D$27/SUM([1]Transport!D$24,[1]Transport!D$27)*H1425*(H$47+H$614)/(H$47+H$614+H$49)</f>
        <v>1.1932280466085752E-3</v>
      </c>
      <c r="I1428" s="1">
        <f>[1]Transport!E$27/SUM([1]Transport!E$24,[1]Transport!E$27)*I1425*(I$47+I$614)/(I$47+I$614+I$49)</f>
        <v>1.918997556473794E-4</v>
      </c>
      <c r="J1428" s="1">
        <f>[2]Transport!F$27/SUM([2]Transport!F$24,[2]Transport!F$27)*J1425*(J$47+J$614)/(J$47+J$614+J$49)</f>
        <v>9.1127634963645382E-7</v>
      </c>
      <c r="K1428" s="1">
        <f>[2]Transport!G$27/SUM([2]Transport!G$24,[2]Transport!G$27)*K1425*(K$47+K$614)/(K$47+K$614+K$49)</f>
        <v>0</v>
      </c>
      <c r="L1428" s="1">
        <f>[2]Transport!H$27/SUM([2]Transport!H$24,[2]Transport!H$27)*L1425*(L$47+L$614)/(L$47+L$614+L$49)</f>
        <v>0</v>
      </c>
      <c r="N1428" s="1"/>
    </row>
    <row r="1429" spans="2:14" x14ac:dyDescent="0.35">
      <c r="B1429" s="5" t="str">
        <f t="shared" si="1477"/>
        <v>SPS1</v>
      </c>
      <c r="C1429" s="5" t="str">
        <f t="shared" si="1478"/>
        <v>CH</v>
      </c>
      <c r="D1429" t="s">
        <v>1423</v>
      </c>
      <c r="E1429" t="s">
        <v>8</v>
      </c>
      <c r="F1429" s="1">
        <f>(F$49+F$716)/([1]Transport!B$24+[1]Transport!B$27)*F1425</f>
        <v>0</v>
      </c>
      <c r="G1429" s="1">
        <f>(G$49+G$716)/([1]Transport!C$24+[1]Transport!C$27)*G1425</f>
        <v>0</v>
      </c>
      <c r="H1429" s="1">
        <f>(H$49+H$716)/([1]Transport!D$24+[1]Transport!D$27)*H1425</f>
        <v>0</v>
      </c>
      <c r="I1429" s="1">
        <f>(I$49+I$716)/([1]Transport!E$24+[1]Transport!E$27)*I1425</f>
        <v>0</v>
      </c>
      <c r="J1429" s="1">
        <f>(J$49+J$716)/([2]Transport!F$24+[2]Transport!F$27)*J1425</f>
        <v>5.4074211169330704E-4</v>
      </c>
      <c r="K1429" s="1">
        <f>(K$49+K$716)/([2]Transport!G$24+[2]Transport!G$27)*K1425</f>
        <v>0</v>
      </c>
      <c r="L1429" s="1">
        <f>(L$49+L$716)/([2]Transport!H$24+[2]Transport!H$27)*L1425</f>
        <v>0</v>
      </c>
      <c r="N1429" s="1"/>
    </row>
    <row r="1430" spans="2:14" x14ac:dyDescent="0.35">
      <c r="B1430" s="5" t="str">
        <f t="shared" si="1477"/>
        <v>SPS1</v>
      </c>
      <c r="C1430" s="5" t="str">
        <f t="shared" si="1478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1.785091343924339E-4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1.6260437376534707E-4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1.5809903440331505E-4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SUMPRODUCT(("T_B_c-ICEngaEXT"=[2]OUT_TransportEnergyCons!$A$3:$A$1000)*1,("Var_Fin"=[2]OUT_TransportEnergyCons!$B$3:$B$1000)*1,ISNUMBER(SEARCH("nga",[2]OUT_TransportEnergyCons!$C$3:$C$1000))*1,[2]OUT_TransportEnergyCons!H$3:H$1000)</f>
        <v>0</v>
      </c>
      <c r="K1430" s="1" cm="1">
        <f t="array" ref="K1430">SUMPRODUCT(("T_B_c-ICEngaEXT"=[2]OUT_TransportEnergyCons!$A$3:$A$1000)*1,("Var_Fin"=[2]OUT_TransportEnergyCons!$B$3:$B$1000)*1,ISNUMBER(SEARCH("nga",[2]OUT_TransportEnergyCons!$C$3:$C$1000))*1,[2]OUT_TransportEnergyCons!I$3:I$1000)</f>
        <v>0</v>
      </c>
      <c r="L1430" s="1" cm="1">
        <f t="array" ref="L1430">SUMPRODUCT(("T_B_c-ICEngaEXT"=[2]OUT_TransportEnergyCons!$A$3:$A$1000)*1,("Var_Fin"=[2]OUT_TransportEnergyCons!$B$3:$B$1000)*1,ISNUMBER(SEARCH("nga",[2]OUT_TransportEnergyCons!$C$3:$C$1000))*1,[2]OUT_TransportEnergyCons!J$3:J$1000)</f>
        <v>0</v>
      </c>
      <c r="N1430" s="1"/>
    </row>
    <row r="1431" spans="2:14" x14ac:dyDescent="0.35">
      <c r="B1431" s="5" t="str">
        <f t="shared" si="1477"/>
        <v>SPS1</v>
      </c>
      <c r="C1431" s="5" t="str">
        <f t="shared" si="1478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1.9643153649857598E-3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3.9153644627530695E-3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1.993979535633284E-4</v>
      </c>
      <c r="J1431" s="1" cm="1">
        <f t="array" ref="J1431">SUMPRODUCT(("T_B_c-ICEnga-S1"=[2]OUT_TransportEnergyCons!$A$3:$A$1000)*1,("Var_Fin"=[2]OUT_TransportEnergyCons!$B$3:$B$1000)*1,ISNUMBER(SEARCH("nga",[2]OUT_TransportEnergyCons!$C$3:$C$1000))*1,[2]OUT_TransportEnergyCons!H$3:H$1000)</f>
        <v>2.6099194544465408E-6</v>
      </c>
      <c r="K1431" s="1" cm="1">
        <f t="array" ref="K1431">SUMPRODUCT(("T_B_c-ICEnga-S1"=[2]OUT_TransportEnergyCons!$A$3:$A$1000)*1,("Var_Fin"=[2]OUT_TransportEnergyCons!$B$3:$B$1000)*1,ISNUMBER(SEARCH("nga",[2]OUT_TransportEnergyCons!$C$3:$C$1000))*1,[2]OUT_TransportEnergyCons!I$3:I$1000)</f>
        <v>0</v>
      </c>
      <c r="L1431" s="1" cm="1">
        <f t="array" ref="L1431">SUMPRODUCT(("T_B_c-ICEnga-S1"=[2]OUT_TransportEnergyCons!$A$3:$A$1000)*1,("Var_Fin"=[2]OUT_TransportEnergyCons!$B$3:$B$1000)*1,ISNUMBER(SEARCH("nga",[2]OUT_TransportEnergyCons!$C$3:$C$1000))*1,[2]OUT_TransportEnergyCons!J$3:J$1000)</f>
        <v>0</v>
      </c>
      <c r="N1431" s="1"/>
    </row>
    <row r="1432" spans="2:14" x14ac:dyDescent="0.35">
      <c r="B1432" s="5" t="str">
        <f t="shared" si="1477"/>
        <v>SPS1</v>
      </c>
      <c r="C1432" s="5" t="str">
        <f t="shared" si="1478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1.4400458717739014E-3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3.8819064118847287E-3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2.8301054785252386E-4</v>
      </c>
      <c r="J1432" s="1" cm="1">
        <f t="array" ref="J1432">SUMPRODUCT(("T_B_c-ICEnga-S2"=[2]OUT_TransportEnergyCons!$A$3:$A$1000)*1,("Var_Fin"=[2]OUT_TransportEnergyCons!$B$3:$B$1000)*1,ISNUMBER(SEARCH("nga",[2]OUT_TransportEnergyCons!$C$3:$C$1000))*1,[2]OUT_TransportEnergyCons!H$3:H$1000)</f>
        <v>1.7326966868861409E-6</v>
      </c>
      <c r="K1432" s="1" cm="1">
        <f t="array" ref="K1432">SUMPRODUCT(("T_B_c-ICEnga-S2"=[2]OUT_TransportEnergyCons!$A$3:$A$1000)*1,("Var_Fin"=[2]OUT_TransportEnergyCons!$B$3:$B$1000)*1,ISNUMBER(SEARCH("nga",[2]OUT_TransportEnergyCons!$C$3:$C$1000))*1,[2]OUT_TransportEnergyCons!I$3:I$1000)</f>
        <v>0</v>
      </c>
      <c r="L1432" s="1" cm="1">
        <f t="array" ref="L1432">SUMPRODUCT(("T_B_c-ICEnga-S2"=[2]OUT_TransportEnergyCons!$A$3:$A$1000)*1,("Var_Fin"=[2]OUT_TransportEnergyCons!$B$3:$B$1000)*1,ISNUMBER(SEARCH("nga",[2]OUT_TransportEnergyCons!$C$3:$C$1000))*1,[2]OUT_TransportEnergyCons!J$3:J$1000)</f>
        <v>0</v>
      </c>
      <c r="N1432" s="1"/>
    </row>
    <row r="1433" spans="2:14" x14ac:dyDescent="0.35">
      <c r="B1433" s="5" t="str">
        <f t="shared" si="1477"/>
        <v>SPS1</v>
      </c>
      <c r="C1433" s="5" t="str">
        <f t="shared" si="1478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1.2505022612150673E-3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3.5483537776947083E-3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2.6810837942590251E-4</v>
      </c>
      <c r="J1433" s="1" cm="1">
        <f t="array" ref="J1433">SUMPRODUCT(("T_B_c-ICEnga-S3"=[2]OUT_TransportEnergyCons!$A$3:$A$1000)*1,("Var_Fin"=[2]OUT_TransportEnergyCons!$B$3:$B$1000)*1,ISNUMBER(SEARCH("nga",[2]OUT_TransportEnergyCons!$C$3:$C$1000))*1,[2]OUT_TransportEnergyCons!H$3:H$1000)</f>
        <v>0</v>
      </c>
      <c r="K1433" s="1" cm="1">
        <f t="array" ref="K1433">SUMPRODUCT(("T_B_c-ICEnga-S3"=[2]OUT_TransportEnergyCons!$A$3:$A$1000)*1,("Var_Fin"=[2]OUT_TransportEnergyCons!$B$3:$B$1000)*1,ISNUMBER(SEARCH("nga",[2]OUT_TransportEnergyCons!$C$3:$C$1000))*1,[2]OUT_TransportEnergyCons!I$3:I$1000)</f>
        <v>0</v>
      </c>
      <c r="L1433" s="1" cm="1">
        <f t="array" ref="L1433">SUMPRODUCT(("T_B_c-ICEnga-S3"=[2]OUT_TransportEnergyCons!$A$3:$A$1000)*1,("Var_Fin"=[2]OUT_TransportEnergyCons!$B$3:$B$1000)*1,ISNUMBER(SEARCH("nga",[2]OUT_TransportEnergyCons!$C$3:$C$1000))*1,[2]OUT_TransportEnergyCons!J$3:J$1000)</f>
        <v>0</v>
      </c>
      <c r="N1433" s="1"/>
    </row>
    <row r="1434" spans="2:14" x14ac:dyDescent="0.35">
      <c r="B1434" s="5" t="str">
        <f t="shared" si="1477"/>
        <v>SPS1</v>
      </c>
      <c r="C1434" s="5" t="str">
        <f t="shared" si="1478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4.7392203898754696E-4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1.2528297979888775E-3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3.9640380940631365E-4</v>
      </c>
      <c r="J1434" s="1" cm="1">
        <f t="array" ref="J1434">SUMPRODUCT(("T_B_c-ICEnga-S4"=[2]OUT_TransportEnergyCons!$A$3:$A$1000)*1,("Var_Fin"=[2]OUT_TransportEnergyCons!$B$3:$B$1000)*1,ISNUMBER(SEARCH("nga",[2]OUT_TransportEnergyCons!$C$3:$C$1000))*1,[2]OUT_TransportEnergyCons!H$3:H$1000)</f>
        <v>0</v>
      </c>
      <c r="K1434" s="1" cm="1">
        <f t="array" ref="K1434">SUMPRODUCT(("T_B_c-ICEnga-S4"=[2]OUT_TransportEnergyCons!$A$3:$A$1000)*1,("Var_Fin"=[2]OUT_TransportEnergyCons!$B$3:$B$1000)*1,ISNUMBER(SEARCH("nga",[2]OUT_TransportEnergyCons!$C$3:$C$1000))*1,[2]OUT_TransportEnergyCons!I$3:I$1000)</f>
        <v>0</v>
      </c>
      <c r="L1434" s="1" cm="1">
        <f t="array" ref="L1434">SUMPRODUCT(("T_B_c-ICEnga-S4"=[2]OUT_TransportEnergyCons!$A$3:$A$1000)*1,("Var_Fin"=[2]OUT_TransportEnergyCons!$B$3:$B$1000)*1,ISNUMBER(SEARCH("nga",[2]OUT_TransportEnergyCons!$C$3:$C$1000))*1,[2]OUT_TransportEnergyCons!J$3:J$1000)</f>
        <v>0</v>
      </c>
      <c r="N1434" s="1"/>
    </row>
    <row r="1435" spans="2:14" x14ac:dyDescent="0.3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0.13227452358157193</v>
      </c>
      <c r="G1435" s="3">
        <f t="shared" ref="G1435" si="1503">SUM(G1436:G1458)</f>
        <v>0.13218648996579313</v>
      </c>
      <c r="H1435" s="3">
        <f t="shared" ref="H1435" si="1504">SUM(H1436:H1458)</f>
        <v>0.13330522305827661</v>
      </c>
      <c r="I1435" s="3">
        <f t="shared" ref="I1435" si="1505">SUM(I1436:I1458)</f>
        <v>0.13467416576955141</v>
      </c>
      <c r="J1435" s="3">
        <f t="shared" ref="J1435" si="1506">SUM(J1436:J1458)</f>
        <v>0.13463274878607429</v>
      </c>
      <c r="K1435" s="3">
        <f t="shared" ref="K1435:L1435" si="1507">SUM(K1436:K1458)</f>
        <v>0.13473054555989447</v>
      </c>
      <c r="L1435" s="3">
        <f t="shared" si="1507"/>
        <v>0.13114354244818135</v>
      </c>
      <c r="N1435" s="1"/>
    </row>
    <row r="1436" spans="2:14" x14ac:dyDescent="0.3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SUMPRODUCT(("T_B_c-BeVELCEXT"=[2]OUT_TransportEnergyCons!$A$3:$A$1000)*1,("var_fout"=[2]OUT_TransportEnergyCons!$B$3:$B$1000)*1,ISNUMBER(SEARCH("TPBSc",[2]OUT_TransportEnergyCons!$C$3:$C$1000))*1,[2]OUT_TransportEnergyCons!H$3:H$1000)</f>
        <v>0</v>
      </c>
      <c r="K1436" s="1" cm="1">
        <f t="array" ref="K1436">SUMPRODUCT(("T_B_c-BeVELCEXT"=[2]OUT_TransportEnergyCons!$A$3:$A$1000)*1,("var_fout"=[2]OUT_TransportEnergyCons!$B$3:$B$1000)*1,ISNUMBER(SEARCH("TPBSc",[2]OUT_TransportEnergyCons!$C$3:$C$1000))*1,[2]OUT_TransportEnergyCons!I$3:I$1000)</f>
        <v>0</v>
      </c>
      <c r="L1436" s="1" cm="1">
        <f t="array" ref="L1436">SUMPRODUCT(("T_B_c-BeVELCEXT"=[2]OUT_TransportEnergyCons!$A$3:$A$1000)*1,("var_fout"=[2]OUT_TransportEnergyCons!$B$3:$B$1000)*1,ISNUMBER(SEARCH("TPBSc",[2]OUT_TransportEnergyCons!$C$3:$C$1000))*1,[2]OUT_TransportEnergyCons!J$3:J$1000)</f>
        <v>0</v>
      </c>
      <c r="N1436" s="1"/>
    </row>
    <row r="1437" spans="2:14" x14ac:dyDescent="0.35">
      <c r="B1437" s="5" t="str">
        <f t="shared" ref="B1437:B1458" si="1508">B1436</f>
        <v>SPS1</v>
      </c>
      <c r="C1437" s="5" t="str">
        <f t="shared" ref="C1437:C1458" si="1509">C1436</f>
        <v>CH</v>
      </c>
      <c r="D1437" t="s">
        <v>1429</v>
      </c>
      <c r="E1437" t="str">
        <f t="shared" ref="E1437:E1458" si="1510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2.9388554062264894E-4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1.8922742822499346E-3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3.5947591062320981E-3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6.4518332748812454E-2</v>
      </c>
      <c r="J1437" s="1" cm="1">
        <f t="array" ref="J1437">SUMPRODUCT(("T_B_c-BEVELC-S1"=[2]OUT_TransportEnergyCons!$A$3:$A$1000)*1,("var_fout"=[2]OUT_TransportEnergyCons!$B$3:$B$1000)*1,ISNUMBER(SEARCH("TPBSc",[2]OUT_TransportEnergyCons!$C$3:$C$1000))*1,[2]OUT_TransportEnergyCons!H$3:H$1000)</f>
        <v>6.4821811244725788E-2</v>
      </c>
      <c r="K1437" s="1" cm="1">
        <f t="array" ref="K1437">SUMPRODUCT(("T_B_c-BEVELC-S1"=[2]OUT_TransportEnergyCons!$A$3:$A$1000)*1,("var_fout"=[2]OUT_TransportEnergyCons!$B$3:$B$1000)*1,ISNUMBER(SEARCH("TPBSc",[2]OUT_TransportEnergyCons!$C$3:$C$1000))*1,[2]OUT_TransportEnergyCons!I$3:I$1000)</f>
        <v>6.4854052480590854E-2</v>
      </c>
      <c r="L1437" s="1" cm="1">
        <f t="array" ref="L1437">SUMPRODUCT(("T_B_c-BEVELC-S1"=[2]OUT_TransportEnergyCons!$A$3:$A$1000)*1,("var_fout"=[2]OUT_TransportEnergyCons!$B$3:$B$1000)*1,ISNUMBER(SEARCH("TPBSc",[2]OUT_TransportEnergyCons!$C$3:$C$1000))*1,[2]OUT_TransportEnergyCons!J$3:J$1000)</f>
        <v>6.3144150059444473E-2</v>
      </c>
      <c r="N1437" s="1"/>
    </row>
    <row r="1438" spans="2:14" x14ac:dyDescent="0.35">
      <c r="B1438" s="5" t="str">
        <f t="shared" si="1508"/>
        <v>SPS1</v>
      </c>
      <c r="C1438" s="5" t="str">
        <f t="shared" si="1509"/>
        <v>CH</v>
      </c>
      <c r="D1438" t="s">
        <v>1430</v>
      </c>
      <c r="E1438" t="str">
        <f t="shared" si="1510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6.2735320001902596E-4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1.5127908130867719E-3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2.3457188862185613E-3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5.7387157735929409E-2</v>
      </c>
      <c r="J1438" s="1" cm="1">
        <f t="array" ref="J1438">SUMPRODUCT(("T_B_c-BEVELC-S2"=[2]OUT_TransportEnergyCons!$A$3:$A$1000)*1,("var_fout"=[2]OUT_TransportEnergyCons!$B$3:$B$1000)*1,ISNUMBER(SEARCH("TPBSc",[2]OUT_TransportEnergyCons!$C$3:$C$1000))*1,[2]OUT_TransportEnergyCons!H$3:H$1000)</f>
        <v>5.7501537123023375E-2</v>
      </c>
      <c r="K1438" s="1" cm="1">
        <f t="array" ref="K1438">SUMPRODUCT(("T_B_c-BEVELC-S2"=[2]OUT_TransportEnergyCons!$A$3:$A$1000)*1,("var_fout"=[2]OUT_TransportEnergyCons!$B$3:$B$1000)*1,ISNUMBER(SEARCH("TPBSc",[2]OUT_TransportEnergyCons!$C$3:$C$1000))*1,[2]OUT_TransportEnergyCons!I$3:I$1000)</f>
        <v>5.7537103282135467E-2</v>
      </c>
      <c r="L1438" s="1" cm="1">
        <f t="array" ref="L1438">SUMPRODUCT(("T_B_c-BEVELC-S2"=[2]OUT_TransportEnergyCons!$A$3:$A$1000)*1,("var_fout"=[2]OUT_TransportEnergyCons!$B$3:$B$1000)*1,ISNUMBER(SEARCH("TPBSc",[2]OUT_TransportEnergyCons!$C$3:$C$1000))*1,[2]OUT_TransportEnergyCons!J$3:J$1000)</f>
        <v>5.6008769869147261E-2</v>
      </c>
      <c r="N1438" s="1"/>
    </row>
    <row r="1439" spans="2:14" x14ac:dyDescent="0.35">
      <c r="B1439" s="5" t="str">
        <f t="shared" si="1508"/>
        <v>SPS1</v>
      </c>
      <c r="C1439" s="5" t="str">
        <f t="shared" si="1509"/>
        <v>CH</v>
      </c>
      <c r="D1439" t="s">
        <v>1431</v>
      </c>
      <c r="E1439" t="str">
        <f t="shared" si="1510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2.6219367354665565E-4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5.5589078785311886E-4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8.6570836953777112E-4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1.2194006584594366E-2</v>
      </c>
      <c r="J1439" s="1" cm="1">
        <f t="array" ref="J1439">SUMPRODUCT(("T_B_c-BEVELC-S3"=[2]OUT_TransportEnergyCons!$A$3:$A$1000)*1,("var_fout"=[2]OUT_TransportEnergyCons!$B$3:$B$1000)*1,ISNUMBER(SEARCH("TPBSc",[2]OUT_TransportEnergyCons!$C$3:$C$1000))*1,[2]OUT_TransportEnergyCons!H$3:H$1000)</f>
        <v>1.2296150756628123E-2</v>
      </c>
      <c r="K1439" s="1" cm="1">
        <f t="array" ref="K1439">SUMPRODUCT(("T_B_c-BEVELC-S3"=[2]OUT_TransportEnergyCons!$A$3:$A$1000)*1,("var_fout"=[2]OUT_TransportEnergyCons!$B$3:$B$1000)*1,ISNUMBER(SEARCH("TPBSc",[2]OUT_TransportEnergyCons!$C$3:$C$1000))*1,[2]OUT_TransportEnergyCons!I$3:I$1000)</f>
        <v>1.2304480942494915E-2</v>
      </c>
      <c r="L1439" s="1" cm="1">
        <f t="array" ref="L1439">SUMPRODUCT(("T_B_c-BEVELC-S3"=[2]OUT_TransportEnergyCons!$A$3:$A$1000)*1,("var_fout"=[2]OUT_TransportEnergyCons!$B$3:$B$1000)*1,ISNUMBER(SEARCH("TPBSc",[2]OUT_TransportEnergyCons!$C$3:$C$1000))*1,[2]OUT_TransportEnergyCons!J$3:J$1000)</f>
        <v>1.197863316045304E-2</v>
      </c>
      <c r="N1439" s="1"/>
    </row>
    <row r="1440" spans="2:14" x14ac:dyDescent="0.35">
      <c r="B1440" s="5" t="str">
        <f t="shared" si="1508"/>
        <v>SPS1</v>
      </c>
      <c r="C1440" s="5" t="str">
        <f t="shared" si="1509"/>
        <v>CH</v>
      </c>
      <c r="D1440" t="s">
        <v>1432</v>
      </c>
      <c r="E1440" t="str">
        <f t="shared" si="1510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1.3437324189129353E-4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2.2259116902714863E-4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1.5214388766451322E-4</v>
      </c>
      <c r="J1440" s="1" cm="1">
        <f t="array" ref="J1440">SUMPRODUCT(("T_B_c-BEVELC-S4"=[2]OUT_TransportEnergyCons!$A$3:$A$1000)*1,("var_fout"=[2]OUT_TransportEnergyCons!$B$3:$B$1000)*1,ISNUMBER(SEARCH("TPBSc",[2]OUT_TransportEnergyCons!$C$3:$C$1000))*1,[2]OUT_TransportEnergyCons!H$3:H$1000)</f>
        <v>7.8542460352086178E-6</v>
      </c>
      <c r="K1440" s="1" cm="1">
        <f t="array" ref="K1440">SUMPRODUCT(("T_B_c-BEVELC-S4"=[2]OUT_TransportEnergyCons!$A$3:$A$1000)*1,("var_fout"=[2]OUT_TransportEnergyCons!$B$3:$B$1000)*1,ISNUMBER(SEARCH("TPBSc",[2]OUT_TransportEnergyCons!$C$3:$C$1000))*1,[2]OUT_TransportEnergyCons!I$3:I$1000)</f>
        <v>2.0556383418158081E-5</v>
      </c>
      <c r="L1440" s="1" cm="1">
        <f t="array" ref="L1440">SUMPRODUCT(("T_B_c-BEVELC-S4"=[2]OUT_TransportEnergyCons!$A$3:$A$1000)*1,("var_fout"=[2]OUT_TransportEnergyCons!$B$3:$B$1000)*1,ISNUMBER(SEARCH("TPBSc",[2]OUT_TransportEnergyCons!$C$3:$C$1000))*1,[2]OUT_TransportEnergyCons!J$3:J$1000)</f>
        <v>6.3567881003143046E-6</v>
      </c>
      <c r="N1440" s="1"/>
    </row>
    <row r="1441" spans="2:14" x14ac:dyDescent="0.35">
      <c r="B1441" s="5" t="str">
        <f t="shared" si="1508"/>
        <v>SPS1</v>
      </c>
      <c r="C1441" s="5" t="str">
        <f t="shared" si="1509"/>
        <v>CH</v>
      </c>
      <c r="D1441" t="s">
        <v>1433</v>
      </c>
      <c r="E1441" t="str">
        <f t="shared" si="1510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1.4168661287990444E-5</v>
      </c>
      <c r="J1441" s="1" cm="1">
        <f t="array" ref="J1441">SUMPRODUCT(("T_B_c-FCLH2O-S1"=[2]OUT_TransportEnergyCons!$A$3:$A$1000)*1,("var_fout"=[2]OUT_TransportEnergyCons!$B$3:$B$1000)*1,ISNUMBER(SEARCH("TPBSc",[2]OUT_TransportEnergyCons!$C$3:$C$1000))*1,[2]OUT_TransportEnergyCons!H$3:H$1000)</f>
        <v>2.872876511719915E-7</v>
      </c>
      <c r="K1441" s="1" cm="1">
        <f t="array" ref="K1441">SUMPRODUCT(("T_B_c-FCLH2O-S1"=[2]OUT_TransportEnergyCons!$A$3:$A$1000)*1,("var_fout"=[2]OUT_TransportEnergyCons!$B$3:$B$1000)*1,ISNUMBER(SEARCH("TPBSc",[2]OUT_TransportEnergyCons!$C$3:$C$1000))*1,[2]OUT_TransportEnergyCons!I$3:I$1000)</f>
        <v>0</v>
      </c>
      <c r="L1441" s="1" cm="1">
        <f t="array" ref="L1441">SUMPRODUCT(("T_B_c-FCLH2O-S1"=[2]OUT_TransportEnergyCons!$A$3:$A$1000)*1,("var_fout"=[2]OUT_TransportEnergyCons!$B$3:$B$1000)*1,ISNUMBER(SEARCH("TPBSc",[2]OUT_TransportEnergyCons!$C$3:$C$1000))*1,[2]OUT_TransportEnergyCons!J$3:J$1000)</f>
        <v>0</v>
      </c>
      <c r="N1441" s="1"/>
    </row>
    <row r="1442" spans="2:14" x14ac:dyDescent="0.35">
      <c r="B1442" s="5" t="str">
        <f t="shared" si="1508"/>
        <v>SPS1</v>
      </c>
      <c r="C1442" s="5" t="str">
        <f t="shared" si="1509"/>
        <v>CH</v>
      </c>
      <c r="D1442" t="s">
        <v>1434</v>
      </c>
      <c r="E1442" t="str">
        <f t="shared" si="1510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1.6419162599396305E-5</v>
      </c>
      <c r="J1442" s="1" cm="1">
        <f t="array" ref="J1442">SUMPRODUCT(("T_B_c-FCLH2O-S2"=[2]OUT_TransportEnergyCons!$A$3:$A$1000)*1,("var_fout"=[2]OUT_TransportEnergyCons!$B$3:$B$1000)*1,ISNUMBER(SEARCH("TPBSc",[2]OUT_TransportEnergyCons!$C$3:$C$1000))*1,[2]OUT_TransportEnergyCons!H$3:H$1000)</f>
        <v>0</v>
      </c>
      <c r="K1442" s="1" cm="1">
        <f t="array" ref="K1442">SUMPRODUCT(("T_B_c-FCLH2O-S2"=[2]OUT_TransportEnergyCons!$A$3:$A$1000)*1,("var_fout"=[2]OUT_TransportEnergyCons!$B$3:$B$1000)*1,ISNUMBER(SEARCH("TPBSc",[2]OUT_TransportEnergyCons!$C$3:$C$1000))*1,[2]OUT_TransportEnergyCons!I$3:I$1000)</f>
        <v>0</v>
      </c>
      <c r="L1442" s="1" cm="1">
        <f t="array" ref="L1442">SUMPRODUCT(("T_B_c-FCLH2O-S2"=[2]OUT_TransportEnergyCons!$A$3:$A$1000)*1,("var_fout"=[2]OUT_TransportEnergyCons!$B$3:$B$1000)*1,ISNUMBER(SEARCH("TPBSc",[2]OUT_TransportEnergyCons!$C$3:$C$1000))*1,[2]OUT_TransportEnergyCons!J$3:J$1000)</f>
        <v>0</v>
      </c>
      <c r="N1442" s="1"/>
    </row>
    <row r="1443" spans="2:14" x14ac:dyDescent="0.35">
      <c r="B1443" s="5" t="str">
        <f t="shared" si="1508"/>
        <v>SPS1</v>
      </c>
      <c r="C1443" s="5" t="str">
        <f t="shared" si="1509"/>
        <v>CH</v>
      </c>
      <c r="D1443" t="s">
        <v>1435</v>
      </c>
      <c r="E1443" t="str">
        <f t="shared" si="1510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2.200343920537126E-5</v>
      </c>
      <c r="J1443" s="1" cm="1">
        <f t="array" ref="J1443">SUMPRODUCT(("T_B_c-FCLH2O-S3"=[2]OUT_TransportEnergyCons!$A$3:$A$1000)*1,("var_fout"=[2]OUT_TransportEnergyCons!$B$3:$B$1000)*1,ISNUMBER(SEARCH("TPBSc",[2]OUT_TransportEnergyCons!$C$3:$C$1000))*1,[2]OUT_TransportEnergyCons!H$3:H$1000)</f>
        <v>0</v>
      </c>
      <c r="K1443" s="1" cm="1">
        <f t="array" ref="K1443">SUMPRODUCT(("T_B_c-FCLH2O-S3"=[2]OUT_TransportEnergyCons!$A$3:$A$1000)*1,("var_fout"=[2]OUT_TransportEnergyCons!$B$3:$B$1000)*1,ISNUMBER(SEARCH("TPBSc",[2]OUT_TransportEnergyCons!$C$3:$C$1000))*1,[2]OUT_TransportEnergyCons!I$3:I$1000)</f>
        <v>0</v>
      </c>
      <c r="L1443" s="1" cm="1">
        <f t="array" ref="L1443">SUMPRODUCT(("T_B_c-FCLH2O-S3"=[2]OUT_TransportEnergyCons!$A$3:$A$1000)*1,("var_fout"=[2]OUT_TransportEnergyCons!$B$3:$B$1000)*1,ISNUMBER(SEARCH("TPBSc",[2]OUT_TransportEnergyCons!$C$3:$C$1000))*1,[2]OUT_TransportEnergyCons!J$3:J$1000)</f>
        <v>0</v>
      </c>
      <c r="N1443" s="1"/>
    </row>
    <row r="1444" spans="2:14" x14ac:dyDescent="0.35">
      <c r="B1444" s="5" t="str">
        <f t="shared" si="1508"/>
        <v>SPS1</v>
      </c>
      <c r="C1444" s="5" t="str">
        <f t="shared" si="1509"/>
        <v>CH</v>
      </c>
      <c r="D1444" t="s">
        <v>1436</v>
      </c>
      <c r="E1444" t="str">
        <f t="shared" si="1510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8.4713349947946357E-6</v>
      </c>
      <c r="J1444" s="1" cm="1">
        <f t="array" ref="J1444">SUMPRODUCT(("T_B_c-FCLH2O-S4"=[2]OUT_TransportEnergyCons!$A$3:$A$1000)*1,("var_fout"=[2]OUT_TransportEnergyCons!$B$3:$B$1000)*1,ISNUMBER(SEARCH("TPBSc",[2]OUT_TransportEnergyCons!$C$3:$C$1000))*1,[2]OUT_TransportEnergyCons!H$3:H$1000)</f>
        <v>0</v>
      </c>
      <c r="K1444" s="1" cm="1">
        <f t="array" ref="K1444">SUMPRODUCT(("T_B_c-FCLH2O-S4"=[2]OUT_TransportEnergyCons!$A$3:$A$1000)*1,("var_fout"=[2]OUT_TransportEnergyCons!$B$3:$B$1000)*1,ISNUMBER(SEARCH("TPBSc",[2]OUT_TransportEnergyCons!$C$3:$C$1000))*1,[2]OUT_TransportEnergyCons!I$3:I$1000)</f>
        <v>0</v>
      </c>
      <c r="L1444" s="1" cm="1">
        <f t="array" ref="L1444">SUMPRODUCT(("T_B_c-FCLH2O-S4"=[2]OUT_TransportEnergyCons!$A$3:$A$1000)*1,("var_fout"=[2]OUT_TransportEnergyCons!$B$3:$B$1000)*1,ISNUMBER(SEARCH("TPBSc",[2]OUT_TransportEnergyCons!$C$3:$C$1000))*1,[2]OUT_TransportEnergyCons!J$3:J$1000)</f>
        <v>0</v>
      </c>
      <c r="N1444" s="1"/>
    </row>
    <row r="1445" spans="2:14" x14ac:dyDescent="0.35">
      <c r="B1445" s="5" t="str">
        <f t="shared" si="1508"/>
        <v>SPS1</v>
      </c>
      <c r="C1445" s="5" t="str">
        <f t="shared" si="1509"/>
        <v>CH</v>
      </c>
      <c r="D1445" t="s">
        <v>1437</v>
      </c>
      <c r="E1445" t="str">
        <f t="shared" si="1510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3.4921913981897272E-3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4.2665476513924008E-3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3.7116658101557219E-5</v>
      </c>
      <c r="J1445" s="1" cm="1">
        <f t="array" ref="J1445">SUMPRODUCT(("T_B_c-HYBDSL-S1"=[2]OUT_TransportEnergyCons!$A$3:$A$1000)*1,("var_fout"=[2]OUT_TransportEnergyCons!$B$3:$B$1000)*1,ISNUMBER(SEARCH("TPBSc",[2]OUT_TransportEnergyCons!$C$3:$C$1000))*1,[2]OUT_TransportEnergyCons!H$3:H$1000)</f>
        <v>2.9438494985352866E-6</v>
      </c>
      <c r="K1445" s="1" cm="1">
        <f t="array" ref="K1445">SUMPRODUCT(("T_B_c-HYBDSL-S1"=[2]OUT_TransportEnergyCons!$A$3:$A$1000)*1,("var_fout"=[2]OUT_TransportEnergyCons!$B$3:$B$1000)*1,ISNUMBER(SEARCH("TPBSc",[2]OUT_TransportEnergyCons!$C$3:$C$1000))*1,[2]OUT_TransportEnergyCons!I$3:I$1000)</f>
        <v>5.7209071275132578E-6</v>
      </c>
      <c r="L1445" s="1" cm="1">
        <f t="array" ref="L1445">SUMPRODUCT(("T_B_c-HYBDSL-S1"=[2]OUT_TransportEnergyCons!$A$3:$A$1000)*1,("var_fout"=[2]OUT_TransportEnergyCons!$B$3:$B$1000)*1,ISNUMBER(SEARCH("TPBSc",[2]OUT_TransportEnergyCons!$C$3:$C$1000))*1,[2]OUT_TransportEnergyCons!J$3:J$1000)</f>
        <v>2.1991479763689873E-6</v>
      </c>
      <c r="N1445" s="1"/>
    </row>
    <row r="1446" spans="2:14" x14ac:dyDescent="0.35">
      <c r="B1446" s="5" t="str">
        <f t="shared" si="1508"/>
        <v>SPS1</v>
      </c>
      <c r="C1446" s="5" t="str">
        <f t="shared" si="1509"/>
        <v>CH</v>
      </c>
      <c r="D1446" t="s">
        <v>1438</v>
      </c>
      <c r="E1446" t="str">
        <f t="shared" si="1510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3.2866580437831353E-4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6.0898841034704246E-4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4.5340612464173049E-5</v>
      </c>
      <c r="J1446" s="1" cm="1">
        <f t="array" ref="J1446">SUMPRODUCT(("T_B_c-HYBDSL-S2"=[2]OUT_TransportEnergyCons!$A$3:$A$1000)*1,("var_fout"=[2]OUT_TransportEnergyCons!$B$3:$B$1000)*1,ISNUMBER(SEARCH("TPBSc",[2]OUT_TransportEnergyCons!$C$3:$C$1000))*1,[2]OUT_TransportEnergyCons!H$3:H$1000)</f>
        <v>8.7374506417517519E-7</v>
      </c>
      <c r="K1446" s="1" cm="1">
        <f t="array" ref="K1446">SUMPRODUCT(("T_B_c-HYBDSL-S2"=[2]OUT_TransportEnergyCons!$A$3:$A$1000)*1,("var_fout"=[2]OUT_TransportEnergyCons!$B$3:$B$1000)*1,ISNUMBER(SEARCH("TPBSc",[2]OUT_TransportEnergyCons!$C$3:$C$1000))*1,[2]OUT_TransportEnergyCons!I$3:I$1000)</f>
        <v>4.9272001873789532E-6</v>
      </c>
      <c r="L1446" s="1" cm="1">
        <f t="array" ref="L1446">SUMPRODUCT(("T_B_c-HYBDSL-S2"=[2]OUT_TransportEnergyCons!$A$3:$A$1000)*1,("var_fout"=[2]OUT_TransportEnergyCons!$B$3:$B$1000)*1,ISNUMBER(SEARCH("TPBSc",[2]OUT_TransportEnergyCons!$C$3:$C$1000))*1,[2]OUT_TransportEnergyCons!J$3:J$1000)</f>
        <v>2.373150292453538E-6</v>
      </c>
      <c r="N1446" s="1"/>
    </row>
    <row r="1447" spans="2:14" x14ac:dyDescent="0.35">
      <c r="B1447" s="5" t="str">
        <f t="shared" si="1508"/>
        <v>SPS1</v>
      </c>
      <c r="C1447" s="5" t="str">
        <f t="shared" si="1509"/>
        <v>CH</v>
      </c>
      <c r="D1447" t="s">
        <v>1439</v>
      </c>
      <c r="E1447" t="str">
        <f t="shared" si="1510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1.2163439667629872E-4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2.2729354479545004E-4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7.2757052675112625E-5</v>
      </c>
      <c r="J1447" s="1" cm="1">
        <f t="array" ref="J1447">SUMPRODUCT(("T_B_c-HYBDSL-S3"=[2]OUT_TransportEnergyCons!$A$3:$A$1000)*1,("var_fout"=[2]OUT_TransportEnergyCons!$B$3:$B$1000)*1,ISNUMBER(SEARCH("TPBSc",[2]OUT_TransportEnergyCons!$C$3:$C$1000))*1,[2]OUT_TransportEnergyCons!H$3:H$1000)</f>
        <v>0</v>
      </c>
      <c r="K1447" s="1" cm="1">
        <f t="array" ref="K1447">SUMPRODUCT(("T_B_c-HYBDSL-S3"=[2]OUT_TransportEnergyCons!$A$3:$A$1000)*1,("var_fout"=[2]OUT_TransportEnergyCons!$B$3:$B$1000)*1,ISNUMBER(SEARCH("TPBSc",[2]OUT_TransportEnergyCons!$C$3:$C$1000))*1,[2]OUT_TransportEnergyCons!I$3:I$1000)</f>
        <v>0</v>
      </c>
      <c r="L1447" s="1" cm="1">
        <f t="array" ref="L1447">SUMPRODUCT(("T_B_c-HYBDSL-S3"=[2]OUT_TransportEnergyCons!$A$3:$A$1000)*1,("var_fout"=[2]OUT_TransportEnergyCons!$B$3:$B$1000)*1,ISNUMBER(SEARCH("TPBSc",[2]OUT_TransportEnergyCons!$C$3:$C$1000))*1,[2]OUT_TransportEnergyCons!J$3:J$1000)</f>
        <v>0</v>
      </c>
      <c r="N1447" s="1"/>
    </row>
    <row r="1448" spans="2:14" x14ac:dyDescent="0.35">
      <c r="B1448" s="5" t="str">
        <f t="shared" si="1508"/>
        <v>SPS1</v>
      </c>
      <c r="C1448" s="5" t="str">
        <f t="shared" si="1509"/>
        <v>CH</v>
      </c>
      <c r="D1448" t="s">
        <v>1440</v>
      </c>
      <c r="E1448" t="str">
        <f t="shared" si="1510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2.8671962706941855E-5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5.6218296179336661E-5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2.4933549467175264E-5</v>
      </c>
      <c r="J1448" s="1" cm="1">
        <f t="array" ref="J1448">SUMPRODUCT(("T_B_c-HYBDSL-S4"=[2]OUT_TransportEnergyCons!$A$3:$A$1000)*1,("var_fout"=[2]OUT_TransportEnergyCons!$B$3:$B$1000)*1,ISNUMBER(SEARCH("TPBSc",[2]OUT_TransportEnergyCons!$C$3:$C$1000))*1,[2]OUT_TransportEnergyCons!H$3:H$1000)</f>
        <v>0</v>
      </c>
      <c r="K1448" s="1" cm="1">
        <f t="array" ref="K1448">SUMPRODUCT(("T_B_c-HYBDSL-S4"=[2]OUT_TransportEnergyCons!$A$3:$A$1000)*1,("var_fout"=[2]OUT_TransportEnergyCons!$B$3:$B$1000)*1,ISNUMBER(SEARCH("TPBSc",[2]OUT_TransportEnergyCons!$C$3:$C$1000))*1,[2]OUT_TransportEnergyCons!I$3:I$1000)</f>
        <v>0</v>
      </c>
      <c r="L1448" s="1" cm="1">
        <f t="array" ref="L1448">SUMPRODUCT(("T_B_c-HYBDSL-S4"=[2]OUT_TransportEnergyCons!$A$3:$A$1000)*1,("var_fout"=[2]OUT_TransportEnergyCons!$B$3:$B$1000)*1,ISNUMBER(SEARCH("TPBSc",[2]OUT_TransportEnergyCons!$C$3:$C$1000))*1,[2]OUT_TransportEnergyCons!J$3:J$1000)</f>
        <v>0</v>
      </c>
      <c r="N1448" s="1"/>
    </row>
    <row r="1449" spans="2:14" x14ac:dyDescent="0.35">
      <c r="B1449" s="5" t="str">
        <f t="shared" si="1508"/>
        <v>SPS1</v>
      </c>
      <c r="C1449" s="5" t="str">
        <f t="shared" si="1509"/>
        <v>CH</v>
      </c>
      <c r="D1449" t="s">
        <v>2116</v>
      </c>
      <c r="E1449" t="str">
        <f t="shared" si="1510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6.0311500047996E-2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4.8086489161902661E-2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2.9751001412029274E-2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SUMPRODUCT(("T_B_c-ICEDSLEXT"=[2]OUT_TransportEnergyCons!$A$3:$A$1000)*1,("var_fout"=[2]OUT_TransportEnergyCons!$B$3:$B$1000)*1,ISNUMBER(SEARCH("TPBSc",[2]OUT_TransportEnergyCons!$C$3:$C$1000))*1,[2]OUT_TransportEnergyCons!H$3:H$1000)</f>
        <v>0</v>
      </c>
      <c r="K1449" s="1" cm="1">
        <f t="array" ref="K1449">SUMPRODUCT(("T_B_c-ICEDSLEXT"=[2]OUT_TransportEnergyCons!$A$3:$A$1000)*1,("var_fout"=[2]OUT_TransportEnergyCons!$B$3:$B$1000)*1,ISNUMBER(SEARCH("TPBSc",[2]OUT_TransportEnergyCons!$C$3:$C$1000))*1,[2]OUT_TransportEnergyCons!I$3:I$1000)</f>
        <v>0</v>
      </c>
      <c r="L1449" s="1" cm="1">
        <f t="array" ref="L1449">SUMPRODUCT(("T_B_c-ICEDSLEXT"=[2]OUT_TransportEnergyCons!$A$3:$A$1000)*1,("var_fout"=[2]OUT_TransportEnergyCons!$B$3:$B$1000)*1,ISNUMBER(SEARCH("TPBSc",[2]OUT_TransportEnergyCons!$C$3:$C$1000))*1,[2]OUT_TransportEnergyCons!J$3:J$1000)</f>
        <v>0</v>
      </c>
      <c r="N1449" s="1"/>
    </row>
    <row r="1450" spans="2:14" x14ac:dyDescent="0.35">
      <c r="B1450" s="5" t="str">
        <f t="shared" si="1508"/>
        <v>SPS1</v>
      </c>
      <c r="C1450" s="5" t="str">
        <f t="shared" si="1509"/>
        <v>CH</v>
      </c>
      <c r="D1450" t="s">
        <v>1441</v>
      </c>
      <c r="E1450" t="str">
        <f t="shared" si="1510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1.3907358516351066E-2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3.3859483548146663E-2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4.0486904777089168E-2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2.708682990950149E-5</v>
      </c>
      <c r="J1450" s="1" cm="1">
        <f t="array" ref="J1450">SUMPRODUCT(("T_B_c-ICEDSL-S1"=[2]OUT_TransportEnergyCons!$A$3:$A$1000)*1,("var_fout"=[2]OUT_TransportEnergyCons!$B$3:$B$1000)*1,ISNUMBER(SEARCH("TPBSc",[2]OUT_TransportEnergyCons!$C$3:$C$1000))*1,[2]OUT_TransportEnergyCons!H$3:H$1000)</f>
        <v>5.3086944092856608E-7</v>
      </c>
      <c r="K1450" s="1" cm="1">
        <f t="array" ref="K1450">SUMPRODUCT(("T_B_c-ICEDSL-S1"=[2]OUT_TransportEnergyCons!$A$3:$A$1000)*1,("var_fout"=[2]OUT_TransportEnergyCons!$B$3:$B$1000)*1,ISNUMBER(SEARCH("TPBSc",[2]OUT_TransportEnergyCons!$C$3:$C$1000))*1,[2]OUT_TransportEnergyCons!I$3:I$1000)</f>
        <v>1.930634914028592E-6</v>
      </c>
      <c r="L1450" s="1" cm="1">
        <f t="array" ref="L1450">SUMPRODUCT(("T_B_c-ICEDSL-S1"=[2]OUT_TransportEnergyCons!$A$3:$A$1000)*1,("var_fout"=[2]OUT_TransportEnergyCons!$B$3:$B$1000)*1,ISNUMBER(SEARCH("TPBSc",[2]OUT_TransportEnergyCons!$C$3:$C$1000))*1,[2]OUT_TransportEnergyCons!J$3:J$1000)</f>
        <v>5.9625554980388733E-7</v>
      </c>
      <c r="N1450" s="1"/>
    </row>
    <row r="1451" spans="2:14" x14ac:dyDescent="0.35">
      <c r="B1451" s="5" t="str">
        <f t="shared" si="1508"/>
        <v>SPS1</v>
      </c>
      <c r="C1451" s="5" t="str">
        <f t="shared" si="1509"/>
        <v>CH</v>
      </c>
      <c r="D1451" t="s">
        <v>1442</v>
      </c>
      <c r="E1451" t="str">
        <f t="shared" si="1510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4.5153410736832544E-2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3.3402826164720158E-2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4.0584133634577628E-2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3.4684151560703402E-5</v>
      </c>
      <c r="J1451" s="1" cm="1">
        <f t="array" ref="J1451">SUMPRODUCT(("T_B_c-ICEDSL-S2"=[2]OUT_TransportEnergyCons!$A$3:$A$1000)*1,("var_fout"=[2]OUT_TransportEnergyCons!$B$3:$B$1000)*1,ISNUMBER(SEARCH("TPBSc",[2]OUT_TransportEnergyCons!$C$3:$C$1000))*1,[2]OUT_TransportEnergyCons!H$3:H$1000)</f>
        <v>2.0389956396535961E-7</v>
      </c>
      <c r="K1451" s="1" cm="1">
        <f t="array" ref="K1451">SUMPRODUCT(("T_B_c-ICEDSL-S2"=[2]OUT_TransportEnergyCons!$A$3:$A$1000)*1,("var_fout"=[2]OUT_TransportEnergyCons!$B$3:$B$1000)*1,ISNUMBER(SEARCH("TPBSc",[2]OUT_TransportEnergyCons!$C$3:$C$1000))*1,[2]OUT_TransportEnergyCons!I$3:I$1000)</f>
        <v>1.3987850854501962E-6</v>
      </c>
      <c r="L1451" s="1" cm="1">
        <f t="array" ref="L1451">SUMPRODUCT(("T_B_c-ICEDSL-S2"=[2]OUT_TransportEnergyCons!$A$3:$A$1000)*1,("var_fout"=[2]OUT_TransportEnergyCons!$B$3:$B$1000)*1,ISNUMBER(SEARCH("TPBSc",[2]OUT_TransportEnergyCons!$C$3:$C$1000))*1,[2]OUT_TransportEnergyCons!J$3:J$1000)</f>
        <v>4.6401721766371708E-7</v>
      </c>
      <c r="N1451" s="1"/>
    </row>
    <row r="1452" spans="2:14" x14ac:dyDescent="0.35">
      <c r="B1452" s="5" t="str">
        <f t="shared" si="1508"/>
        <v>SPS1</v>
      </c>
      <c r="C1452" s="5" t="str">
        <f t="shared" si="1509"/>
        <v>CH</v>
      </c>
      <c r="D1452" t="s">
        <v>1443</v>
      </c>
      <c r="E1452" t="str">
        <f t="shared" si="1510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8.5610127407236367E-3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6.8416723657528803E-3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8.1600046481137504E-3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9.8795000682937094E-6</v>
      </c>
      <c r="J1452" s="1" cm="1">
        <f t="array" ref="J1452">SUMPRODUCT(("T_B_c-ICEDSL-S3"=[2]OUT_TransportEnergyCons!$A$3:$A$1000)*1,("var_fout"=[2]OUT_TransportEnergyCons!$B$3:$B$1000)*1,ISNUMBER(SEARCH("TPBSc",[2]OUT_TransportEnergyCons!$C$3:$C$1000))*1,[2]OUT_TransportEnergyCons!H$3:H$1000)</f>
        <v>0</v>
      </c>
      <c r="K1452" s="1" cm="1">
        <f t="array" ref="K1452">SUMPRODUCT(("T_B_c-ICEDSL-S3"=[2]OUT_TransportEnergyCons!$A$3:$A$1000)*1,("var_fout"=[2]OUT_TransportEnergyCons!$B$3:$B$1000)*1,ISNUMBER(SEARCH("TPBSc",[2]OUT_TransportEnergyCons!$C$3:$C$1000))*1,[2]OUT_TransportEnergyCons!I$3:I$1000)</f>
        <v>3.7494394067374556E-7</v>
      </c>
      <c r="L1452" s="1" cm="1">
        <f t="array" ref="L1452">SUMPRODUCT(("T_B_c-ICEDSL-S3"=[2]OUT_TransportEnergyCons!$A$3:$A$1000)*1,("var_fout"=[2]OUT_TransportEnergyCons!$B$3:$B$1000)*1,ISNUMBER(SEARCH("TPBSc",[2]OUT_TransportEnergyCons!$C$3:$C$1000))*1,[2]OUT_TransportEnergyCons!J$3:J$1000)</f>
        <v>0</v>
      </c>
      <c r="N1452" s="1"/>
    </row>
    <row r="1453" spans="2:14" x14ac:dyDescent="0.35">
      <c r="B1453" s="5" t="str">
        <f t="shared" si="1508"/>
        <v>SPS1</v>
      </c>
      <c r="C1453" s="5" t="str">
        <f t="shared" si="1509"/>
        <v>CH</v>
      </c>
      <c r="D1453" t="s">
        <v>1444</v>
      </c>
      <c r="E1453" t="str">
        <f t="shared" si="1510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1.3815986834318176E-3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1.8546059480531357E-4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2.6601025153316318E-4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2.6430536863632956E-5</v>
      </c>
      <c r="J1453" s="1" cm="1">
        <f t="array" ref="J1453">SUMPRODUCT(("T_B_c-ICEDSL-S4"=[2]OUT_TransportEnergyCons!$A$3:$A$1000)*1,("var_fout"=[2]OUT_TransportEnergyCons!$B$3:$B$1000)*1,ISNUMBER(SEARCH("TPBSc",[2]OUT_TransportEnergyCons!$C$3:$C$1000))*1,[2]OUT_TransportEnergyCons!H$3:H$1000)</f>
        <v>0</v>
      </c>
      <c r="K1453" s="1" cm="1">
        <f t="array" ref="K1453">SUMPRODUCT(("T_B_c-ICEDSL-S4"=[2]OUT_TransportEnergyCons!$A$3:$A$1000)*1,("var_fout"=[2]OUT_TransportEnergyCons!$B$3:$B$1000)*1,ISNUMBER(SEARCH("TPBSc",[2]OUT_TransportEnergyCons!$C$3:$C$1000))*1,[2]OUT_TransportEnergyCons!I$3:I$1000)</f>
        <v>0</v>
      </c>
      <c r="L1453" s="1" cm="1">
        <f t="array" ref="L1453">SUMPRODUCT(("T_B_c-ICEDSL-S4"=[2]OUT_TransportEnergyCons!$A$3:$A$1000)*1,("var_fout"=[2]OUT_TransportEnergyCons!$B$3:$B$1000)*1,ISNUMBER(SEARCH("TPBSc",[2]OUT_TransportEnergyCons!$C$3:$C$1000))*1,[2]OUT_TransportEnergyCons!J$3:J$1000)</f>
        <v>0</v>
      </c>
      <c r="N1453" s="1"/>
    </row>
    <row r="1454" spans="2:14" x14ac:dyDescent="0.35">
      <c r="B1454" s="5" t="str">
        <f t="shared" si="1508"/>
        <v>SPS1</v>
      </c>
      <c r="C1454" s="5" t="str">
        <f t="shared" si="1509"/>
        <v>CH</v>
      </c>
      <c r="D1454" t="s">
        <v>2119</v>
      </c>
      <c r="E1454" t="str">
        <f t="shared" si="1510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1.776210442048535E-3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1.2970621791852863E-3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7.9312271801180827E-4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SUMPRODUCT(("T_B_c-ICEngaEXT"=[2]OUT_TransportEnergyCons!$A$3:$A$1000)*1,("var_fout"=[2]OUT_TransportEnergyCons!$B$3:$B$1000)*1,ISNUMBER(SEARCH("TPBSc",[2]OUT_TransportEnergyCons!$C$3:$C$1000))*1,[2]OUT_TransportEnergyCons!H$3:H$1000)</f>
        <v>0</v>
      </c>
      <c r="K1454" s="1" cm="1">
        <f t="array" ref="K1454">SUMPRODUCT(("T_B_c-ICEngaEXT"=[2]OUT_TransportEnergyCons!$A$3:$A$1000)*1,("var_fout"=[2]OUT_TransportEnergyCons!$B$3:$B$1000)*1,ISNUMBER(SEARCH("TPBSc",[2]OUT_TransportEnergyCons!$C$3:$C$1000))*1,[2]OUT_TransportEnergyCons!I$3:I$1000)</f>
        <v>0</v>
      </c>
      <c r="L1454" s="1" cm="1">
        <f t="array" ref="L1454">SUMPRODUCT(("T_B_c-ICEngaEXT"=[2]OUT_TransportEnergyCons!$A$3:$A$1000)*1,("var_fout"=[2]OUT_TransportEnergyCons!$B$3:$B$1000)*1,ISNUMBER(SEARCH("TPBSc",[2]OUT_TransportEnergyCons!$C$3:$C$1000))*1,[2]OUT_TransportEnergyCons!J$3:J$1000)</f>
        <v>0</v>
      </c>
      <c r="N1454" s="1"/>
    </row>
    <row r="1455" spans="2:14" x14ac:dyDescent="0.35">
      <c r="B1455" s="5" t="str">
        <f t="shared" si="1508"/>
        <v>SPS1</v>
      </c>
      <c r="C1455" s="5" t="str">
        <f t="shared" si="1509"/>
        <v>CH</v>
      </c>
      <c r="D1455" t="s">
        <v>1445</v>
      </c>
      <c r="E1455" t="str">
        <f t="shared" si="1510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2.3618440748970272E-4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4.8180878759464105E-4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2.5681956875642466E-5</v>
      </c>
      <c r="J1455" s="1" cm="1">
        <f t="array" ref="J1455">SUMPRODUCT(("T_B_c-ICEnga-S1"=[2]OUT_TransportEnergyCons!$A$3:$A$1000)*1,("var_fout"=[2]OUT_TransportEnergyCons!$B$3:$B$1000)*1,ISNUMBER(SEARCH("TPBSc",[2]OUT_TransportEnergyCons!$C$3:$C$1000))*1,[2]OUT_TransportEnergyCons!H$3:H$1000)</f>
        <v>3.7928526785812647E-7</v>
      </c>
      <c r="K1455" s="1" cm="1">
        <f t="array" ref="K1455">SUMPRODUCT(("T_B_c-ICEnga-S1"=[2]OUT_TransportEnergyCons!$A$3:$A$1000)*1,("var_fout"=[2]OUT_TransportEnergyCons!$B$3:$B$1000)*1,ISNUMBER(SEARCH("TPBSc",[2]OUT_TransportEnergyCons!$C$3:$C$1000))*1,[2]OUT_TransportEnergyCons!I$3:I$1000)</f>
        <v>0</v>
      </c>
      <c r="L1455" s="1" cm="1">
        <f t="array" ref="L1455">SUMPRODUCT(("T_B_c-ICEnga-S1"=[2]OUT_TransportEnergyCons!$A$3:$A$1000)*1,("var_fout"=[2]OUT_TransportEnergyCons!$B$3:$B$1000)*1,ISNUMBER(SEARCH("TPBSc",[2]OUT_TransportEnergyCons!$C$3:$C$1000))*1,[2]OUT_TransportEnergyCons!J$3:J$1000)</f>
        <v>0</v>
      </c>
      <c r="N1455" s="1"/>
    </row>
    <row r="1456" spans="2:14" x14ac:dyDescent="0.35">
      <c r="B1456" s="5" t="str">
        <f t="shared" si="1508"/>
        <v>SPS1</v>
      </c>
      <c r="C1456" s="5" t="str">
        <f t="shared" si="1509"/>
        <v>CH</v>
      </c>
      <c r="D1456" t="s">
        <v>1446</v>
      </c>
      <c r="E1456" t="str">
        <f t="shared" si="1510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1.2240112878893181E-4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3.3960205140559245E-4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2.5594388805992501E-5</v>
      </c>
      <c r="J1456" s="1" cm="1">
        <f t="array" ref="J1456">SUMPRODUCT(("T_B_c-ICEnga-S2"=[2]OUT_TransportEnergyCons!$A$3:$A$1000)*1,("var_fout"=[2]OUT_TransportEnergyCons!$B$3:$B$1000)*1,ISNUMBER(SEARCH("TPBSc",[2]OUT_TransportEnergyCons!$C$3:$C$1000))*1,[2]OUT_TransportEnergyCons!H$3:H$1000)</f>
        <v>1.764791751560429E-7</v>
      </c>
      <c r="K1456" s="1" cm="1">
        <f t="array" ref="K1456">SUMPRODUCT(("T_B_c-ICEnga-S2"=[2]OUT_TransportEnergyCons!$A$3:$A$1000)*1,("var_fout"=[2]OUT_TransportEnergyCons!$B$3:$B$1000)*1,ISNUMBER(SEARCH("TPBSc",[2]OUT_TransportEnergyCons!$C$3:$C$1000))*1,[2]OUT_TransportEnergyCons!I$3:I$1000)</f>
        <v>0</v>
      </c>
      <c r="L1456" s="1" cm="1">
        <f t="array" ref="L1456">SUMPRODUCT(("T_B_c-ICEnga-S2"=[2]OUT_TransportEnergyCons!$A$3:$A$1000)*1,("var_fout"=[2]OUT_TransportEnergyCons!$B$3:$B$1000)*1,ISNUMBER(SEARCH("TPBSc",[2]OUT_TransportEnergyCons!$C$3:$C$1000))*1,[2]OUT_TransportEnergyCons!J$3:J$1000)</f>
        <v>0</v>
      </c>
      <c r="N1456" s="1"/>
    </row>
    <row r="1457" spans="2:14" x14ac:dyDescent="0.35">
      <c r="B1457" s="5" t="str">
        <f t="shared" si="1508"/>
        <v>SPS1</v>
      </c>
      <c r="C1457" s="5" t="str">
        <f t="shared" si="1509"/>
        <v>CH</v>
      </c>
      <c r="D1457" t="s">
        <v>1447</v>
      </c>
      <c r="E1457" t="str">
        <f t="shared" si="1510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7.0556005475855426E-5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2.0623028549097061E-4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1.6095691406508236E-5</v>
      </c>
      <c r="J1457" s="1" cm="1">
        <f t="array" ref="J1457">SUMPRODUCT(("T_B_c-ICEnga-S3"=[2]OUT_TransportEnergyCons!$A$3:$A$1000)*1,("var_fout"=[2]OUT_TransportEnergyCons!$B$3:$B$1000)*1,ISNUMBER(SEARCH("TPBSc",[2]OUT_TransportEnergyCons!$C$3:$C$1000))*1,[2]OUT_TransportEnergyCons!H$3:H$1000)</f>
        <v>0</v>
      </c>
      <c r="K1457" s="1" cm="1">
        <f t="array" ref="K1457">SUMPRODUCT(("T_B_c-ICEnga-S3"=[2]OUT_TransportEnergyCons!$A$3:$A$1000)*1,("var_fout"=[2]OUT_TransportEnergyCons!$B$3:$B$1000)*1,ISNUMBER(SEARCH("TPBSc",[2]OUT_TransportEnergyCons!$C$3:$C$1000))*1,[2]OUT_TransportEnergyCons!I$3:I$1000)</f>
        <v>0</v>
      </c>
      <c r="L1457" s="1" cm="1">
        <f t="array" ref="L1457">SUMPRODUCT(("T_B_c-ICEnga-S3"=[2]OUT_TransportEnergyCons!$A$3:$A$1000)*1,("var_fout"=[2]OUT_TransportEnergyCons!$B$3:$B$1000)*1,ISNUMBER(SEARCH("TPBSc",[2]OUT_TransportEnergyCons!$C$3:$C$1000))*1,[2]OUT_TransportEnergyCons!J$3:J$1000)</f>
        <v>0</v>
      </c>
      <c r="N1457" s="1"/>
    </row>
    <row r="1458" spans="2:14" x14ac:dyDescent="0.35">
      <c r="B1458" s="5" t="str">
        <f t="shared" si="1508"/>
        <v>SPS1</v>
      </c>
      <c r="C1458" s="5" t="str">
        <f t="shared" si="1509"/>
        <v>CH</v>
      </c>
      <c r="D1458" t="s">
        <v>1448</v>
      </c>
      <c r="E1458" t="str">
        <f t="shared" si="1510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1.7861722493264039E-5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4.8579058700825942E-5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1.5861286264862542E-5</v>
      </c>
      <c r="J1458" s="1" cm="1">
        <f t="array" ref="J1458">SUMPRODUCT(("T_B_c-ICEnga-S4"=[2]OUT_TransportEnergyCons!$A$3:$A$1000)*1,("var_fout"=[2]OUT_TransportEnergyCons!$B$3:$B$1000)*1,ISNUMBER(SEARCH("TPBSc",[2]OUT_TransportEnergyCons!$C$3:$C$1000))*1,[2]OUT_TransportEnergyCons!H$3:H$1000)</f>
        <v>0</v>
      </c>
      <c r="K1458" s="1" cm="1">
        <f t="array" ref="K1458">SUMPRODUCT(("T_B_c-ICEnga-S4"=[2]OUT_TransportEnergyCons!$A$3:$A$1000)*1,("var_fout"=[2]OUT_TransportEnergyCons!$B$3:$B$1000)*1,ISNUMBER(SEARCH("TPBSc",[2]OUT_TransportEnergyCons!$C$3:$C$1000))*1,[2]OUT_TransportEnergyCons!I$3:I$1000)</f>
        <v>0</v>
      </c>
      <c r="L1458" s="1" cm="1">
        <f t="array" ref="L1458">SUMPRODUCT(("T_B_c-ICEnga-S4"=[2]OUT_TransportEnergyCons!$A$3:$A$1000)*1,("var_fout"=[2]OUT_TransportEnergyCons!$B$3:$B$1000)*1,ISNUMBER(SEARCH("TPBSc",[2]OUT_TransportEnergyCons!$C$3:$C$1000))*1,[2]OUT_TransportEnergyCons!J$3:J$1000)</f>
        <v>0</v>
      </c>
      <c r="N1458" s="1"/>
    </row>
    <row r="1459" spans="2:14" x14ac:dyDescent="0.3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21" t="s">
        <v>292</v>
      </c>
      <c r="G1459" s="21" t="s">
        <v>292</v>
      </c>
      <c r="H1459" s="21" t="s">
        <v>292</v>
      </c>
      <c r="I1459" s="21" t="s">
        <v>292</v>
      </c>
      <c r="J1459" s="21" t="s">
        <v>292</v>
      </c>
      <c r="K1459" s="21" t="s">
        <v>292</v>
      </c>
      <c r="L1459" s="21" t="s">
        <v>292</v>
      </c>
      <c r="N1459" s="1"/>
    </row>
    <row r="1460" spans="2:14" x14ac:dyDescent="0.35">
      <c r="B1460" s="5" t="str">
        <f t="shared" ref="B1460:B1482" si="1511">B1459</f>
        <v>SPS1</v>
      </c>
      <c r="C1460" s="5" t="str">
        <f t="shared" ref="C1460:C1482" si="1512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513">IFERROR(G1436/G1401,"-")</f>
        <v>-</v>
      </c>
      <c r="H1460" s="1" t="str">
        <f t="shared" si="1513"/>
        <v>-</v>
      </c>
      <c r="I1460" s="1" t="str">
        <f t="shared" si="1513"/>
        <v>-</v>
      </c>
      <c r="J1460" s="1" t="str">
        <f t="shared" si="1513"/>
        <v>-</v>
      </c>
      <c r="K1460" s="1" t="str">
        <f t="shared" si="1513"/>
        <v>-</v>
      </c>
      <c r="L1460" s="1" t="str">
        <f t="shared" ref="L1460" si="1514">IFERROR(L1436/L1401,"-")</f>
        <v>-</v>
      </c>
      <c r="N1460" s="1"/>
    </row>
    <row r="1461" spans="2:14" x14ac:dyDescent="0.35">
      <c r="B1461" s="5" t="str">
        <f t="shared" si="1511"/>
        <v>SPS1</v>
      </c>
      <c r="C1461" s="5" t="str">
        <f t="shared" si="1512"/>
        <v>CH</v>
      </c>
      <c r="D1461" t="s">
        <v>1450</v>
      </c>
      <c r="E1461" t="s">
        <v>1229</v>
      </c>
      <c r="F1461" s="1">
        <f t="shared" ref="F1461:K1461" si="1515">IFERROR(F1437/F1402,"-")</f>
        <v>0.37869321701871822</v>
      </c>
      <c r="G1461" s="1">
        <f t="shared" si="1515"/>
        <v>0.39020854225079765</v>
      </c>
      <c r="H1461" s="1">
        <f t="shared" si="1515"/>
        <v>0.40090429145282425</v>
      </c>
      <c r="I1461" s="1">
        <f t="shared" si="1515"/>
        <v>0.44676596455652495</v>
      </c>
      <c r="J1461" s="1">
        <f t="shared" si="1515"/>
        <v>0.47084445803531799</v>
      </c>
      <c r="K1461" s="1">
        <f t="shared" si="1515"/>
        <v>0.47130355402344037</v>
      </c>
      <c r="L1461" s="1">
        <f t="shared" ref="L1461" si="1516">IFERROR(L1437/L1402,"-")</f>
        <v>0.53187583614178369</v>
      </c>
      <c r="N1461" s="1"/>
    </row>
    <row r="1462" spans="2:14" x14ac:dyDescent="0.35">
      <c r="B1462" s="5" t="str">
        <f t="shared" si="1511"/>
        <v>SPS1</v>
      </c>
      <c r="C1462" s="5" t="str">
        <f t="shared" si="1512"/>
        <v>CH</v>
      </c>
      <c r="D1462" t="s">
        <v>1451</v>
      </c>
      <c r="E1462" t="s">
        <v>1229</v>
      </c>
      <c r="F1462" s="1">
        <f t="shared" ref="F1462:K1462" si="1517">IFERROR(F1438/F1403,"-")</f>
        <v>0.27518070496490699</v>
      </c>
      <c r="G1462" s="1">
        <f t="shared" si="1517"/>
        <v>0.28007060897519781</v>
      </c>
      <c r="H1462" s="1">
        <f t="shared" si="1517"/>
        <v>0.28658403313877179</v>
      </c>
      <c r="I1462" s="1">
        <f t="shared" si="1517"/>
        <v>0.32365958645729398</v>
      </c>
      <c r="J1462" s="1">
        <f t="shared" si="1517"/>
        <v>0.33746743245293392</v>
      </c>
      <c r="K1462" s="1">
        <f t="shared" si="1517"/>
        <v>0.34487067704789115</v>
      </c>
      <c r="L1462" s="1">
        <f t="shared" ref="L1462" si="1518">IFERROR(L1438/L1403,"-")</f>
        <v>0.38038454511508357</v>
      </c>
      <c r="N1462" s="1"/>
    </row>
    <row r="1463" spans="2:14" x14ac:dyDescent="0.35">
      <c r="B1463" s="5" t="str">
        <f t="shared" si="1511"/>
        <v>SPS1</v>
      </c>
      <c r="C1463" s="5" t="str">
        <f t="shared" si="1512"/>
        <v>CH</v>
      </c>
      <c r="D1463" t="s">
        <v>1452</v>
      </c>
      <c r="E1463" t="s">
        <v>1229</v>
      </c>
      <c r="F1463" s="1">
        <f t="shared" ref="F1463:K1463" si="1519">IFERROR(F1439/F1404,"-")</f>
        <v>0.18297040713439894</v>
      </c>
      <c r="G1463" s="1">
        <f t="shared" si="1519"/>
        <v>0.18618642334414984</v>
      </c>
      <c r="H1463" s="1">
        <f t="shared" si="1519"/>
        <v>0.19062190567391615</v>
      </c>
      <c r="I1463" s="1">
        <f t="shared" si="1519"/>
        <v>0.21482798486612248</v>
      </c>
      <c r="J1463" s="1">
        <f t="shared" si="1519"/>
        <v>0.22582255666180884</v>
      </c>
      <c r="K1463" s="1">
        <f t="shared" si="1519"/>
        <v>0.22913218083079781</v>
      </c>
      <c r="L1463" s="1">
        <f t="shared" ref="L1463" si="1520">IFERROR(L1439/L1404,"-")</f>
        <v>0.26087519390935576</v>
      </c>
      <c r="N1463" s="1"/>
    </row>
    <row r="1464" spans="2:14" x14ac:dyDescent="0.35">
      <c r="B1464" s="5" t="str">
        <f t="shared" si="1511"/>
        <v>SPS1</v>
      </c>
      <c r="C1464" s="5" t="str">
        <f t="shared" si="1512"/>
        <v>CH</v>
      </c>
      <c r="D1464" t="s">
        <v>1453</v>
      </c>
      <c r="E1464" t="s">
        <v>1229</v>
      </c>
      <c r="F1464" s="1" t="str">
        <f t="shared" ref="F1464:K1464" si="1521">IFERROR(F1440/F1405,"-")</f>
        <v>-</v>
      </c>
      <c r="G1464" s="1">
        <f t="shared" si="1521"/>
        <v>0.12643429100140424</v>
      </c>
      <c r="H1464" s="1">
        <f t="shared" si="1521"/>
        <v>0.12961354583653906</v>
      </c>
      <c r="I1464" s="1">
        <f t="shared" si="1521"/>
        <v>0.13910999748501726</v>
      </c>
      <c r="J1464" s="1">
        <f t="shared" si="1521"/>
        <v>0.15132730379600845</v>
      </c>
      <c r="K1464" s="1">
        <f t="shared" si="1521"/>
        <v>0.15781274907377332</v>
      </c>
      <c r="L1464" s="1">
        <f t="shared" ref="L1464" si="1522">IFERROR(L1440/L1405,"-")</f>
        <v>0.17163850039434037</v>
      </c>
      <c r="N1464" s="1"/>
    </row>
    <row r="1465" spans="2:14" x14ac:dyDescent="0.35">
      <c r="B1465" s="5" t="str">
        <f t="shared" si="1511"/>
        <v>SPS1</v>
      </c>
      <c r="C1465" s="5" t="str">
        <f t="shared" si="1512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523">IFERROR(G1441/G1407,"-")</f>
        <v>-</v>
      </c>
      <c r="H1465" s="1" t="str">
        <f t="shared" si="1523"/>
        <v>-</v>
      </c>
      <c r="I1465" s="1">
        <f t="shared" si="1523"/>
        <v>0.234401761744441</v>
      </c>
      <c r="J1465" s="1">
        <f t="shared" si="1523"/>
        <v>0.25166155898679526</v>
      </c>
      <c r="K1465" s="1" t="str">
        <f t="shared" si="1523"/>
        <v>-</v>
      </c>
      <c r="L1465" s="1" t="str">
        <f t="shared" ref="L1465" si="1524">IFERROR(L1441/L1407,"-")</f>
        <v>-</v>
      </c>
      <c r="N1465" s="1"/>
    </row>
    <row r="1466" spans="2:14" x14ac:dyDescent="0.35">
      <c r="B1466" s="5" t="str">
        <f t="shared" si="1511"/>
        <v>SPS1</v>
      </c>
      <c r="C1466" s="5" t="str">
        <f t="shared" si="1512"/>
        <v>CH</v>
      </c>
      <c r="D1466" t="s">
        <v>1455</v>
      </c>
      <c r="E1466" t="s">
        <v>1229</v>
      </c>
      <c r="F1466" s="1" t="str">
        <f t="shared" ref="F1466:K1466" si="1525">IFERROR(F1442/F1408,"-")</f>
        <v>-</v>
      </c>
      <c r="G1466" s="1" t="str">
        <f t="shared" si="1525"/>
        <v>-</v>
      </c>
      <c r="H1466" s="1" t="str">
        <f t="shared" si="1525"/>
        <v>-</v>
      </c>
      <c r="I1466" s="1">
        <f t="shared" si="1525"/>
        <v>0.1691015145104961</v>
      </c>
      <c r="J1466" s="1" t="str">
        <f t="shared" si="1525"/>
        <v>-</v>
      </c>
      <c r="K1466" s="1" t="str">
        <f t="shared" si="1525"/>
        <v>-</v>
      </c>
      <c r="L1466" s="1" t="str">
        <f t="shared" ref="L1466" si="1526">IFERROR(L1442/L1408,"-")</f>
        <v>-</v>
      </c>
      <c r="N1466" s="1"/>
    </row>
    <row r="1467" spans="2:14" x14ac:dyDescent="0.35">
      <c r="B1467" s="5" t="str">
        <f t="shared" si="1511"/>
        <v>SPS1</v>
      </c>
      <c r="C1467" s="5" t="str">
        <f t="shared" si="1512"/>
        <v>CH</v>
      </c>
      <c r="D1467" t="s">
        <v>1456</v>
      </c>
      <c r="E1467" t="s">
        <v>1229</v>
      </c>
      <c r="F1467" s="1" t="str">
        <f t="shared" ref="F1467:K1467" si="1527">IFERROR(F1443/F1409,"-")</f>
        <v>-</v>
      </c>
      <c r="G1467" s="1" t="str">
        <f t="shared" si="1527"/>
        <v>-</v>
      </c>
      <c r="H1467" s="1" t="str">
        <f t="shared" si="1527"/>
        <v>-</v>
      </c>
      <c r="I1467" s="1">
        <f t="shared" si="1527"/>
        <v>0.11310839137372306</v>
      </c>
      <c r="J1467" s="1" t="str">
        <f t="shared" si="1527"/>
        <v>-</v>
      </c>
      <c r="K1467" s="1" t="str">
        <f t="shared" si="1527"/>
        <v>-</v>
      </c>
      <c r="L1467" s="1" t="str">
        <f t="shared" ref="L1467" si="1528">IFERROR(L1443/L1409,"-")</f>
        <v>-</v>
      </c>
      <c r="N1467" s="1"/>
    </row>
    <row r="1468" spans="2:14" x14ac:dyDescent="0.35">
      <c r="B1468" s="5" t="str">
        <f t="shared" si="1511"/>
        <v>SPS1</v>
      </c>
      <c r="C1468" s="5" t="str">
        <f t="shared" si="1512"/>
        <v>CH</v>
      </c>
      <c r="D1468" t="s">
        <v>1457</v>
      </c>
      <c r="E1468" t="s">
        <v>1229</v>
      </c>
      <c r="F1468" s="1" t="str">
        <f t="shared" ref="F1468:K1468" si="1529">IFERROR(F1444/F1410,"-")</f>
        <v>-</v>
      </c>
      <c r="G1468" s="1" t="str">
        <f t="shared" si="1529"/>
        <v>-</v>
      </c>
      <c r="H1468" s="1" t="str">
        <f t="shared" si="1529"/>
        <v>-</v>
      </c>
      <c r="I1468" s="1">
        <f t="shared" si="1529"/>
        <v>7.5896650184428843E-2</v>
      </c>
      <c r="J1468" s="1" t="str">
        <f t="shared" si="1529"/>
        <v>-</v>
      </c>
      <c r="K1468" s="1" t="str">
        <f t="shared" si="1529"/>
        <v>-</v>
      </c>
      <c r="L1468" s="1" t="str">
        <f t="shared" ref="L1468" si="1530">IFERROR(L1444/L1410,"-")</f>
        <v>-</v>
      </c>
      <c r="N1468" s="1"/>
    </row>
    <row r="1469" spans="2:14" x14ac:dyDescent="0.35">
      <c r="B1469" s="5" t="str">
        <f t="shared" si="1511"/>
        <v>SPS1</v>
      </c>
      <c r="C1469" s="5" t="str">
        <f t="shared" si="1512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531">IFERROR(G1445/G1416,"-")</f>
        <v>0.1625136996888385</v>
      </c>
      <c r="H1469" s="1">
        <f t="shared" si="1531"/>
        <v>0.16406387929954325</v>
      </c>
      <c r="I1469" s="1">
        <f t="shared" si="1531"/>
        <v>0.17267653178902875</v>
      </c>
      <c r="J1469" s="1">
        <f t="shared" si="1531"/>
        <v>0.194506192829832</v>
      </c>
      <c r="K1469" s="1">
        <f t="shared" si="1531"/>
        <v>0.20464841739300293</v>
      </c>
      <c r="L1469" s="1">
        <f t="shared" ref="L1469" si="1532">IFERROR(L1445/L1416,"-")</f>
        <v>0.20464841739300282</v>
      </c>
      <c r="N1469" s="1"/>
    </row>
    <row r="1470" spans="2:14" x14ac:dyDescent="0.35">
      <c r="B1470" s="5" t="str">
        <f t="shared" si="1511"/>
        <v>SPS1</v>
      </c>
      <c r="C1470" s="5" t="str">
        <f t="shared" si="1512"/>
        <v>CH</v>
      </c>
      <c r="D1470" t="s">
        <v>1459</v>
      </c>
      <c r="E1470" t="s">
        <v>1229</v>
      </c>
      <c r="F1470" s="1" t="str">
        <f t="shared" ref="F1470:K1470" si="1533">IFERROR(F1446/F1417,"-")</f>
        <v>-</v>
      </c>
      <c r="G1470" s="1">
        <f t="shared" si="1533"/>
        <v>0.11649393435744136</v>
      </c>
      <c r="H1470" s="1">
        <f t="shared" si="1533"/>
        <v>0.11907358513097918</v>
      </c>
      <c r="I1470" s="1">
        <f t="shared" si="1533"/>
        <v>0.12336553466591924</v>
      </c>
      <c r="J1470" s="1">
        <f t="shared" si="1533"/>
        <v>0.13939875066851992</v>
      </c>
      <c r="K1470" s="1">
        <f t="shared" si="1533"/>
        <v>0.14667213054387704</v>
      </c>
      <c r="L1470" s="1">
        <f t="shared" ref="L1470" si="1534">IFERROR(L1446/L1417,"-")</f>
        <v>0.14667213054387696</v>
      </c>
      <c r="N1470" s="1"/>
    </row>
    <row r="1471" spans="2:14" x14ac:dyDescent="0.35">
      <c r="B1471" s="5" t="str">
        <f t="shared" si="1511"/>
        <v>SPS1</v>
      </c>
      <c r="C1471" s="5" t="str">
        <f t="shared" si="1512"/>
        <v>CH</v>
      </c>
      <c r="D1471" t="s">
        <v>1460</v>
      </c>
      <c r="E1471" t="s">
        <v>1229</v>
      </c>
      <c r="F1471" s="1" t="str">
        <f t="shared" ref="F1471:K1471" si="1535">IFERROR(F1447/F1418,"-")</f>
        <v>-</v>
      </c>
      <c r="G1471" s="1">
        <f t="shared" si="1535"/>
        <v>7.8235828164578913E-2</v>
      </c>
      <c r="H1471" s="1">
        <f t="shared" si="1535"/>
        <v>7.9948657716179983E-2</v>
      </c>
      <c r="I1471" s="1">
        <f t="shared" si="1535"/>
        <v>8.221746745334603E-2</v>
      </c>
      <c r="J1471" s="1" t="str">
        <f t="shared" si="1535"/>
        <v>-</v>
      </c>
      <c r="K1471" s="1" t="str">
        <f t="shared" si="1535"/>
        <v>-</v>
      </c>
      <c r="L1471" s="1" t="str">
        <f t="shared" ref="L1471" si="1536">IFERROR(L1447/L1418,"-")</f>
        <v>-</v>
      </c>
      <c r="N1471" s="1"/>
    </row>
    <row r="1472" spans="2:14" x14ac:dyDescent="0.35">
      <c r="B1472" s="5" t="str">
        <f t="shared" si="1511"/>
        <v>SPS1</v>
      </c>
      <c r="C1472" s="5" t="str">
        <f t="shared" si="1512"/>
        <v>CH</v>
      </c>
      <c r="D1472" t="s">
        <v>1461</v>
      </c>
      <c r="E1472" t="s">
        <v>1229</v>
      </c>
      <c r="F1472" s="1" t="str">
        <f t="shared" ref="F1472:K1472" si="1537">IFERROR(F1448/F1419,"-")</f>
        <v>-</v>
      </c>
      <c r="G1472" s="1">
        <f t="shared" si="1537"/>
        <v>5.275143983049773E-2</v>
      </c>
      <c r="H1472" s="1">
        <f t="shared" si="1537"/>
        <v>5.3946944826178143E-2</v>
      </c>
      <c r="I1472" s="1">
        <f t="shared" si="1537"/>
        <v>5.5821386840408736E-2</v>
      </c>
      <c r="J1472" s="1" t="str">
        <f t="shared" si="1537"/>
        <v>-</v>
      </c>
      <c r="K1472" s="1" t="str">
        <f t="shared" si="1537"/>
        <v>-</v>
      </c>
      <c r="L1472" s="1" t="str">
        <f t="shared" ref="L1472" si="1538">IFERROR(L1448/L1419,"-")</f>
        <v>-</v>
      </c>
      <c r="N1472" s="1"/>
    </row>
    <row r="1473" spans="2:14" x14ac:dyDescent="0.35">
      <c r="B1473" s="5" t="str">
        <f t="shared" si="1511"/>
        <v>SPS1</v>
      </c>
      <c r="C1473" s="5" t="str">
        <f t="shared" si="1512"/>
        <v>CH</v>
      </c>
      <c r="D1473" t="s">
        <v>2117</v>
      </c>
      <c r="E1473" t="s">
        <v>1229</v>
      </c>
      <c r="F1473" s="1">
        <f>IFERROR(F1449/F1420,"-")</f>
        <v>9.9502495941956646</v>
      </c>
      <c r="G1473" s="1">
        <f t="shared" ref="G1473:K1473" si="1539">IFERROR(G1449/G1420,"-")</f>
        <v>7.9797266512003109</v>
      </c>
      <c r="H1473" s="1">
        <f t="shared" si="1539"/>
        <v>5.0239422367072875</v>
      </c>
      <c r="I1473" s="1" t="str">
        <f t="shared" si="1539"/>
        <v>-</v>
      </c>
      <c r="J1473" s="1" t="str">
        <f t="shared" si="1539"/>
        <v>-</v>
      </c>
      <c r="K1473" s="1" t="str">
        <f t="shared" si="1539"/>
        <v>-</v>
      </c>
      <c r="L1473" s="1" t="str">
        <f t="shared" ref="L1473" si="1540">IFERROR(L1449/L1420,"-")</f>
        <v>-</v>
      </c>
      <c r="N1473" s="1"/>
    </row>
    <row r="1474" spans="2:14" x14ac:dyDescent="0.35">
      <c r="B1474" s="5" t="str">
        <f t="shared" si="1511"/>
        <v>SPS1</v>
      </c>
      <c r="C1474" s="5" t="str">
        <f t="shared" si="1512"/>
        <v>CH</v>
      </c>
      <c r="D1474" t="s">
        <v>1462</v>
      </c>
      <c r="E1474" t="s">
        <v>1229</v>
      </c>
      <c r="F1474" s="1">
        <f t="shared" ref="F1474:K1474" si="1541">IFERROR(F1450/F1421,"-")</f>
        <v>0.1239191674859749</v>
      </c>
      <c r="G1474" s="1">
        <f t="shared" si="1541"/>
        <v>0.12648223952783799</v>
      </c>
      <c r="H1474" s="1">
        <f t="shared" si="1541"/>
        <v>0.1278331714247016</v>
      </c>
      <c r="I1474" s="1">
        <f t="shared" si="1541"/>
        <v>0.12980144161559221</v>
      </c>
      <c r="J1474" s="1">
        <f t="shared" si="1541"/>
        <v>0.15483918724546683</v>
      </c>
      <c r="K1474" s="1">
        <f t="shared" si="1541"/>
        <v>0.16277535382583055</v>
      </c>
      <c r="L1474" s="1">
        <f t="shared" ref="L1474" si="1542">IFERROR(L1450/L1421,"-")</f>
        <v>0.16277535382583042</v>
      </c>
      <c r="N1474" s="1"/>
    </row>
    <row r="1475" spans="2:14" x14ac:dyDescent="0.35">
      <c r="B1475" s="5" t="str">
        <f t="shared" si="1511"/>
        <v>SPS1</v>
      </c>
      <c r="C1475" s="5" t="str">
        <f t="shared" si="1512"/>
        <v>CH</v>
      </c>
      <c r="D1475" t="s">
        <v>1463</v>
      </c>
      <c r="E1475" t="s">
        <v>1229</v>
      </c>
      <c r="F1475" s="1">
        <f t="shared" ref="F1475:K1475" si="1543">IFERROR(F1451/F1422,"-")</f>
        <v>8.746584758561661E-2</v>
      </c>
      <c r="G1475" s="1">
        <f t="shared" si="1543"/>
        <v>8.7827590444094189E-2</v>
      </c>
      <c r="H1475" s="1">
        <f t="shared" si="1543"/>
        <v>8.7907962160153341E-2</v>
      </c>
      <c r="I1475" s="1">
        <f t="shared" si="1543"/>
        <v>9.1134222864996339E-2</v>
      </c>
      <c r="J1475" s="1">
        <f t="shared" si="1543"/>
        <v>0.10816895864778363</v>
      </c>
      <c r="K1475" s="1">
        <f t="shared" si="1543"/>
        <v>0.11343753121307443</v>
      </c>
      <c r="L1475" s="1">
        <f t="shared" ref="L1475" si="1544">IFERROR(L1451/L1422,"-")</f>
        <v>0.11343753121307451</v>
      </c>
      <c r="N1475" s="1"/>
    </row>
    <row r="1476" spans="2:14" x14ac:dyDescent="0.35">
      <c r="B1476" s="5" t="str">
        <f t="shared" si="1511"/>
        <v>SPS1</v>
      </c>
      <c r="C1476" s="5" t="str">
        <f t="shared" si="1512"/>
        <v>CH</v>
      </c>
      <c r="D1476" t="s">
        <v>1464</v>
      </c>
      <c r="E1476" t="s">
        <v>1229</v>
      </c>
      <c r="F1476" s="1">
        <f t="shared" ref="F1476:K1476" si="1545">IFERROR(F1452/F1423,"-")</f>
        <v>5.7949527986548517E-2</v>
      </c>
      <c r="G1476" s="1">
        <f t="shared" si="1545"/>
        <v>5.820615363173464E-2</v>
      </c>
      <c r="H1476" s="1">
        <f t="shared" si="1545"/>
        <v>5.8292453870858622E-2</v>
      </c>
      <c r="I1476" s="1">
        <f t="shared" si="1545"/>
        <v>6.112647298355859E-2</v>
      </c>
      <c r="J1476" s="1" t="str">
        <f t="shared" si="1545"/>
        <v>-</v>
      </c>
      <c r="K1476" s="1">
        <f t="shared" si="1545"/>
        <v>7.5170537347230379E-2</v>
      </c>
      <c r="L1476" s="1" t="str">
        <f t="shared" ref="L1476" si="1546">IFERROR(L1452/L1423,"-")</f>
        <v>-</v>
      </c>
      <c r="N1476" s="1"/>
    </row>
    <row r="1477" spans="2:14" x14ac:dyDescent="0.35">
      <c r="B1477" s="5" t="str">
        <f t="shared" si="1511"/>
        <v>SPS1</v>
      </c>
      <c r="C1477" s="5" t="str">
        <f t="shared" si="1512"/>
        <v>CH</v>
      </c>
      <c r="D1477" t="s">
        <v>1465</v>
      </c>
      <c r="E1477" t="s">
        <v>1229</v>
      </c>
      <c r="F1477" s="1">
        <f t="shared" ref="F1477:K1477" si="1547">IFERROR(F1453/F1424,"-")</f>
        <v>3.8646481387947448E-2</v>
      </c>
      <c r="G1477" s="1">
        <f t="shared" si="1547"/>
        <v>3.8996283703099009E-2</v>
      </c>
      <c r="H1477" s="1">
        <f t="shared" si="1547"/>
        <v>3.9317100419053848E-2</v>
      </c>
      <c r="I1477" s="1">
        <f t="shared" si="1547"/>
        <v>4.0576219426394937E-2</v>
      </c>
      <c r="J1477" s="1" t="str">
        <f t="shared" si="1547"/>
        <v>-</v>
      </c>
      <c r="K1477" s="1" t="str">
        <f t="shared" si="1547"/>
        <v>-</v>
      </c>
      <c r="L1477" s="1" t="str">
        <f t="shared" ref="L1477" si="1548">IFERROR(L1453/L1424,"-")</f>
        <v>-</v>
      </c>
      <c r="N1477" s="1"/>
    </row>
    <row r="1478" spans="2:14" x14ac:dyDescent="0.35">
      <c r="B1478" s="5" t="str">
        <f t="shared" si="1511"/>
        <v>SPS1</v>
      </c>
      <c r="C1478" s="5" t="str">
        <f t="shared" si="1512"/>
        <v>CH</v>
      </c>
      <c r="D1478" t="s">
        <v>2120</v>
      </c>
      <c r="E1478" t="s">
        <v>1229</v>
      </c>
      <c r="F1478" s="1">
        <f>IFERROR(F1454/F1430,"-")</f>
        <v>9.9502495941956663</v>
      </c>
      <c r="G1478" s="1">
        <f t="shared" ref="G1478:K1478" si="1549">IFERROR(G1454/G1430,"-")</f>
        <v>7.9767976048237497</v>
      </c>
      <c r="H1478" s="1">
        <f t="shared" si="1549"/>
        <v>5.0166196207658675</v>
      </c>
      <c r="I1478" s="1" t="str">
        <f t="shared" si="1549"/>
        <v>-</v>
      </c>
      <c r="J1478" s="1" t="str">
        <f t="shared" si="1549"/>
        <v>-</v>
      </c>
      <c r="K1478" s="1" t="str">
        <f t="shared" si="1549"/>
        <v>-</v>
      </c>
      <c r="L1478" s="1" t="str">
        <f t="shared" ref="L1478" si="1550">IFERROR(L1454/L1430,"-")</f>
        <v>-</v>
      </c>
      <c r="N1478" s="1"/>
    </row>
    <row r="1479" spans="2:14" x14ac:dyDescent="0.35">
      <c r="B1479" s="5" t="str">
        <f t="shared" si="1511"/>
        <v>SPS1</v>
      </c>
      <c r="C1479" s="5" t="str">
        <f t="shared" si="1512"/>
        <v>CH</v>
      </c>
      <c r="D1479" t="s">
        <v>1466</v>
      </c>
      <c r="E1479" t="s">
        <v>1229</v>
      </c>
      <c r="F1479" s="1" t="str">
        <f t="shared" ref="F1479:K1479" si="1551">IFERROR(F1455/F1431,"-")</f>
        <v>-</v>
      </c>
      <c r="G1479" s="1">
        <f t="shared" si="1551"/>
        <v>0.12023751974847223</v>
      </c>
      <c r="H1479" s="1">
        <f t="shared" si="1551"/>
        <v>0.1230559229359352</v>
      </c>
      <c r="I1479" s="1">
        <f t="shared" si="1551"/>
        <v>0.12879749474202065</v>
      </c>
      <c r="J1479" s="1">
        <f t="shared" si="1551"/>
        <v>0.14532451076677294</v>
      </c>
      <c r="K1479" s="1" t="str">
        <f t="shared" si="1551"/>
        <v>-</v>
      </c>
      <c r="L1479" s="1" t="str">
        <f t="shared" ref="L1479" si="1552">IFERROR(L1455/L1431,"-")</f>
        <v>-</v>
      </c>
      <c r="N1479" s="1"/>
    </row>
    <row r="1480" spans="2:14" x14ac:dyDescent="0.35">
      <c r="B1480" s="5" t="str">
        <f t="shared" si="1511"/>
        <v>SPS1</v>
      </c>
      <c r="C1480" s="5" t="str">
        <f t="shared" si="1512"/>
        <v>CH</v>
      </c>
      <c r="D1480" t="s">
        <v>1467</v>
      </c>
      <c r="E1480" t="s">
        <v>1229</v>
      </c>
      <c r="F1480" s="1" t="str">
        <f t="shared" ref="F1480:K1480" si="1553">IFERROR(F1456/F1432,"-")</f>
        <v>-</v>
      </c>
      <c r="G1480" s="1">
        <f t="shared" si="1553"/>
        <v>8.4998076233608874E-2</v>
      </c>
      <c r="H1480" s="1">
        <f t="shared" si="1553"/>
        <v>8.748331756939759E-2</v>
      </c>
      <c r="I1480" s="1">
        <f t="shared" si="1553"/>
        <v>9.0436165719624262E-2</v>
      </c>
      <c r="J1480" s="1">
        <f t="shared" si="1553"/>
        <v>0.1018523186958917</v>
      </c>
      <c r="K1480" s="1" t="str">
        <f t="shared" si="1553"/>
        <v>-</v>
      </c>
      <c r="L1480" s="1" t="str">
        <f t="shared" ref="L1480" si="1554">IFERROR(L1456/L1432,"-")</f>
        <v>-</v>
      </c>
      <c r="N1480" s="1"/>
    </row>
    <row r="1481" spans="2:14" x14ac:dyDescent="0.35">
      <c r="B1481" s="5" t="str">
        <f t="shared" si="1511"/>
        <v>SPS1</v>
      </c>
      <c r="C1481" s="5" t="str">
        <f t="shared" si="1512"/>
        <v>CH</v>
      </c>
      <c r="D1481" t="s">
        <v>1468</v>
      </c>
      <c r="E1481" t="s">
        <v>1229</v>
      </c>
      <c r="F1481" s="1" t="str">
        <f t="shared" ref="F1481:K1481" si="1555">IFERROR(F1457/F1433,"-")</f>
        <v>-</v>
      </c>
      <c r="G1481" s="1">
        <f t="shared" si="1555"/>
        <v>5.6422133461237201E-2</v>
      </c>
      <c r="H1481" s="1">
        <f t="shared" si="1555"/>
        <v>5.8119989835104365E-2</v>
      </c>
      <c r="I1481" s="1">
        <f t="shared" si="1555"/>
        <v>6.0034272114037467E-2</v>
      </c>
      <c r="J1481" s="1" t="str">
        <f t="shared" si="1555"/>
        <v>-</v>
      </c>
      <c r="K1481" s="1" t="str">
        <f t="shared" si="1555"/>
        <v>-</v>
      </c>
      <c r="L1481" s="1" t="str">
        <f t="shared" ref="L1481" si="1556">IFERROR(L1457/L1433,"-")</f>
        <v>-</v>
      </c>
      <c r="N1481" s="1"/>
    </row>
    <row r="1482" spans="2:14" x14ac:dyDescent="0.35">
      <c r="B1482" s="5" t="str">
        <f t="shared" si="1511"/>
        <v>SPS1</v>
      </c>
      <c r="C1482" s="5" t="str">
        <f t="shared" si="1512"/>
        <v>CH</v>
      </c>
      <c r="D1482" t="s">
        <v>1469</v>
      </c>
      <c r="E1482" t="s">
        <v>1229</v>
      </c>
      <c r="F1482" s="1" t="str">
        <f t="shared" ref="F1482:K1482" si="1557">IFERROR(F1458/F1434,"-")</f>
        <v>-</v>
      </c>
      <c r="G1482" s="1">
        <f t="shared" si="1557"/>
        <v>3.7689157759834384E-2</v>
      </c>
      <c r="H1482" s="1">
        <f t="shared" si="1557"/>
        <v>3.8775465573063599E-2</v>
      </c>
      <c r="I1482" s="1">
        <f t="shared" si="1557"/>
        <v>4.0012951158611934E-2</v>
      </c>
      <c r="J1482" s="1" t="str">
        <f t="shared" si="1557"/>
        <v>-</v>
      </c>
      <c r="K1482" s="1" t="str">
        <f t="shared" si="1557"/>
        <v>-</v>
      </c>
      <c r="L1482" s="1" t="str">
        <f t="shared" ref="L1482" si="1558">IFERROR(L1458/L1434,"-")</f>
        <v>-</v>
      </c>
      <c r="N1482" s="1"/>
    </row>
    <row r="1483" spans="2:14" x14ac:dyDescent="0.3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L1483" si="1559">G1484</f>
        <v>0.30668648626079364</v>
      </c>
      <c r="H1483" s="3">
        <f t="shared" si="1559"/>
        <v>0.35149986092475399</v>
      </c>
      <c r="I1483" s="3">
        <f t="shared" si="1559"/>
        <v>0.45078090930791764</v>
      </c>
      <c r="J1483" s="3">
        <f t="shared" si="1559"/>
        <v>0.45958965891661224</v>
      </c>
      <c r="K1483" s="3">
        <f t="shared" si="1559"/>
        <v>0.47237229295618205</v>
      </c>
      <c r="L1483" s="3">
        <f t="shared" si="1559"/>
        <v>0.48809144422268363</v>
      </c>
      <c r="N1483" s="1"/>
    </row>
    <row r="1484" spans="2:14" x14ac:dyDescent="0.3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L1484" si="1560">G1485</f>
        <v>0.30668648626079364</v>
      </c>
      <c r="H1484" s="1">
        <f t="shared" si="1560"/>
        <v>0.35149986092475399</v>
      </c>
      <c r="I1484" s="1">
        <f t="shared" si="1560"/>
        <v>0.45078090930791764</v>
      </c>
      <c r="J1484" s="1">
        <f t="shared" si="1560"/>
        <v>0.45958965891661224</v>
      </c>
      <c r="K1484" s="1">
        <f t="shared" si="1560"/>
        <v>0.47237229295618205</v>
      </c>
      <c r="L1484" s="1">
        <f t="shared" si="1560"/>
        <v>0.48809144422268363</v>
      </c>
      <c r="N1484" s="1"/>
    </row>
    <row r="1485" spans="2:14" x14ac:dyDescent="0.35">
      <c r="B1485" s="5" t="str">
        <f t="shared" ref="B1485" si="1561">B1484</f>
        <v>SPS1</v>
      </c>
      <c r="C1485" s="5" t="str">
        <f t="shared" ref="C1485" si="1562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0.35149986092475399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0.45078090930791764</v>
      </c>
      <c r="J1485" s="1" cm="1">
        <f t="array" ref="J1485">SUMPRODUCT(("T_TRLY_ELC"=[2]OUT_TransportEnergyCons!$A$3:$A$1000)*1,("Var_Fin"=[2]OUT_TransportEnergyCons!$B$3:$B$1000)*1,ISNUMBER(SEARCH("ELC",[2]OUT_TransportEnergyCons!$C$3:$C$1000))*1,[2]OUT_TransportEnergyCons!H$3:H$1000)</f>
        <v>0.45958965891661224</v>
      </c>
      <c r="K1485" s="1" cm="1">
        <f t="array" ref="K1485">SUMPRODUCT(("T_TRLY_ELC"=[2]OUT_TransportEnergyCons!$A$3:$A$1000)*1,("Var_Fin"=[2]OUT_TransportEnergyCons!$B$3:$B$1000)*1,ISNUMBER(SEARCH("ELC",[2]OUT_TransportEnergyCons!$C$3:$C$1000))*1,[2]OUT_TransportEnergyCons!I$3:I$1000)</f>
        <v>0.47237229295618205</v>
      </c>
      <c r="L1485" s="1" cm="1">
        <f t="array" ref="L1485">SUMPRODUCT(("T_TRLY_ELC"=[2]OUT_TransportEnergyCons!$A$3:$A$1000)*1,("Var_Fin"=[2]OUT_TransportEnergyCons!$B$3:$B$1000)*1,ISNUMBER(SEARCH("ELC",[2]OUT_TransportEnergyCons!$C$3:$C$1000))*1,[2]OUT_TransportEnergyCons!J$3:J$1000)</f>
        <v>0.48809144422268363</v>
      </c>
      <c r="N1485" s="1"/>
    </row>
    <row r="1486" spans="2:14" x14ac:dyDescent="0.35">
      <c r="B1486" s="9" t="str">
        <f t="shared" ref="B1486:C1489" si="1563">B1485</f>
        <v>SPS1</v>
      </c>
      <c r="C1486" s="9" t="str">
        <f t="shared" si="1563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L1486" si="1564">G1487</f>
        <v>2.7782165745480814E-2</v>
      </c>
      <c r="H1486" s="3">
        <f t="shared" si="1564"/>
        <v>2.8832315767707572E-2</v>
      </c>
      <c r="I1486" s="3">
        <f t="shared" si="1564"/>
        <v>3.0543631535415186E-2</v>
      </c>
      <c r="J1486" s="3">
        <f t="shared" si="1564"/>
        <v>3.1140487340042711E-2</v>
      </c>
      <c r="K1486" s="3">
        <f t="shared" si="1564"/>
        <v>3.2006602244411902E-2</v>
      </c>
      <c r="L1486" s="3">
        <f t="shared" si="1564"/>
        <v>3.3071687199031169E-2</v>
      </c>
      <c r="N1486" s="1"/>
    </row>
    <row r="1487" spans="2:14" x14ac:dyDescent="0.35">
      <c r="B1487" s="5" t="str">
        <f t="shared" si="1563"/>
        <v>SPS1</v>
      </c>
      <c r="C1487" s="5" t="str">
        <f t="shared" si="1563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2.8832315767707572E-2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3.0543631535415186E-2</v>
      </c>
      <c r="J1487" s="1" cm="1">
        <f t="array" ref="J1487">SUMPRODUCT(("T_TRLY_ELC"=[2]OUT_TransportEnergyCons!$A$3:$A$1000)*1,("Var_Fout"=[2]OUT_TransportEnergyCons!$B$3:$B$1000)*1,ISNUMBER(SEARCH("tptrly",[2]OUT_TransportEnergyCons!$C$3:$C$1000))*1,[2]OUT_TransportEnergyCons!H$3:H$1000)</f>
        <v>3.1140487340042711E-2</v>
      </c>
      <c r="K1487" s="1" cm="1">
        <f t="array" ref="K1487">SUMPRODUCT(("T_TRLY_ELC"=[2]OUT_TransportEnergyCons!$A$3:$A$1000)*1,("Var_Fout"=[2]OUT_TransportEnergyCons!$B$3:$B$1000)*1,ISNUMBER(SEARCH("tptrly",[2]OUT_TransportEnergyCons!$C$3:$C$1000))*1,[2]OUT_TransportEnergyCons!I$3:I$1000)</f>
        <v>3.2006602244411902E-2</v>
      </c>
      <c r="L1487" s="1" cm="1">
        <f t="array" ref="L1487">SUMPRODUCT(("T_TRLY_ELC"=[2]OUT_TransportEnergyCons!$A$3:$A$1000)*1,("Var_Fout"=[2]OUT_TransportEnergyCons!$B$3:$B$1000)*1,ISNUMBER(SEARCH("tptrly",[2]OUT_TransportEnergyCons!$C$3:$C$1000))*1,[2]OUT_TransportEnergyCons!J$3:J$1000)</f>
        <v>3.3071687199031169E-2</v>
      </c>
      <c r="N1487" s="1"/>
    </row>
    <row r="1488" spans="2:14" x14ac:dyDescent="0.35">
      <c r="B1488" s="9" t="str">
        <f t="shared" si="1563"/>
        <v>SPS1</v>
      </c>
      <c r="C1488" s="9" t="str">
        <f t="shared" si="1563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N1488" s="1"/>
    </row>
    <row r="1489" spans="2:14" x14ac:dyDescent="0.35">
      <c r="B1489" s="5" t="str">
        <f t="shared" si="1563"/>
        <v>SPS1</v>
      </c>
      <c r="C1489" s="5" t="str">
        <f t="shared" si="1563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565">G1487/G1485</f>
        <v>9.0588164102724744E-2</v>
      </c>
      <c r="H1489" s="1">
        <f t="shared" si="1565"/>
        <v>8.2026535350122776E-2</v>
      </c>
      <c r="I1489" s="1">
        <f t="shared" si="1565"/>
        <v>6.7757154095786171E-2</v>
      </c>
      <c r="J1489" s="1">
        <f t="shared" si="1565"/>
        <v>6.7757154095786185E-2</v>
      </c>
      <c r="K1489" s="1">
        <f t="shared" si="1565"/>
        <v>6.7757154095786226E-2</v>
      </c>
      <c r="L1489" s="1">
        <f t="shared" ref="L1489" si="1566">L1487/L1485</f>
        <v>6.7757154095786115E-2</v>
      </c>
      <c r="N1489" s="1"/>
    </row>
    <row r="1490" spans="2:14" x14ac:dyDescent="0.3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567">G1491</f>
        <v>0.61504030570008339</v>
      </c>
      <c r="H1490" s="3">
        <f t="shared" ref="H1490:H1491" si="1568">H1491</f>
        <v>0.65830556959273911</v>
      </c>
      <c r="I1490" s="3">
        <f t="shared" ref="I1490:I1491" si="1569">I1491</f>
        <v>0.7379148962536346</v>
      </c>
      <c r="J1490" s="3">
        <f t="shared" ref="J1490:J1491" si="1570">J1491</f>
        <v>0.7561616857731851</v>
      </c>
      <c r="K1490" s="3">
        <f t="shared" ref="K1490:L1491" si="1571">K1491</f>
        <v>0.77325934733858914</v>
      </c>
      <c r="L1490" s="3">
        <f t="shared" si="1571"/>
        <v>0.79899112903654423</v>
      </c>
      <c r="N1490" s="1"/>
    </row>
    <row r="1491" spans="2:14" x14ac:dyDescent="0.3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567"/>
        <v>0.61504030570008339</v>
      </c>
      <c r="H1491" s="1">
        <f t="shared" si="1568"/>
        <v>0.65830556959273911</v>
      </c>
      <c r="I1491" s="1">
        <f t="shared" si="1569"/>
        <v>0.7379148962536346</v>
      </c>
      <c r="J1491" s="1">
        <f t="shared" si="1570"/>
        <v>0.7561616857731851</v>
      </c>
      <c r="K1491" s="1">
        <f t="shared" si="1571"/>
        <v>0.77325934733858914</v>
      </c>
      <c r="L1491" s="1">
        <f t="shared" si="1571"/>
        <v>0.79899112903654423</v>
      </c>
      <c r="N1491" s="1"/>
    </row>
    <row r="1492" spans="2:14" x14ac:dyDescent="0.35">
      <c r="B1492" s="5" t="str">
        <f t="shared" ref="B1492" si="1572">B1491</f>
        <v>SPS1</v>
      </c>
      <c r="C1492" s="5" t="str">
        <f t="shared" ref="C1492" si="1573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0.65830556959273911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0.7379148962536346</v>
      </c>
      <c r="J1492" s="1" cm="1">
        <f t="array" ref="J1492">SUMPRODUCT(("T_TRM_ELC"=[2]OUT_TransportEnergyCons!$A$3:$A$1000)*1,("Var_Fin"=[2]OUT_TransportEnergyCons!$B$3:$B$1000)*1,ISNUMBER(SEARCH("ELC",[2]OUT_TransportEnergyCons!$C$3:$C$1000))*1,[2]OUT_TransportEnergyCons!H$3:H$1000)</f>
        <v>0.7561616857731851</v>
      </c>
      <c r="K1492" s="1" cm="1">
        <f t="array" ref="K1492">SUMPRODUCT(("T_TRM_ELC"=[2]OUT_TransportEnergyCons!$A$3:$A$1000)*1,("Var_Fin"=[2]OUT_TransportEnergyCons!$B$3:$B$1000)*1,ISNUMBER(SEARCH("ELC",[2]OUT_TransportEnergyCons!$C$3:$C$1000))*1,[2]OUT_TransportEnergyCons!I$3:I$1000)</f>
        <v>0.77325934733858914</v>
      </c>
      <c r="L1492" s="1" cm="1">
        <f t="array" ref="L1492">SUMPRODUCT(("T_TRM_ELC"=[2]OUT_TransportEnergyCons!$A$3:$A$1000)*1,("Var_Fin"=[2]OUT_TransportEnergyCons!$B$3:$B$1000)*1,ISNUMBER(SEARCH("ELC",[2]OUT_TransportEnergyCons!$C$3:$C$1000))*1,[2]OUT_TransportEnergyCons!J$3:J$1000)</f>
        <v>0.79899112903654423</v>
      </c>
      <c r="N1492" s="1"/>
    </row>
    <row r="1493" spans="2:14" x14ac:dyDescent="0.35">
      <c r="B1493" s="9" t="str">
        <f t="shared" ref="B1493:C1497" si="1574">B1492</f>
        <v>SPS1</v>
      </c>
      <c r="C1493" s="9" t="str">
        <f t="shared" si="1574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575">G1494</f>
        <v>3.4238693943285006E-2</v>
      </c>
      <c r="H1493" s="3">
        <f t="shared" ref="H1493" si="1576">H1494</f>
        <v>3.5370833501607003E-2</v>
      </c>
      <c r="I1493" s="3">
        <f t="shared" ref="I1493" si="1577">I1494</f>
        <v>3.726366700321395E-2</v>
      </c>
      <c r="J1493" s="3">
        <f t="shared" ref="J1493" si="1578">J1494</f>
        <v>3.8185104274620588E-2</v>
      </c>
      <c r="K1493" s="3">
        <f t="shared" ref="K1493:L1493" si="1579">K1494</f>
        <v>3.9048512196511807E-2</v>
      </c>
      <c r="L1493" s="3">
        <f t="shared" si="1579"/>
        <v>4.0347931071859175E-2</v>
      </c>
      <c r="N1493" s="1"/>
    </row>
    <row r="1494" spans="2:14" x14ac:dyDescent="0.35">
      <c r="B1494" s="5" t="str">
        <f t="shared" si="1574"/>
        <v>SPS1</v>
      </c>
      <c r="C1494" s="5" t="str">
        <f t="shared" si="1574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3.5370833501607003E-2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3.726366700321395E-2</v>
      </c>
      <c r="J1494" s="1" cm="1">
        <f t="array" ref="J1494">SUMPRODUCT(("T_TRM_ELC"=[2]OUT_TransportEnergyCons!$A$3:$A$1000)*1,("Var_Fout"=[2]OUT_TransportEnergyCons!$B$3:$B$1000)*1,ISNUMBER(SEARCH("tptrm",[2]OUT_TransportEnergyCons!$C$3:$C$1000))*1,[2]OUT_TransportEnergyCons!H$3:H$1000)</f>
        <v>3.8185104274620588E-2</v>
      </c>
      <c r="K1494" s="1" cm="1">
        <f t="array" ref="K1494">SUMPRODUCT(("T_TRM_ELC"=[2]OUT_TransportEnergyCons!$A$3:$A$1000)*1,("Var_Fout"=[2]OUT_TransportEnergyCons!$B$3:$B$1000)*1,ISNUMBER(SEARCH("tptrm",[2]OUT_TransportEnergyCons!$C$3:$C$1000))*1,[2]OUT_TransportEnergyCons!I$3:I$1000)</f>
        <v>3.9048512196511807E-2</v>
      </c>
      <c r="L1494" s="1" cm="1">
        <f t="array" ref="L1494">SUMPRODUCT(("T_TRM_ELC"=[2]OUT_TransportEnergyCons!$A$3:$A$1000)*1,("Var_Fout"=[2]OUT_TransportEnergyCons!$B$3:$B$1000)*1,ISNUMBER(SEARCH("tptrm",[2]OUT_TransportEnergyCons!$C$3:$C$1000))*1,[2]OUT_TransportEnergyCons!J$3:J$1000)</f>
        <v>4.0347931071859175E-2</v>
      </c>
      <c r="N1494" s="1"/>
    </row>
    <row r="1495" spans="2:14" x14ac:dyDescent="0.35">
      <c r="B1495" s="9" t="str">
        <f t="shared" si="1574"/>
        <v>SPS1</v>
      </c>
      <c r="C1495" s="9" t="str">
        <f t="shared" si="1574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N1495" s="1"/>
    </row>
    <row r="1496" spans="2:14" x14ac:dyDescent="0.35">
      <c r="B1496" s="5" t="str">
        <f t="shared" si="1574"/>
        <v>SPS1</v>
      </c>
      <c r="C1496" s="5" t="str">
        <f t="shared" si="1574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580">G1494/G1492</f>
        <v>5.5669024657354849E-2</v>
      </c>
      <c r="H1496" s="1">
        <f t="shared" si="1580"/>
        <v>5.3730114304652132E-2</v>
      </c>
      <c r="I1496" s="1">
        <f t="shared" si="1580"/>
        <v>5.049859705014785E-2</v>
      </c>
      <c r="J1496" s="1">
        <f t="shared" si="1580"/>
        <v>5.0498597050147843E-2</v>
      </c>
      <c r="K1496" s="1">
        <f t="shared" si="1580"/>
        <v>5.0498597050147948E-2</v>
      </c>
      <c r="L1496" s="1">
        <f t="shared" ref="L1496" si="1581">L1494/L1492</f>
        <v>5.0498597050147906E-2</v>
      </c>
      <c r="N1496" s="1"/>
    </row>
    <row r="1497" spans="2:14" x14ac:dyDescent="0.35">
      <c r="B1497" s="9" t="str">
        <f t="shared" si="1574"/>
        <v>SPS1</v>
      </c>
      <c r="C1497" s="9" t="str">
        <f t="shared" si="1574"/>
        <v>CH</v>
      </c>
      <c r="D1497" s="2" t="s">
        <v>1487</v>
      </c>
      <c r="E1497" s="2" t="s">
        <v>8</v>
      </c>
      <c r="F1497" s="3">
        <f>SUM(F1498,F1503,F1508)</f>
        <v>1.7673096766409415</v>
      </c>
      <c r="G1497" s="3">
        <f t="shared" ref="G1497:K1497" si="1582">SUM(G1498,G1503,G1508)</f>
        <v>1.6886099270329187</v>
      </c>
      <c r="H1497" s="3">
        <f t="shared" si="1582"/>
        <v>1.3990620804633467</v>
      </c>
      <c r="I1497" s="3">
        <f t="shared" si="1582"/>
        <v>1.1210940411965351</v>
      </c>
      <c r="J1497" s="3">
        <f t="shared" si="1582"/>
        <v>0.90698799173433087</v>
      </c>
      <c r="K1497" s="3">
        <f t="shared" si="1582"/>
        <v>0.54168702932422785</v>
      </c>
      <c r="L1497" s="3">
        <f t="shared" ref="L1497" si="1583">SUM(L1498,L1503,L1508)</f>
        <v>0.22097022155466145</v>
      </c>
      <c r="N1497" s="1"/>
    </row>
    <row r="1498" spans="2:14" x14ac:dyDescent="0.35">
      <c r="B1498" s="5" t="str">
        <f>B1497</f>
        <v>SPS1</v>
      </c>
      <c r="C1498" t="str">
        <f t="shared" ref="C1498:C1502" si="1584">C1497</f>
        <v>CH</v>
      </c>
      <c r="D1498" t="s">
        <v>1488</v>
      </c>
      <c r="E1498" t="str">
        <f>E1497</f>
        <v>PJ/yr.</v>
      </c>
      <c r="F1498" s="1">
        <f>SUM(F1499:F1502)</f>
        <v>5.35312399629242E-2</v>
      </c>
      <c r="G1498" s="1">
        <f t="shared" ref="G1498:K1498" si="1585">SUM(G1499:G1502)</f>
        <v>5.5895357853282229E-2</v>
      </c>
      <c r="H1498" s="1">
        <f t="shared" si="1585"/>
        <v>6.0218546165222778E-2</v>
      </c>
      <c r="I1498" s="1">
        <f t="shared" si="1585"/>
        <v>5.256352543267185E-2</v>
      </c>
      <c r="J1498" s="1">
        <f t="shared" si="1585"/>
        <v>1.7300299718664643E-2</v>
      </c>
      <c r="K1498" s="1">
        <f t="shared" si="1585"/>
        <v>9.060048270077245E-2</v>
      </c>
      <c r="L1498" s="1">
        <f t="shared" ref="L1498" si="1586">SUM(L1499:L1502)</f>
        <v>0.14892726347652646</v>
      </c>
      <c r="N1498" s="1"/>
    </row>
    <row r="1499" spans="2:14" x14ac:dyDescent="0.35">
      <c r="B1499" t="str">
        <f t="shared" ref="B1499:B1502" si="1587">B1498</f>
        <v>SPS1</v>
      </c>
      <c r="C1499" t="str">
        <f t="shared" si="1584"/>
        <v>CH</v>
      </c>
      <c r="D1499" t="s">
        <v>1489</v>
      </c>
      <c r="E1499" t="str">
        <f t="shared" ref="E1499:E1502" si="1588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4.8698984808933032E-2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4.942822424041516E-2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5.1202594923683543E-2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4.1471066085482983E-2</v>
      </c>
      <c r="J1499" s="1" cm="1">
        <f t="array" ref="J1499">SUMPRODUCT(("T_TW-BEVELC-S1"=[2]OUT_TransportEnergyCons!$A$3:$A$1000)*1,("Var_Fin"=[2]OUT_TransportEnergyCons!$B$3:$B$1000)*1,ISNUMBER(SEARCH("ELC",[2]OUT_TransportEnergyCons!$C$3:$C$1000))*1,[2]OUT_TransportEnergyCons!H$3:H$1000)</f>
        <v>1.667163588495334E-2</v>
      </c>
      <c r="K1499" s="1" cm="1">
        <f t="array" ref="K1499">SUMPRODUCT(("T_TW-BEVELC-S1"=[2]OUT_TransportEnergyCons!$A$3:$A$1000)*1,("Var_Fin"=[2]OUT_TransportEnergyCons!$B$3:$B$1000)*1,ISNUMBER(SEARCH("ELC",[2]OUT_TransportEnergyCons!$C$3:$C$1000))*1,[2]OUT_TransportEnergyCons!I$3:I$1000)</f>
        <v>9.0003514487477759E-2</v>
      </c>
      <c r="L1499" s="1" cm="1">
        <f t="array" ref="L1499">SUMPRODUCT(("T_TW-BEVELC-S1"=[2]OUT_TransportEnergyCons!$A$3:$A$1000)*1,("Var_Fin"=[2]OUT_TransportEnergyCons!$B$3:$B$1000)*1,ISNUMBER(SEARCH("ELC",[2]OUT_TransportEnergyCons!$C$3:$C$1000))*1,[2]OUT_TransportEnergyCons!J$3:J$1000)</f>
        <v>0.14858473049744655</v>
      </c>
      <c r="N1499" s="1"/>
    </row>
    <row r="1500" spans="2:14" x14ac:dyDescent="0.35">
      <c r="B1500" t="str">
        <f t="shared" si="1587"/>
        <v>SPS1</v>
      </c>
      <c r="C1500" t="str">
        <f t="shared" si="1584"/>
        <v>CH</v>
      </c>
      <c r="D1500" t="s">
        <v>1490</v>
      </c>
      <c r="E1500" t="str">
        <f t="shared" si="1588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2.1272035600823098E-3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2.6067321460687982E-3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3.6240512421855504E-3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4.4720984879947192E-3</v>
      </c>
      <c r="J1500" s="1" cm="1">
        <f t="array" ref="J1500">SUMPRODUCT(("T_TW-BEVELC-S2"=[2]OUT_TransportEnergyCons!$A$3:$A$1000)*1,("Var_Fin"=[2]OUT_TransportEnergyCons!$B$3:$B$1000)*1,ISNUMBER(SEARCH("ELC",[2]OUT_TransportEnergyCons!$C$3:$C$1000))*1,[2]OUT_TransportEnergyCons!H$3:H$1000)</f>
        <v>2.0121254767293062E-4</v>
      </c>
      <c r="K1500" s="1" cm="1">
        <f t="array" ref="K1500">SUMPRODUCT(("T_TW-BEVELC-S2"=[2]OUT_TransportEnergyCons!$A$3:$A$1000)*1,("Var_Fin"=[2]OUT_TransportEnergyCons!$B$3:$B$1000)*1,ISNUMBER(SEARCH("ELC",[2]OUT_TransportEnergyCons!$C$3:$C$1000))*1,[2]OUT_TransportEnergyCons!I$3:I$1000)</f>
        <v>1.8595343062443318E-4</v>
      </c>
      <c r="L1500" s="1" cm="1">
        <f t="array" ref="L1500">SUMPRODUCT(("T_TW-BEVELC-S2"=[2]OUT_TransportEnergyCons!$A$3:$A$1000)*1,("Var_Fin"=[2]OUT_TransportEnergyCons!$B$3:$B$1000)*1,ISNUMBER(SEARCH("ELC",[2]OUT_TransportEnergyCons!$C$3:$C$1000))*1,[2]OUT_TransportEnergyCons!J$3:J$1000)</f>
        <v>1.1339502489652054E-4</v>
      </c>
      <c r="N1500" s="1"/>
    </row>
    <row r="1501" spans="2:14" x14ac:dyDescent="0.35">
      <c r="B1501" t="str">
        <f t="shared" si="1587"/>
        <v>SPS1</v>
      </c>
      <c r="C1501" t="str">
        <f t="shared" si="1584"/>
        <v>CH</v>
      </c>
      <c r="D1501" t="s">
        <v>1492</v>
      </c>
      <c r="E1501" t="str">
        <f t="shared" si="1588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1.2194836883613141E-3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1.7422849811827615E-3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2.4387752232390967E-3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3.0676981399679732E-3</v>
      </c>
      <c r="J1501" s="1" cm="1">
        <f t="array" ref="J1501">SUMPRODUCT(("T_TW-BEVELC-S3"=[2]OUT_TransportEnergyCons!$A$3:$A$1000)*1,("Var_Fin"=[2]OUT_TransportEnergyCons!$B$3:$B$1000)*1,ISNUMBER(SEARCH("ELC",[2]OUT_TransportEnergyCons!$C$3:$C$1000))*1,[2]OUT_TransportEnergyCons!H$3:H$1000)</f>
        <v>2.3359919102726093E-4</v>
      </c>
      <c r="K1501" s="1" cm="1">
        <f t="array" ref="K1501">SUMPRODUCT(("T_TW-BEVELC-S3"=[2]OUT_TransportEnergyCons!$A$3:$A$1000)*1,("Var_Fin"=[2]OUT_TransportEnergyCons!$B$3:$B$1000)*1,ISNUMBER(SEARCH("ELC",[2]OUT_TransportEnergyCons!$C$3:$C$1000))*1,[2]OUT_TransportEnergyCons!I$3:I$1000)</f>
        <v>1.7941953826297735E-4</v>
      </c>
      <c r="L1501" s="1" cm="1">
        <f t="array" ref="L1501">SUMPRODUCT(("T_TW-BEVELC-S3"=[2]OUT_TransportEnergyCons!$A$3:$A$1000)*1,("Var_Fin"=[2]OUT_TransportEnergyCons!$B$3:$B$1000)*1,ISNUMBER(SEARCH("ELC",[2]OUT_TransportEnergyCons!$C$3:$C$1000))*1,[2]OUT_TransportEnergyCons!J$3:J$1000)</f>
        <v>8.8970818953875035E-5</v>
      </c>
      <c r="N1501" s="1"/>
    </row>
    <row r="1502" spans="2:14" x14ac:dyDescent="0.35">
      <c r="B1502" t="str">
        <f t="shared" si="1587"/>
        <v>SPS1</v>
      </c>
      <c r="C1502" t="str">
        <f t="shared" si="1584"/>
        <v>CH</v>
      </c>
      <c r="D1502" t="s">
        <v>1491</v>
      </c>
      <c r="E1502" t="str">
        <f t="shared" si="1588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1.4855679055475442E-3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2.1181164856155111E-3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2.953124776114585E-3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3.5526627192261728E-3</v>
      </c>
      <c r="J1502" s="1" cm="1">
        <f t="array" ref="J1502">SUMPRODUCT(("T_TW-BEVELC-S4"=[2]OUT_TransportEnergyCons!$A$3:$A$1000)*1,("Var_Fin"=[2]OUT_TransportEnergyCons!$B$3:$B$1000)*1,ISNUMBER(SEARCH("ELC",[2]OUT_TransportEnergyCons!$C$3:$C$1000))*1,[2]OUT_TransportEnergyCons!H$3:H$1000)</f>
        <v>1.9385209501111191E-4</v>
      </c>
      <c r="K1502" s="1" cm="1">
        <f t="array" ref="K1502">SUMPRODUCT(("T_TW-BEVELC-S4"=[2]OUT_TransportEnergyCons!$A$3:$A$1000)*1,("Var_Fin"=[2]OUT_TransportEnergyCons!$B$3:$B$1000)*1,ISNUMBER(SEARCH("ELC",[2]OUT_TransportEnergyCons!$C$3:$C$1000))*1,[2]OUT_TransportEnergyCons!I$3:I$1000)</f>
        <v>2.3159524440729271E-4</v>
      </c>
      <c r="L1502" s="1" cm="1">
        <f t="array" ref="L1502">SUMPRODUCT(("T_TW-BEVELC-S4"=[2]OUT_TransportEnergyCons!$A$3:$A$1000)*1,("Var_Fin"=[2]OUT_TransportEnergyCons!$B$3:$B$1000)*1,ISNUMBER(SEARCH("ELC",[2]OUT_TransportEnergyCons!$C$3:$C$1000))*1,[2]OUT_TransportEnergyCons!J$3:J$1000)</f>
        <v>1.4016713522950873E-4</v>
      </c>
      <c r="N1502" s="1"/>
    </row>
    <row r="1503" spans="2:14" x14ac:dyDescent="0.35">
      <c r="B1503" s="5" t="str">
        <f>B1502</f>
        <v>SPS1</v>
      </c>
      <c r="C1503" t="str">
        <f t="shared" ref="C1503:C1507" si="1589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590">SUM(G1504:G1507)</f>
        <v>0</v>
      </c>
      <c r="H1503" s="1">
        <f t="shared" si="1590"/>
        <v>0</v>
      </c>
      <c r="I1503" s="1">
        <f t="shared" si="1590"/>
        <v>2.3064511871819589E-3</v>
      </c>
      <c r="J1503" s="1">
        <f t="shared" si="1590"/>
        <v>2.3097217437447726E-4</v>
      </c>
      <c r="K1503" s="1">
        <f t="shared" si="1590"/>
        <v>2.9343661032958087E-4</v>
      </c>
      <c r="L1503" s="1">
        <f t="shared" ref="L1503" si="1591">SUM(L1504:L1507)</f>
        <v>2.5194505337929361E-4</v>
      </c>
      <c r="N1503" s="1"/>
    </row>
    <row r="1504" spans="2:14" x14ac:dyDescent="0.35">
      <c r="B1504" t="str">
        <f t="shared" ref="B1504:B1507" si="1592">B1503</f>
        <v>SPS1</v>
      </c>
      <c r="C1504" t="str">
        <f t="shared" si="1589"/>
        <v>CH</v>
      </c>
      <c r="D1504" t="s">
        <v>1494</v>
      </c>
      <c r="E1504" t="str">
        <f t="shared" ref="E1504:E1507" si="1593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8.1219045891896594E-4</v>
      </c>
      <c r="J1504" s="1" cm="1">
        <f t="array" ref="J1504">SUMPRODUCT(("T_TW-fclh2o-S1"=[2]OUT_TransportEnergyCons!$A$3:$A$1000)*1,("Var_Fin"=[2]OUT_TransportEnergyCons!$B$3:$B$1000)*1,ISNUMBER(SEARCH("h2",[2]OUT_TransportEnergyCons!$C$3:$C$1000))*1,[2]OUT_TransportEnergyCons!H$3:H$1000)</f>
        <v>9.6221583096411161E-5</v>
      </c>
      <c r="K1504" s="1" cm="1">
        <f t="array" ref="K1504">SUMPRODUCT(("T_TW-fclh2o-S1"=[2]OUT_TransportEnergyCons!$A$3:$A$1000)*1,("Var_Fin"=[2]OUT_TransportEnergyCons!$B$3:$B$1000)*1,ISNUMBER(SEARCH("h2",[2]OUT_TransportEnergyCons!$C$3:$C$1000))*1,[2]OUT_TransportEnergyCons!I$3:I$1000)</f>
        <v>1.1288210116598102E-4</v>
      </c>
      <c r="L1504" s="1" cm="1">
        <f t="array" ref="L1504">SUMPRODUCT(("T_TW-fclh2o-S1"=[2]OUT_TransportEnergyCons!$A$3:$A$1000)*1,("Var_Fin"=[2]OUT_TransportEnergyCons!$B$3:$B$1000)*1,ISNUMBER(SEARCH("h2",[2]OUT_TransportEnergyCons!$C$3:$C$1000))*1,[2]OUT_TransportEnergyCons!J$3:J$1000)</f>
        <v>8.5316212817805677E-5</v>
      </c>
      <c r="N1504" s="1"/>
    </row>
    <row r="1505" spans="2:14" x14ac:dyDescent="0.35">
      <c r="B1505" t="str">
        <f t="shared" si="1592"/>
        <v>SPS1</v>
      </c>
      <c r="C1505" t="str">
        <f t="shared" si="1589"/>
        <v>CH</v>
      </c>
      <c r="D1505" t="s">
        <v>1495</v>
      </c>
      <c r="E1505" t="str">
        <f t="shared" si="1593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6.2803617800122693E-4</v>
      </c>
      <c r="J1505" s="1" cm="1">
        <f t="array" ref="J1505">SUMPRODUCT(("T_TW-fclh2o-S2"=[2]OUT_TransportEnergyCons!$A$3:$A$1000)*1,("Var_Fin"=[2]OUT_TransportEnergyCons!$B$3:$B$1000)*1,ISNUMBER(SEARCH("h2",[2]OUT_TransportEnergyCons!$C$3:$C$1000))*1,[2]OUT_TransportEnergyCons!H$3:H$1000)</f>
        <v>6.5440731625036931E-5</v>
      </c>
      <c r="K1505" s="1" cm="1">
        <f t="array" ref="K1505">SUMPRODUCT(("T_TW-fclh2o-S2"=[2]OUT_TransportEnergyCons!$A$3:$A$1000)*1,("Var_Fin"=[2]OUT_TransportEnergyCons!$B$3:$B$1000)*1,ISNUMBER(SEARCH("h2",[2]OUT_TransportEnergyCons!$C$3:$C$1000))*1,[2]OUT_TransportEnergyCons!I$3:I$1000)</f>
        <v>8.1299376804879096E-5</v>
      </c>
      <c r="L1505" s="1" cm="1">
        <f t="array" ref="L1505">SUMPRODUCT(("T_TW-fclh2o-S2"=[2]OUT_TransportEnergyCons!$A$3:$A$1000)*1,("Var_Fin"=[2]OUT_TransportEnergyCons!$B$3:$B$1000)*1,ISNUMBER(SEARCH("h2",[2]OUT_TransportEnergyCons!$C$3:$C$1000))*1,[2]OUT_TransportEnergyCons!J$3:J$1000)</f>
        <v>5.9363423357453438E-5</v>
      </c>
      <c r="N1505" s="1"/>
    </row>
    <row r="1506" spans="2:14" x14ac:dyDescent="0.35">
      <c r="B1506" t="str">
        <f t="shared" si="1592"/>
        <v>SPS1</v>
      </c>
      <c r="C1506" t="str">
        <f t="shared" si="1589"/>
        <v>CH</v>
      </c>
      <c r="D1506" t="s">
        <v>1496</v>
      </c>
      <c r="E1506" t="str">
        <f t="shared" si="1593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5.4587298937679737E-4</v>
      </c>
      <c r="J1506" s="1" cm="1">
        <f t="array" ref="J1506">SUMPRODUCT(("T_TW-fclh2o-S3"=[2]OUT_TransportEnergyCons!$A$3:$A$1000)*1,("Var_Fin"=[2]OUT_TransportEnergyCons!$B$3:$B$1000)*1,ISNUMBER(SEARCH("h2",[2]OUT_TransportEnergyCons!$C$3:$C$1000))*1,[2]OUT_TransportEnergyCons!H$3:H$1000)</f>
        <v>4.4842411530568915E-5</v>
      </c>
      <c r="K1506" s="1" cm="1">
        <f t="array" ref="K1506">SUMPRODUCT(("T_TW-fclh2o-S3"=[2]OUT_TransportEnergyCons!$A$3:$A$1000)*1,("Var_Fin"=[2]OUT_TransportEnergyCons!$B$3:$B$1000)*1,ISNUMBER(SEARCH("h2",[2]OUT_TransportEnergyCons!$C$3:$C$1000))*1,[2]OUT_TransportEnergyCons!I$3:I$1000)</f>
        <v>6.3102124409907865E-5</v>
      </c>
      <c r="L1506" s="1" cm="1">
        <f t="array" ref="L1506">SUMPRODUCT(("T_TW-fclh2o-S3"=[2]OUT_TransportEnergyCons!$A$3:$A$1000)*1,("Var_Fin"=[2]OUT_TransportEnergyCons!$B$3:$B$1000)*1,ISNUMBER(SEARCH("h2",[2]OUT_TransportEnergyCons!$C$3:$C$1000))*1,[2]OUT_TransportEnergyCons!J$3:J$1000)</f>
        <v>6.2801585469844233E-5</v>
      </c>
      <c r="N1506" s="1"/>
    </row>
    <row r="1507" spans="2:14" x14ac:dyDescent="0.35">
      <c r="B1507" t="str">
        <f t="shared" si="1592"/>
        <v>SPS1</v>
      </c>
      <c r="C1507" t="str">
        <f t="shared" si="1589"/>
        <v>CH</v>
      </c>
      <c r="D1507" t="s">
        <v>1497</v>
      </c>
      <c r="E1507" t="str">
        <f t="shared" si="1593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3.2035156088496865E-4</v>
      </c>
      <c r="J1507" s="1" cm="1">
        <f t="array" ref="J1507">SUMPRODUCT(("T_TW-fclh2o-S4"=[2]OUT_TransportEnergyCons!$A$3:$A$1000)*1,("Var_Fin"=[2]OUT_TransportEnergyCons!$B$3:$B$1000)*1,ISNUMBER(SEARCH("h2",[2]OUT_TransportEnergyCons!$C$3:$C$1000))*1,[2]OUT_TransportEnergyCons!H$3:H$1000)</f>
        <v>2.4467448122460253E-5</v>
      </c>
      <c r="K1507" s="1" cm="1">
        <f t="array" ref="K1507">SUMPRODUCT(("T_TW-fclh2o-S4"=[2]OUT_TransportEnergyCons!$A$3:$A$1000)*1,("Var_Fin"=[2]OUT_TransportEnergyCons!$B$3:$B$1000)*1,ISNUMBER(SEARCH("h2",[2]OUT_TransportEnergyCons!$C$3:$C$1000))*1,[2]OUT_TransportEnergyCons!I$3:I$1000)</f>
        <v>3.615300794881285E-5</v>
      </c>
      <c r="L1507" s="1" cm="1">
        <f t="array" ref="L1507">SUMPRODUCT(("T_TW-fclh2o-S4"=[2]OUT_TransportEnergyCons!$A$3:$A$1000)*1,("Var_Fin"=[2]OUT_TransportEnergyCons!$B$3:$B$1000)*1,ISNUMBER(SEARCH("h2",[2]OUT_TransportEnergyCons!$C$3:$C$1000))*1,[2]OUT_TransportEnergyCons!J$3:J$1000)</f>
        <v>4.446383173419026E-5</v>
      </c>
      <c r="N1507" s="1"/>
    </row>
    <row r="1508" spans="2:14" x14ac:dyDescent="0.35">
      <c r="B1508" s="5" t="str">
        <f>B1507</f>
        <v>SPS1</v>
      </c>
      <c r="C1508" t="str">
        <f t="shared" ref="C1508:C1518" si="1594">C1507</f>
        <v>CH</v>
      </c>
      <c r="D1508" t="s">
        <v>1498</v>
      </c>
      <c r="E1508" t="str">
        <f>E1507</f>
        <v>PJ/yr.</v>
      </c>
      <c r="F1508" s="1">
        <f>SUM(F1513:F1517)</f>
        <v>1.7137784366780173</v>
      </c>
      <c r="G1508" s="1">
        <f t="shared" ref="G1508:K1508" si="1595">SUM(G1513:G1517)</f>
        <v>1.6327145691796365</v>
      </c>
      <c r="H1508" s="1">
        <f t="shared" si="1595"/>
        <v>1.338843534298124</v>
      </c>
      <c r="I1508" s="1">
        <f t="shared" si="1595"/>
        <v>1.0662240645766814</v>
      </c>
      <c r="J1508" s="1">
        <f t="shared" si="1595"/>
        <v>0.88945671984129171</v>
      </c>
      <c r="K1508" s="1">
        <f t="shared" si="1595"/>
        <v>0.45079311001312578</v>
      </c>
      <c r="L1508" s="1">
        <f t="shared" ref="L1508" si="1596">SUM(L1513:L1517)</f>
        <v>7.1791013024755684E-2</v>
      </c>
      <c r="N1508" s="1"/>
    </row>
    <row r="1509" spans="2:14" x14ac:dyDescent="0.3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1.6199651902299987</v>
      </c>
      <c r="G1509" s="1">
        <f t="shared" ref="G1509:L1509" si="1597">IF(G1508-G1510&lt;0,0,G1508-G1510)</f>
        <v>1.5433232945930579</v>
      </c>
      <c r="H1509" s="1">
        <f t="shared" si="1597"/>
        <v>1.2655373927250293</v>
      </c>
      <c r="I1509" s="1">
        <f t="shared" si="1597"/>
        <v>0.9728961373625129</v>
      </c>
      <c r="J1509" s="1">
        <f t="shared" si="1597"/>
        <v>0.8220412360579531</v>
      </c>
      <c r="K1509" s="1">
        <f t="shared" si="1597"/>
        <v>0.23313844023718733</v>
      </c>
      <c r="L1509" s="1">
        <f t="shared" si="1597"/>
        <v>0</v>
      </c>
      <c r="N1509" s="1"/>
    </row>
    <row r="1510" spans="2:14" x14ac:dyDescent="0.35">
      <c r="B1510" s="5" t="str">
        <f t="shared" ref="B1510:B1512" si="1598">B1509</f>
        <v>SPS1</v>
      </c>
      <c r="C1510" s="5" t="str">
        <f t="shared" ref="C1510:C1512" si="1599">C1509</f>
        <v>CH</v>
      </c>
      <c r="D1510" t="s">
        <v>1500</v>
      </c>
      <c r="E1510" t="str">
        <f>E1509</f>
        <v>PJ/yr.</v>
      </c>
      <c r="F1510" s="1">
        <f>SUM(F1511:F1512)</f>
        <v>9.3813246448018542E-2</v>
      </c>
      <c r="G1510" s="1">
        <f t="shared" ref="G1510" si="1600">SUM(G1511:G1512)</f>
        <v>8.9391274586578695E-2</v>
      </c>
      <c r="H1510" s="1">
        <f t="shared" ref="H1510" si="1601">SUM(H1511:H1512)</f>
        <v>7.3306141573094702E-2</v>
      </c>
      <c r="I1510" s="1">
        <f t="shared" ref="I1510" si="1602">SUM(I1511:I1512)</f>
        <v>9.3327927214168493E-2</v>
      </c>
      <c r="J1510" s="1">
        <f t="shared" ref="J1510" si="1603">SUM(J1511:J1512)</f>
        <v>6.7415483783338587E-2</v>
      </c>
      <c r="K1510" s="1">
        <f t="shared" ref="K1510:L1510" si="1604">SUM(K1511:K1512)</f>
        <v>0.21765466977593845</v>
      </c>
      <c r="L1510" s="1">
        <f t="shared" si="1604"/>
        <v>7.2755437297728071E-2</v>
      </c>
      <c r="N1510" s="1"/>
    </row>
    <row r="1511" spans="2:14" x14ac:dyDescent="0.35">
      <c r="B1511" s="5" t="str">
        <f t="shared" si="1598"/>
        <v>SPS1</v>
      </c>
      <c r="C1511" s="5" t="str">
        <f t="shared" si="1599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9.3813246448018542E-2</v>
      </c>
      <c r="G1511" s="1">
        <f>[1]Transport!C$25/SUM([1]Transport!C$21,[1]Transport!C$25)*G1508*(G$35+G$600)/(G$35+G$600+G$39)</f>
        <v>8.9391274586578695E-2</v>
      </c>
      <c r="H1511" s="1">
        <f>[1]Transport!D$25/SUM([1]Transport!D$21,[1]Transport!D$25)*H1508*(H$35+H$600)/(H$35+H$600+H$39)</f>
        <v>7.3306141573094702E-2</v>
      </c>
      <c r="I1511" s="1">
        <f>[1]Transport!E$25/SUM([1]Transport!E$21,[1]Transport!E$25)*I1508*(I$35+I$600)/(I$35+I$600+I$39)</f>
        <v>9.3327927214168493E-2</v>
      </c>
      <c r="J1511" s="1">
        <f>[2]Transport!F$25/SUM([2]Transport!F$21,[2]Transport!F$25)*J1508*(J$35+J$600)/(J$35+J$600+J$39)</f>
        <v>6.7415483783338587E-2</v>
      </c>
      <c r="K1511" s="1">
        <f>[2]Transport!G$25/SUM([2]Transport!G$21,[2]Transport!G$25)*K1508*(K$35+K$600)/(K$35+K$600+K$39)</f>
        <v>9.2864097098032977E-2</v>
      </c>
      <c r="L1511" s="1">
        <f>[2]Transport!H$25/SUM([2]Transport!H$21,[2]Transport!H$25)*L1508*(L$35+L$600)/(L$35+L$600+L$39)</f>
        <v>7.1363411061888459E-3</v>
      </c>
      <c r="N1511" s="1"/>
    </row>
    <row r="1512" spans="2:14" x14ac:dyDescent="0.35">
      <c r="B1512" s="5" t="str">
        <f t="shared" si="1598"/>
        <v>SPS1</v>
      </c>
      <c r="C1512" s="5" t="str">
        <f t="shared" si="1599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(J$39+J$719)/([2]Transport!F$21+[2]Transport!F$25)*J1508</f>
        <v>0</v>
      </c>
      <c r="K1512" s="1">
        <f>(K$39+K$719)/([2]Transport!G$21+[2]Transport!G$25)*K1508</f>
        <v>0.12479057267790546</v>
      </c>
      <c r="L1512" s="1">
        <f>(L$39+L$719)/([2]Transport!H$21+[2]Transport!H$25)*L1508</f>
        <v>6.5619096191539231E-2</v>
      </c>
      <c r="N1512" s="1"/>
    </row>
    <row r="1513" spans="2:14" x14ac:dyDescent="0.3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1.5034577526940216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1.3993528568502263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0.95100728170549897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0.45032624190783321</v>
      </c>
      <c r="J1513" s="1" cm="1">
        <f t="array" ref="J1513">SUMPRODUCT(("T_TW-ICEGSLEXT"=[2]OUT_TransportEnergyCons!$A$3:$A$1000)*1,("Var_Fin"=[2]OUT_TransportEnergyCons!$B$3:$B$1000)*1,ISNUMBER(SEARCH("gsl",[2]OUT_TransportEnergyCons!$C$3:$C$1000))*1,[2]OUT_TransportEnergyCons!H$3:H$1000)</f>
        <v>0</v>
      </c>
      <c r="K1513" s="1" cm="1">
        <f t="array" ref="K1513">SUMPRODUCT(("T_TW-ICEGSLEXT"=[2]OUT_TransportEnergyCons!$A$3:$A$1000)*1,("Var_Fin"=[2]OUT_TransportEnergyCons!$B$3:$B$1000)*1,ISNUMBER(SEARCH("gsl",[2]OUT_TransportEnergyCons!$C$3:$C$1000))*1,[2]OUT_TransportEnergyCons!I$3:I$1000)</f>
        <v>0</v>
      </c>
      <c r="L1513" s="1" cm="1">
        <f t="array" ref="L1513">SUMPRODUCT(("T_TW-ICEGSLEXT"=[2]OUT_TransportEnergyCons!$A$3:$A$1000)*1,("Var_Fin"=[2]OUT_TransportEnergyCons!$B$3:$B$1000)*1,ISNUMBER(SEARCH("gsl",[2]OUT_TransportEnergyCons!$C$3:$C$1000))*1,[2]OUT_TransportEnergyCons!J$3:J$1000)</f>
        <v>0</v>
      </c>
      <c r="N1513" s="1"/>
    </row>
    <row r="1514" spans="2:14" x14ac:dyDescent="0.3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4.4268769470676712E-2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5.1343415091344866E-2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0.20711825554375268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0.46138850621444927</v>
      </c>
      <c r="J1514" s="1" cm="1">
        <f t="array" ref="J1514">SUMPRODUCT(("T_TW-icegsl-S1"=[2]OUT_TransportEnergyCons!$A$3:$A$1000)*1,("Var_Fin"=[2]OUT_TransportEnergyCons!$B$3:$B$1000)*1,ISNUMBER(SEARCH("gsl",[2]OUT_TransportEnergyCons!$C$3:$C$1000))*1,[2]OUT_TransportEnergyCons!H$3:H$1000)</f>
        <v>0.86341048212163918</v>
      </c>
      <c r="K1514" s="1" cm="1">
        <f t="array" ref="K1514">SUMPRODUCT(("T_TW-icegsl-S1"=[2]OUT_TransportEnergyCons!$A$3:$A$1000)*1,("Var_Fin"=[2]OUT_TransportEnergyCons!$B$3:$B$1000)*1,ISNUMBER(SEARCH("gsl",[2]OUT_TransportEnergyCons!$C$3:$C$1000))*1,[2]OUT_TransportEnergyCons!I$3:I$1000)</f>
        <v>0.44683049039103429</v>
      </c>
      <c r="L1514" s="1" cm="1">
        <f t="array" ref="L1514">SUMPRODUCT(("T_TW-icegsl-S1"=[2]OUT_TransportEnergyCons!$A$3:$A$1000)*1,("Var_Fin"=[2]OUT_TransportEnergyCons!$B$3:$B$1000)*1,ISNUMBER(SEARCH("gsl",[2]OUT_TransportEnergyCons!$C$3:$C$1000))*1,[2]OUT_TransportEnergyCons!J$3:J$1000)</f>
        <v>7.1062870090292649E-2</v>
      </c>
      <c r="N1514" s="1"/>
    </row>
    <row r="1515" spans="2:14" x14ac:dyDescent="0.35">
      <c r="B1515" t="str">
        <f t="shared" ref="B1515:B1518" si="1605">B1514</f>
        <v>SPS1</v>
      </c>
      <c r="C1515" t="str">
        <f t="shared" si="1594"/>
        <v>CH</v>
      </c>
      <c r="D1515" t="s">
        <v>1579</v>
      </c>
      <c r="E1515" t="str">
        <f t="shared" ref="E1515:E1517" si="1606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6.145590524945109E-2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0.11143230966824884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0.1061019899704676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8.3190461529502047E-2</v>
      </c>
      <c r="J1515" s="1" cm="1">
        <f t="array" ref="J1515">SUMPRODUCT(("T_TW-icegsl-S2"=[2]OUT_TransportEnergyCons!$A$3:$A$1000)*1,("Var_Fin"=[2]OUT_TransportEnergyCons!$B$3:$B$1000)*1,ISNUMBER(SEARCH("gsl",[2]OUT_TransportEnergyCons!$C$3:$C$1000))*1,[2]OUT_TransportEnergyCons!H$3:H$1000)</f>
        <v>9.9249757327101902E-3</v>
      </c>
      <c r="K1515" s="1" cm="1">
        <f t="array" ref="K1515">SUMPRODUCT(("T_TW-icegsl-S2"=[2]OUT_TransportEnergyCons!$A$3:$A$1000)*1,("Var_Fin"=[2]OUT_TransportEnergyCons!$B$3:$B$1000)*1,ISNUMBER(SEARCH("gsl",[2]OUT_TransportEnergyCons!$C$3:$C$1000))*1,[2]OUT_TransportEnergyCons!I$3:I$1000)</f>
        <v>3.1880947638162607E-4</v>
      </c>
      <c r="L1515" s="1" cm="1">
        <f t="array" ref="L1515">SUMPRODUCT(("T_TW-icegsl-S2"=[2]OUT_TransportEnergyCons!$A$3:$A$1000)*1,("Var_Fin"=[2]OUT_TransportEnergyCons!$B$3:$B$1000)*1,ISNUMBER(SEARCH("gsl",[2]OUT_TransportEnergyCons!$C$3:$C$1000))*1,[2]OUT_TransportEnergyCons!J$3:J$1000)</f>
        <v>1.8446365153470981E-4</v>
      </c>
      <c r="N1515" s="1"/>
    </row>
    <row r="1516" spans="2:14" x14ac:dyDescent="0.35">
      <c r="B1516" t="str">
        <f t="shared" si="1605"/>
        <v>SPS1</v>
      </c>
      <c r="C1516" t="str">
        <f t="shared" si="1594"/>
        <v>CH</v>
      </c>
      <c r="D1516" t="s">
        <v>1580</v>
      </c>
      <c r="E1516" t="str">
        <f t="shared" si="1606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6.3070391163161738E-2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3.7843630132540322E-2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3.9871303983414819E-2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3.8310739962242629E-2</v>
      </c>
      <c r="J1516" s="1" cm="1">
        <f t="array" ref="J1516">SUMPRODUCT(("T_TW-icegsl-S3"=[2]OUT_TransportEnergyCons!$A$3:$A$1000)*1,("Var_Fin"=[2]OUT_TransportEnergyCons!$B$3:$B$1000)*1,ISNUMBER(SEARCH("gsl",[2]OUT_TransportEnergyCons!$C$3:$C$1000))*1,[2]OUT_TransportEnergyCons!H$3:H$1000)</f>
        <v>1.3477393982730892E-2</v>
      </c>
      <c r="K1516" s="1" cm="1">
        <f t="array" ref="K1516">SUMPRODUCT(("T_TW-icegsl-S3"=[2]OUT_TransportEnergyCons!$A$3:$A$1000)*1,("Var_Fin"=[2]OUT_TransportEnergyCons!$B$3:$B$1000)*1,ISNUMBER(SEARCH("gsl",[2]OUT_TransportEnergyCons!$C$3:$C$1000))*1,[2]OUT_TransportEnergyCons!I$3:I$1000)</f>
        <v>1.4741987233293885E-3</v>
      </c>
      <c r="L1516" s="1" cm="1">
        <f t="array" ref="L1516">SUMPRODUCT(("T_TW-icegsl-S3"=[2]OUT_TransportEnergyCons!$A$3:$A$1000)*1,("Var_Fin"=[2]OUT_TransportEnergyCons!$B$3:$B$1000)*1,ISNUMBER(SEARCH("gsl",[2]OUT_TransportEnergyCons!$C$3:$C$1000))*1,[2]OUT_TransportEnergyCons!J$3:J$1000)</f>
        <v>1.7943579090166732E-4</v>
      </c>
      <c r="N1516" s="1"/>
    </row>
    <row r="1517" spans="2:14" x14ac:dyDescent="0.35">
      <c r="B1517" t="str">
        <f t="shared" si="1605"/>
        <v>SPS1</v>
      </c>
      <c r="C1517" t="str">
        <f t="shared" si="1594"/>
        <v>CH</v>
      </c>
      <c r="D1517" t="s">
        <v>1581</v>
      </c>
      <c r="E1517" t="str">
        <f t="shared" si="1606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4.1525618100706159E-2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3.2742357437276597E-2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3.4744703094989879E-2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3.3008114962654225E-2</v>
      </c>
      <c r="J1517" s="1" cm="1">
        <f t="array" ref="J1517">SUMPRODUCT(("T_TW-icegsl-S4"=[2]OUT_TransportEnergyCons!$A$3:$A$1000)*1,("Var_Fin"=[2]OUT_TransportEnergyCons!$B$3:$B$1000)*1,ISNUMBER(SEARCH("gsl",[2]OUT_TransportEnergyCons!$C$3:$C$1000))*1,[2]OUT_TransportEnergyCons!H$3:H$1000)</f>
        <v>2.6438680042115089E-3</v>
      </c>
      <c r="K1517" s="1" cm="1">
        <f t="array" ref="K1517">SUMPRODUCT(("T_TW-icegsl-S4"=[2]OUT_TransportEnergyCons!$A$3:$A$1000)*1,("Var_Fin"=[2]OUT_TransportEnergyCons!$B$3:$B$1000)*1,ISNUMBER(SEARCH("gsl",[2]OUT_TransportEnergyCons!$C$3:$C$1000))*1,[2]OUT_TransportEnergyCons!I$3:I$1000)</f>
        <v>2.169611422380468E-3</v>
      </c>
      <c r="L1517" s="1" cm="1">
        <f t="array" ref="L1517">SUMPRODUCT(("T_TW-icegsl-S4"=[2]OUT_TransportEnergyCons!$A$3:$A$1000)*1,("Var_Fin"=[2]OUT_TransportEnergyCons!$B$3:$B$1000)*1,ISNUMBER(SEARCH("gsl",[2]OUT_TransportEnergyCons!$C$3:$C$1000))*1,[2]OUT_TransportEnergyCons!J$3:J$1000)</f>
        <v>3.6424349202665183E-4</v>
      </c>
      <c r="N1517" s="1"/>
    </row>
    <row r="1518" spans="2:14" x14ac:dyDescent="0.35">
      <c r="B1518" s="9" t="str">
        <f t="shared" si="1605"/>
        <v>SPS1</v>
      </c>
      <c r="C1518" s="9" t="str">
        <f t="shared" si="1594"/>
        <v>CH</v>
      </c>
      <c r="D1518" s="2" t="s">
        <v>1503</v>
      </c>
      <c r="E1518" s="2" t="s">
        <v>1517</v>
      </c>
      <c r="F1518" s="3">
        <f>SUM(F1519:F1531)</f>
        <v>1.9501694875254265</v>
      </c>
      <c r="G1518" s="3">
        <f t="shared" ref="G1518:K1518" si="1607">SUM(G1519:G1531)</f>
        <v>1.9527583401184743</v>
      </c>
      <c r="H1518" s="3">
        <f t="shared" si="1607"/>
        <v>1.9565750272708715</v>
      </c>
      <c r="I1518" s="3">
        <f t="shared" si="1607"/>
        <v>1.9627660231508688</v>
      </c>
      <c r="J1518" s="3">
        <f t="shared" si="1607"/>
        <v>1.9641955322835667</v>
      </c>
      <c r="K1518" s="3">
        <f t="shared" si="1607"/>
        <v>1.964315565377778</v>
      </c>
      <c r="L1518" s="3">
        <f t="shared" ref="L1518" si="1608">SUM(L1519:L1531)</f>
        <v>1.9106801859738167</v>
      </c>
      <c r="N1518" s="1"/>
    </row>
    <row r="1519" spans="2:14" x14ac:dyDescent="0.3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0.54050647797387796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0.54862858828878802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0.56858514821931994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0.46160471045413137</v>
      </c>
      <c r="J1519" s="1" cm="1">
        <f t="array" ref="J1519">SUMPRODUCT(("T_TW-BEVELC-S1"=[2]OUT_TransportEnergyCons!$A$3:$A$1000)*1,("var_fout"=[2]OUT_TransportEnergyCons!$B$3:$B$1000)*1,ISNUMBER(SEARCH("TPTWL",[2]OUT_TransportEnergyCons!$C$3:$C$1000))*1,[2]OUT_TransportEnergyCons!H$3:H$1000)</f>
        <v>0.19196583954945232</v>
      </c>
      <c r="K1519" s="1" cm="1">
        <f t="array" ref="K1519">SUMPRODUCT(("T_TW-BEVELC-S1"=[2]OUT_TransportEnergyCons!$A$3:$A$1000)*1,("var_fout"=[2]OUT_TransportEnergyCons!$B$3:$B$1000)*1,ISNUMBER(SEARCH("TPTWL",[2]OUT_TransportEnergyCons!$C$3:$C$1000))*1,[2]OUT_TransportEnergyCons!I$3:I$1000)</f>
        <v>1.0462152567861935</v>
      </c>
      <c r="L1519" s="1" cm="1">
        <f t="array" ref="L1519">SUMPRODUCT(("T_TW-BEVELC-S1"=[2]OUT_TransportEnergyCons!$A$3:$A$1000)*1,("var_fout"=[2]OUT_TransportEnergyCons!$B$3:$B$1000)*1,ISNUMBER(SEARCH("TPTWL",[2]OUT_TransportEnergyCons!$C$3:$C$1000))*1,[2]OUT_TransportEnergyCons!J$3:J$1000)</f>
        <v>1.7619572100262864</v>
      </c>
      <c r="N1519" s="1"/>
    </row>
    <row r="1520" spans="2:14" x14ac:dyDescent="0.35">
      <c r="B1520" t="str">
        <f t="shared" ref="B1520:B1545" si="1609">B1519</f>
        <v>SPS1</v>
      </c>
      <c r="C1520" t="str">
        <f t="shared" ref="C1520:C1545" si="1610">C1519</f>
        <v>CH</v>
      </c>
      <c r="D1520" t="s">
        <v>1505</v>
      </c>
      <c r="E1520" t="str">
        <f t="shared" ref="E1520:E1531" si="1611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1.3368462598261462E-2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1.6397320649146396E-2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2.2879655784238711E-2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2.836386352908386E-2</v>
      </c>
      <c r="J1520" s="1" cm="1">
        <f t="array" ref="J1520">SUMPRODUCT(("T_TW-BEVELC-S2"=[2]OUT_TransportEnergyCons!$A$3:$A$1000)*1,("var_fout"=[2]OUT_TransportEnergyCons!$B$3:$B$1000)*1,ISNUMBER(SEARCH("TPTWL",[2]OUT_TransportEnergyCons!$C$3:$C$1000))*1,[2]OUT_TransportEnergyCons!H$3:H$1000)</f>
        <v>1.2998687600664217E-3</v>
      </c>
      <c r="K1520" s="1" cm="1">
        <f t="array" ref="K1520">SUMPRODUCT(("T_TW-BEVELC-S2"=[2]OUT_TransportEnergyCons!$A$3:$A$1000)*1,("var_fout"=[2]OUT_TransportEnergyCons!$B$3:$B$1000)*1,ISNUMBER(SEARCH("TPTWL",[2]OUT_TransportEnergyCons!$C$3:$C$1000))*1,[2]OUT_TransportEnergyCons!I$3:I$1000)</f>
        <v>1.2155884499221693E-3</v>
      </c>
      <c r="L1520" s="1" cm="1">
        <f t="array" ref="L1520">SUMPRODUCT(("T_TW-BEVELC-S2"=[2]OUT_TransportEnergyCons!$A$3:$A$1000)*1,("var_fout"=[2]OUT_TransportEnergyCons!$B$3:$B$1000)*1,ISNUMBER(SEARCH("TPTWL",[2]OUT_TransportEnergyCons!$C$3:$C$1000))*1,[2]OUT_TransportEnergyCons!J$3:J$1000)</f>
        <v>7.5228329663792025E-4</v>
      </c>
      <c r="N1520" s="1"/>
    </row>
    <row r="1521" spans="2:14" x14ac:dyDescent="0.35">
      <c r="B1521" t="str">
        <f t="shared" si="1609"/>
        <v>SPS1</v>
      </c>
      <c r="C1521" t="str">
        <f t="shared" si="1610"/>
        <v>CH</v>
      </c>
      <c r="D1521" t="s">
        <v>1506</v>
      </c>
      <c r="E1521" t="str">
        <f t="shared" si="1611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4.987863005171427E-3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7.1392395998651579E-3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1.0034723067299257E-2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1.269072375890113E-2</v>
      </c>
      <c r="J1521" s="1" cm="1">
        <f t="array" ref="J1521">SUMPRODUCT(("T_TW-BEVELC-S3"=[2]OUT_TransportEnergyCons!$A$3:$A$1000)*1,("var_fout"=[2]OUT_TransportEnergyCons!$B$3:$B$1000)*1,ISNUMBER(SEARCH("TPTWL",[2]OUT_TransportEnergyCons!$C$3:$C$1000))*1,[2]OUT_TransportEnergyCons!H$3:H$1000)</f>
        <v>9.6836533825098636E-4</v>
      </c>
      <c r="K1521" s="1" cm="1">
        <f t="array" ref="K1521">SUMPRODUCT(("T_TW-BEVELC-S3"=[2]OUT_TransportEnergyCons!$A$3:$A$1000)*1,("var_fout"=[2]OUT_TransportEnergyCons!$B$3:$B$1000)*1,ISNUMBER(SEARCH("TPTWL",[2]OUT_TransportEnergyCons!$C$3:$C$1000))*1,[2]OUT_TransportEnergyCons!I$3:I$1000)</f>
        <v>7.5351305008988475E-4</v>
      </c>
      <c r="L1521" s="1" cm="1">
        <f t="array" ref="L1521">SUMPRODUCT(("T_TW-BEVELC-S3"=[2]OUT_TransportEnergyCons!$A$3:$A$1000)*1,("var_fout"=[2]OUT_TransportEnergyCons!$B$3:$B$1000)*1,ISNUMBER(SEARCH("TPTWL",[2]OUT_TransportEnergyCons!$C$3:$C$1000))*1,[2]OUT_TransportEnergyCons!J$3:J$1000)</f>
        <v>3.8550791328110514E-4</v>
      </c>
      <c r="N1521" s="1"/>
    </row>
    <row r="1522" spans="2:14" x14ac:dyDescent="0.35">
      <c r="B1522" t="str">
        <f t="shared" si="1609"/>
        <v>SPS1</v>
      </c>
      <c r="C1522" t="str">
        <f t="shared" si="1610"/>
        <v>CH</v>
      </c>
      <c r="D1522" t="s">
        <v>1507</v>
      </c>
      <c r="E1522" t="str">
        <f t="shared" si="1611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5.5932426169554321E-3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7.9911174030597512E-3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1.1192345703748951E-2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1.3532204363093027E-2</v>
      </c>
      <c r="J1522" s="1" cm="1">
        <f t="array" ref="J1522">SUMPRODUCT(("T_TW-BEVELC-S4"=[2]OUT_TransportEnergyCons!$A$3:$A$1000)*1,("var_fout"=[2]OUT_TransportEnergyCons!$B$3:$B$1000)*1,ISNUMBER(SEARCH("TPTWL",[2]OUT_TransportEnergyCons!$C$3:$C$1000))*1,[2]OUT_TransportEnergyCons!H$3:H$1000)</f>
        <v>7.4350081956713987E-4</v>
      </c>
      <c r="K1522" s="1" cm="1">
        <f t="array" ref="K1522">SUMPRODUCT(("T_TW-BEVELC-S4"=[2]OUT_TransportEnergyCons!$A$3:$A$1000)*1,("var_fout"=[2]OUT_TransportEnergyCons!$B$3:$B$1000)*1,ISNUMBER(SEARCH("TPTWL",[2]OUT_TransportEnergyCons!$C$3:$C$1000))*1,[2]OUT_TransportEnergyCons!I$3:I$1000)</f>
        <v>8.9448324463649092E-4</v>
      </c>
      <c r="L1522" s="1" cm="1">
        <f t="array" ref="L1522">SUMPRODUCT(("T_TW-BEVELC-S4"=[2]OUT_TransportEnergyCons!$A$3:$A$1000)*1,("var_fout"=[2]OUT_TransportEnergyCons!$B$3:$B$1000)*1,ISNUMBER(SEARCH("TPTWL",[2]OUT_TransportEnergyCons!$C$3:$C$1000))*1,[2]OUT_TransportEnergyCons!J$3:J$1000)</f>
        <v>5.5566814143616838E-4</v>
      </c>
      <c r="N1522" s="1"/>
    </row>
    <row r="1523" spans="2:14" x14ac:dyDescent="0.35">
      <c r="B1523" t="str">
        <f t="shared" si="1609"/>
        <v>SPS1</v>
      </c>
      <c r="C1523" t="str">
        <f t="shared" si="1610"/>
        <v>CH</v>
      </c>
      <c r="D1523" t="s">
        <v>1508</v>
      </c>
      <c r="E1523" t="str">
        <f t="shared" si="1611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3.767847335601301E-3</v>
      </c>
      <c r="J1523" s="1" cm="1">
        <f t="array" ref="J1523">SUMPRODUCT(("T_TW-fclh2o-S1"=[2]OUT_TransportEnergyCons!$A$3:$A$1000)*1,("var_fout"=[2]OUT_TransportEnergyCons!$B$3:$B$1000)*1,ISNUMBER(SEARCH("TPTWL",[2]OUT_TransportEnergyCons!$C$3:$C$1000))*1,[2]OUT_TransportEnergyCons!H$3:H$1000)</f>
        <v>4.5067705798271398E-4</v>
      </c>
      <c r="K1523" s="1" cm="1">
        <f t="array" ref="K1523">SUMPRODUCT(("T_TW-fclh2o-S1"=[2]OUT_TransportEnergyCons!$A$3:$A$1000)*1,("var_fout"=[2]OUT_TransportEnergyCons!$B$3:$B$1000)*1,ISNUMBER(SEARCH("TPTWL",[2]OUT_TransportEnergyCons!$C$3:$C$1000))*1,[2]OUT_TransportEnergyCons!I$3:I$1000)</f>
        <v>5.3519649601804753E-4</v>
      </c>
      <c r="L1523" s="1" cm="1">
        <f t="array" ref="L1523">SUMPRODUCT(("T_TW-fclh2o-S1"=[2]OUT_TransportEnergyCons!$A$3:$A$1000)*1,("var_fout"=[2]OUT_TransportEnergyCons!$B$3:$B$1000)*1,ISNUMBER(SEARCH("TPTWL",[2]OUT_TransportEnergyCons!$C$3:$C$1000))*1,[2]OUT_TransportEnergyCons!J$3:J$1000)</f>
        <v>4.1550701096364971E-4</v>
      </c>
      <c r="N1523" s="1"/>
    </row>
    <row r="1524" spans="2:14" x14ac:dyDescent="0.35">
      <c r="B1524" t="str">
        <f t="shared" si="1609"/>
        <v>SPS1</v>
      </c>
      <c r="C1524" t="str">
        <f t="shared" si="1610"/>
        <v>CH</v>
      </c>
      <c r="D1524" t="s">
        <v>1509</v>
      </c>
      <c r="E1524" t="str">
        <f t="shared" si="1611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1.6962546551154071E-3</v>
      </c>
      <c r="J1524" s="1" cm="1">
        <f t="array" ref="J1524">SUMPRODUCT(("T_TW-fclh2o-S2"=[2]OUT_TransportEnergyCons!$A$3:$A$1000)*1,("var_fout"=[2]OUT_TransportEnergyCons!$B$3:$B$1000)*1,ISNUMBER(SEARCH("TPTWL",[2]OUT_TransportEnergyCons!$C$3:$C$1000))*1,[2]OUT_TransportEnergyCons!H$3:H$1000)</f>
        <v>1.7826714750249673E-4</v>
      </c>
      <c r="K1524" s="1" cm="1">
        <f t="array" ref="K1524">SUMPRODUCT(("T_TW-fclh2o-S2"=[2]OUT_TransportEnergyCons!$A$3:$A$1000)*1,("var_fout"=[2]OUT_TransportEnergyCons!$B$3:$B$1000)*1,ISNUMBER(SEARCH("TPTWL",[2]OUT_TransportEnergyCons!$C$3:$C$1000))*1,[2]OUT_TransportEnergyCons!I$3:I$1000)</f>
        <v>2.2349409202373534E-4</v>
      </c>
      <c r="L1524" s="1" cm="1">
        <f t="array" ref="L1524">SUMPRODUCT(("T_TW-fclh2o-S2"=[2]OUT_TransportEnergyCons!$A$3:$A$1000)*1,("var_fout"=[2]OUT_TransportEnergyCons!$B$3:$B$1000)*1,ISNUMBER(SEARCH("TPTWL",[2]OUT_TransportEnergyCons!$C$3:$C$1000))*1,[2]OUT_TransportEnergyCons!J$3:J$1000)</f>
        <v>1.668349517457354E-4</v>
      </c>
      <c r="N1524" s="1"/>
    </row>
    <row r="1525" spans="2:14" x14ac:dyDescent="0.35">
      <c r="B1525" t="str">
        <f t="shared" si="1609"/>
        <v>SPS1</v>
      </c>
      <c r="C1525" t="str">
        <f t="shared" si="1610"/>
        <v>CH</v>
      </c>
      <c r="D1525" t="s">
        <v>1510</v>
      </c>
      <c r="E1525" t="str">
        <f t="shared" si="1611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9.6109047913661802E-4</v>
      </c>
      <c r="J1525" s="1" cm="1">
        <f t="array" ref="J1525">SUMPRODUCT(("T_TW-fclh2o-S3"=[2]OUT_TransportEnergyCons!$A$3:$A$1000)*1,("var_fout"=[2]OUT_TransportEnergyCons!$B$3:$B$1000)*1,ISNUMBER(SEARCH("TPTWL",[2]OUT_TransportEnergyCons!$C$3:$C$1000))*1,[2]OUT_TransportEnergyCons!H$3:H$1000)</f>
        <v>7.9616162369860007E-5</v>
      </c>
      <c r="K1525" s="1" cm="1">
        <f t="array" ref="K1525">SUMPRODUCT(("T_TW-fclh2o-S3"=[2]OUT_TransportEnergyCons!$A$3:$A$1000)*1,("var_fout"=[2]OUT_TransportEnergyCons!$B$3:$B$1000)*1,ISNUMBER(SEARCH("TPTWL",[2]OUT_TransportEnergyCons!$C$3:$C$1000))*1,[2]OUT_TransportEnergyCons!I$3:I$1000)</f>
        <v>1.1283674279729342E-4</v>
      </c>
      <c r="L1525" s="1" cm="1">
        <f t="array" ref="L1525">SUMPRODUCT(("T_TW-fclh2o-S3"=[2]OUT_TransportEnergyCons!$A$3:$A$1000)*1,("var_fout"=[2]OUT_TransportEnergyCons!$B$3:$B$1000)*1,ISNUMBER(SEARCH("TPTWL",[2]OUT_TransportEnergyCons!$C$3:$C$1000))*1,[2]OUT_TransportEnergyCons!J$3:J$1000)</f>
        <v>1.1448498210845582E-4</v>
      </c>
      <c r="N1525" s="1"/>
    </row>
    <row r="1526" spans="2:14" x14ac:dyDescent="0.35">
      <c r="B1526" t="str">
        <f t="shared" si="1609"/>
        <v>SPS1</v>
      </c>
      <c r="C1526" t="str">
        <f t="shared" si="1610"/>
        <v>CH</v>
      </c>
      <c r="D1526" t="s">
        <v>1511</v>
      </c>
      <c r="E1526" t="str">
        <f t="shared" si="1611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5.0040232972396877E-4</v>
      </c>
      <c r="J1526" s="1" cm="1">
        <f t="array" ref="J1526">SUMPRODUCT(("T_TW-fclh2o-S4"=[2]OUT_TransportEnergyCons!$A$3:$A$1000)*1,("var_fout"=[2]OUT_TransportEnergyCons!$B$3:$B$1000)*1,ISNUMBER(SEARCH("TPTWL",[2]OUT_TransportEnergyCons!$C$3:$C$1000))*1,[2]OUT_TransportEnergyCons!H$3:H$1000)</f>
        <v>3.8602034737852271E-5</v>
      </c>
      <c r="K1526" s="1" cm="1">
        <f t="array" ref="K1526">SUMPRODUCT(("T_TW-fclh2o-S4"=[2]OUT_TransportEnergyCons!$A$3:$A$1000)*1,("var_fout"=[2]OUT_TransportEnergyCons!$B$3:$B$1000)*1,ISNUMBER(SEARCH("TPTWL",[2]OUT_TransportEnergyCons!$C$3:$C$1000))*1,[2]OUT_TransportEnergyCons!I$3:I$1000)</f>
        <v>5.7543500600546213E-5</v>
      </c>
      <c r="L1526" s="1" cm="1">
        <f t="array" ref="L1526">SUMPRODUCT(("T_TW-fclh2o-S4"=[2]OUT_TransportEnergyCons!$A$3:$A$1000)*1,("var_fout"=[2]OUT_TransportEnergyCons!$B$3:$B$1000)*1,ISNUMBER(SEARCH("TPTWL",[2]OUT_TransportEnergyCons!$C$3:$C$1000))*1,[2]OUT_TransportEnergyCons!J$3:J$1000)</f>
        <v>7.1928869963641199E-5</v>
      </c>
      <c r="N1526" s="1"/>
    </row>
    <row r="1527" spans="2:14" x14ac:dyDescent="0.35">
      <c r="B1527" t="str">
        <f t="shared" si="1609"/>
        <v>SPS1</v>
      </c>
      <c r="C1527" t="str">
        <f t="shared" si="1610"/>
        <v>CH</v>
      </c>
      <c r="D1527" t="s">
        <v>1512</v>
      </c>
      <c r="E1527" t="str">
        <f t="shared" si="1611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1.1594141562392106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1.1016242060617709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0.77159801471995959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0.38346685797662039</v>
      </c>
      <c r="J1527" s="1" cm="1">
        <f t="array" ref="J1527">SUMPRODUCT(("T_TW-ICEGSLEXT"=[2]OUT_TransportEnergyCons!$A$3:$A$1000)*1,("var_fout"=[2]OUT_TransportEnergyCons!$B$3:$B$1000)*1,ISNUMBER(SEARCH("TPTWL",[2]OUT_TransportEnergyCons!$C$3:$C$1000))*1,[2]OUT_TransportEnergyCons!H$3:H$1000)</f>
        <v>0</v>
      </c>
      <c r="K1527" s="1" cm="1">
        <f t="array" ref="K1527">SUMPRODUCT(("T_TW-ICEGSLEXT"=[2]OUT_TransportEnergyCons!$A$3:$A$1000)*1,("var_fout"=[2]OUT_TransportEnergyCons!$B$3:$B$1000)*1,ISNUMBER(SEARCH("TPTWL",[2]OUT_TransportEnergyCons!$C$3:$C$1000))*1,[2]OUT_TransportEnergyCons!I$3:I$1000)</f>
        <v>0</v>
      </c>
      <c r="L1527" s="1" cm="1">
        <f t="array" ref="L1527">SUMPRODUCT(("T_TW-ICEGSLEXT"=[2]OUT_TransportEnergyCons!$A$3:$A$1000)*1,("var_fout"=[2]OUT_TransportEnergyCons!$B$3:$B$1000)*1,ISNUMBER(SEARCH("TPTWL",[2]OUT_TransportEnergyCons!$C$3:$C$1000))*1,[2]OUT_TransportEnergyCons!J$3:J$1000)</f>
        <v>0</v>
      </c>
      <c r="N1527" s="1"/>
    </row>
    <row r="1528" spans="2:14" x14ac:dyDescent="0.35">
      <c r="B1528" t="str">
        <f t="shared" si="1609"/>
        <v>SPS1</v>
      </c>
      <c r="C1528" t="str">
        <f t="shared" si="1610"/>
        <v>CH</v>
      </c>
      <c r="D1528" t="s">
        <v>1513</v>
      </c>
      <c r="E1528" t="str">
        <f t="shared" si="1611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8.445966074435253E-2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9.803757735508474E-2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0.40227520123712857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0.91358307970479191</v>
      </c>
      <c r="J1528" s="1" cm="1">
        <f t="array" ref="J1528">SUMPRODUCT(("T_TW-icegsl-S1"=[2]OUT_TransportEnergyCons!$A$3:$A$1000)*1,("var_fout"=[2]OUT_TransportEnergyCons!$B$3:$B$1000)*1,ISNUMBER(SEARCH("TPTWL",[2]OUT_TransportEnergyCons!$C$3:$C$1000))*1,[2]OUT_TransportEnergyCons!H$3:H$1000)</f>
        <v>1.7457976408349938</v>
      </c>
      <c r="K1528" s="1" cm="1">
        <f t="array" ref="K1528">SUMPRODUCT(("T_TW-icegsl-S1"=[2]OUT_TransportEnergyCons!$A$3:$A$1000)*1,("var_fout"=[2]OUT_TransportEnergyCons!$B$3:$B$1000)*1,ISNUMBER(SEARCH("TPTWL",[2]OUT_TransportEnergyCons!$C$3:$C$1000))*1,[2]OUT_TransportEnergyCons!I$3:I$1000)</f>
        <v>0.91136745427368016</v>
      </c>
      <c r="L1528" s="1" cm="1">
        <f t="array" ref="L1528">SUMPRODUCT(("T_TW-icegsl-S1"=[2]OUT_TransportEnergyCons!$A$3:$A$1000)*1,("var_fout"=[2]OUT_TransportEnergyCons!$B$3:$B$1000)*1,ISNUMBER(SEARCH("TPTWL",[2]OUT_TransportEnergyCons!$C$3:$C$1000))*1,[2]OUT_TransportEnergyCons!J$3:J$1000)</f>
        <v>0.1456391850229333</v>
      </c>
      <c r="N1528" s="1"/>
    </row>
    <row r="1529" spans="2:14" x14ac:dyDescent="0.35">
      <c r="B1529" t="str">
        <f t="shared" si="1609"/>
        <v>SPS1</v>
      </c>
      <c r="C1529" t="str">
        <f t="shared" si="1610"/>
        <v>CH</v>
      </c>
      <c r="D1529" t="s">
        <v>1514</v>
      </c>
      <c r="E1529" t="str">
        <f t="shared" si="1611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6.7771297503233088E-2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0.12313483993233861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0.11731802480201163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9.2133834685650076E-2</v>
      </c>
      <c r="J1529" s="1" cm="1">
        <f t="array" ref="J1529">SUMPRODUCT(("T_TW-icegsl-S2"=[2]OUT_TransportEnergyCons!$A$3:$A$1000)*1,("var_fout"=[2]OUT_TransportEnergyCons!$B$3:$B$1000)*1,ISNUMBER(SEARCH("TPTWL",[2]OUT_TransportEnergyCons!$C$3:$C$1000))*1,[2]OUT_TransportEnergyCons!H$3:H$1000)</f>
        <v>1.1014377586449799E-2</v>
      </c>
      <c r="K1529" s="1" cm="1">
        <f t="array" ref="K1529">SUMPRODUCT(("T_TW-icegsl-S2"=[2]OUT_TransportEnergyCons!$A$3:$A$1000)*1,("var_fout"=[2]OUT_TransportEnergyCons!$B$3:$B$1000)*1,ISNUMBER(SEARCH("TPTWL",[2]OUT_TransportEnergyCons!$C$3:$C$1000))*1,[2]OUT_TransportEnergyCons!I$3:I$1000)</f>
        <v>3.7646495438296336E-4</v>
      </c>
      <c r="L1529" s="1" cm="1">
        <f t="array" ref="L1529">SUMPRODUCT(("T_TW-icegsl-S2"=[2]OUT_TransportEnergyCons!$A$3:$A$1000)*1,("var_fout"=[2]OUT_TransportEnergyCons!$B$3:$B$1000)*1,ISNUMBER(SEARCH("TPTWL",[2]OUT_TransportEnergyCons!$C$3:$C$1000))*1,[2]OUT_TransportEnergyCons!J$3:J$1000)</f>
        <v>2.2444469001667915E-4</v>
      </c>
      <c r="N1529" s="1"/>
    </row>
    <row r="1530" spans="2:14" x14ac:dyDescent="0.35">
      <c r="B1530" t="str">
        <f t="shared" si="1609"/>
        <v>SPS1</v>
      </c>
      <c r="C1530" t="str">
        <f t="shared" si="1610"/>
        <v>CH</v>
      </c>
      <c r="D1530" t="s">
        <v>1515</v>
      </c>
      <c r="E1530" t="str">
        <f t="shared" si="1611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4.600524498108579E-2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2.7645619962151022E-2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2.9157475847169538E-2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2.8074850558285722E-2</v>
      </c>
      <c r="J1530" s="1" cm="1">
        <f t="array" ref="J1530">SUMPRODUCT(("T_TW-icegsl-S3"=[2]OUT_TransportEnergyCons!$A$3:$A$1000)*1,("var_fout"=[2]OUT_TransportEnergyCons!$B$3:$B$1000)*1,ISNUMBER(SEARCH("TPTWL",[2]OUT_TransportEnergyCons!$C$3:$C$1000))*1,[2]OUT_TransportEnergyCons!H$3:H$1000)</f>
        <v>9.8647489975046583E-3</v>
      </c>
      <c r="K1530" s="1" cm="1">
        <f t="array" ref="K1530">SUMPRODUCT(("T_TW-icegsl-S3"=[2]OUT_TransportEnergyCons!$A$3:$A$1000)*1,("var_fout"=[2]OUT_TransportEnergyCons!$B$3:$B$1000)*1,ISNUMBER(SEARCH("TPTWL",[2]OUT_TransportEnergyCons!$C$3:$C$1000))*1,[2]OUT_TransportEnergyCons!I$3:I$1000)</f>
        <v>1.0887999275255855E-3</v>
      </c>
      <c r="L1530" s="1" cm="1">
        <f t="array" ref="L1530">SUMPRODUCT(("T_TW-icegsl-S3"=[2]OUT_TransportEnergyCons!$A$3:$A$1000)*1,("var_fout"=[2]OUT_TransportEnergyCons!$B$3:$B$1000)*1,ISNUMBER(SEARCH("TPTWL",[2]OUT_TransportEnergyCons!$C$3:$C$1000))*1,[2]OUT_TransportEnergyCons!J$3:J$1000)</f>
        <v>1.4270292119408792E-4</v>
      </c>
      <c r="N1530" s="1"/>
    </row>
    <row r="1531" spans="2:14" x14ac:dyDescent="0.35">
      <c r="B1531" t="str">
        <f t="shared" si="1609"/>
        <v>SPS1</v>
      </c>
      <c r="C1531" t="str">
        <f t="shared" si="1610"/>
        <v>CH</v>
      </c>
      <c r="D1531" t="s">
        <v>1516</v>
      </c>
      <c r="E1531" t="str">
        <f t="shared" si="1611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2.8063081863278171E-2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2.215983086626961E-2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2.3534437889995648E-2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2.2390303320734085E-2</v>
      </c>
      <c r="J1531" s="1" cm="1">
        <f t="array" ref="J1531">SUMPRODUCT(("T_TW-icegsl-S4"=[2]OUT_TransportEnergyCons!$A$3:$A$1000)*1,("var_fout"=[2]OUT_TransportEnergyCons!$B$3:$B$1000)*1,ISNUMBER(SEARCH("TPTWL",[2]OUT_TransportEnergyCons!$C$3:$C$1000))*1,[2]OUT_TransportEnergyCons!H$3:H$1000)</f>
        <v>1.79402799468897E-3</v>
      </c>
      <c r="K1531" s="1" cm="1">
        <f t="array" ref="K1531">SUMPRODUCT(("T_TW-icegsl-S4"=[2]OUT_TransportEnergyCons!$A$3:$A$1000)*1,("var_fout"=[2]OUT_TransportEnergyCons!$B$3:$B$1000)*1,ISNUMBER(SEARCH("TPTWL",[2]OUT_TransportEnergyCons!$C$3:$C$1000))*1,[2]OUT_TransportEnergyCons!I$3:I$1000)</f>
        <v>1.4749338599075643E-3</v>
      </c>
      <c r="L1531" s="1" cm="1">
        <f t="array" ref="L1531">SUMPRODUCT(("T_TW-icegsl-S4"=[2]OUT_TransportEnergyCons!$A$3:$A$1000)*1,("var_fout"=[2]OUT_TransportEnergyCons!$B$3:$B$1000)*1,ISNUMBER(SEARCH("TPTWL",[2]OUT_TransportEnergyCons!$C$3:$C$1000))*1,[2]OUT_TransportEnergyCons!J$3:J$1000)</f>
        <v>2.5442814724983647E-4</v>
      </c>
      <c r="N1531" s="1"/>
    </row>
    <row r="1532" spans="2:14" x14ac:dyDescent="0.35">
      <c r="B1532" s="9" t="str">
        <f t="shared" si="1609"/>
        <v>SPS1</v>
      </c>
      <c r="C1532" s="9" t="str">
        <f t="shared" si="1610"/>
        <v>CH</v>
      </c>
      <c r="D1532" s="2" t="s">
        <v>1518</v>
      </c>
      <c r="E1532" s="2" t="s">
        <v>1229</v>
      </c>
      <c r="F1532" s="23" t="s">
        <v>1527</v>
      </c>
      <c r="G1532" s="23" t="s">
        <v>1527</v>
      </c>
      <c r="H1532" s="23" t="s">
        <v>1527</v>
      </c>
      <c r="I1532" s="23" t="s">
        <v>1527</v>
      </c>
      <c r="J1532" s="23" t="s">
        <v>1527</v>
      </c>
      <c r="K1532" s="23" t="s">
        <v>1527</v>
      </c>
      <c r="L1532" s="23" t="s">
        <v>1527</v>
      </c>
      <c r="N1532" s="1"/>
    </row>
    <row r="1533" spans="2:14" x14ac:dyDescent="0.35">
      <c r="B1533" t="str">
        <f t="shared" si="1609"/>
        <v>SPS1</v>
      </c>
      <c r="C1533" t="str">
        <f t="shared" si="1610"/>
        <v>CH</v>
      </c>
      <c r="D1533" t="s">
        <v>1519</v>
      </c>
      <c r="E1533" t="s">
        <v>1229</v>
      </c>
      <c r="F1533" s="1">
        <f t="shared" ref="F1533:K1536" si="1612">IFERROR(F1519/F1499,"-")</f>
        <v>11.098927012431908</v>
      </c>
      <c r="G1533" s="1">
        <f t="shared" si="1612"/>
        <v>11.099500269730507</v>
      </c>
      <c r="H1533" s="1">
        <f t="shared" si="1612"/>
        <v>11.104615870871093</v>
      </c>
      <c r="I1533" s="1">
        <f t="shared" si="1612"/>
        <v>11.130765471585427</v>
      </c>
      <c r="J1533" s="1">
        <f t="shared" si="1612"/>
        <v>11.514517283976154</v>
      </c>
      <c r="K1533" s="1">
        <f t="shared" si="1612"/>
        <v>11.624160042458721</v>
      </c>
      <c r="L1533" s="1">
        <f t="shared" ref="L1533" si="1613">IFERROR(L1519/L1499,"-")</f>
        <v>11.858265678629513</v>
      </c>
      <c r="N1533" s="1"/>
    </row>
    <row r="1534" spans="2:14" x14ac:dyDescent="0.35">
      <c r="B1534" t="str">
        <f t="shared" si="1609"/>
        <v>SPS1</v>
      </c>
      <c r="C1534" t="str">
        <f t="shared" si="1610"/>
        <v>CH</v>
      </c>
      <c r="D1534" t="s">
        <v>1520</v>
      </c>
      <c r="E1534" t="s">
        <v>1229</v>
      </c>
      <c r="F1534" s="1">
        <f t="shared" si="1612"/>
        <v>6.284524362935997</v>
      </c>
      <c r="G1534" s="1">
        <f t="shared" si="1612"/>
        <v>6.2903742042983311</v>
      </c>
      <c r="H1534" s="1">
        <f t="shared" si="1612"/>
        <v>6.3132815336354673</v>
      </c>
      <c r="I1534" s="1">
        <f t="shared" si="1612"/>
        <v>6.3424058314516607</v>
      </c>
      <c r="J1534" s="1">
        <f t="shared" si="1612"/>
        <v>6.4601774347559475</v>
      </c>
      <c r="K1534" s="1">
        <f t="shared" si="1612"/>
        <v>6.5370584766315583</v>
      </c>
      <c r="L1534" s="1">
        <f t="shared" ref="L1534" si="1614">IFERROR(L1520/L1500,"-")</f>
        <v>6.6341825606936631</v>
      </c>
      <c r="N1534" s="1"/>
    </row>
    <row r="1535" spans="2:14" x14ac:dyDescent="0.35">
      <c r="B1535" t="str">
        <f t="shared" si="1609"/>
        <v>SPS1</v>
      </c>
      <c r="C1535" t="str">
        <f t="shared" si="1610"/>
        <v>CH</v>
      </c>
      <c r="D1535" t="s">
        <v>1521</v>
      </c>
      <c r="E1535" t="s">
        <v>1229</v>
      </c>
      <c r="F1535" s="1">
        <f t="shared" si="1612"/>
        <v>4.0901432735634922</v>
      </c>
      <c r="G1535" s="1">
        <f t="shared" si="1612"/>
        <v>4.0976302252336687</v>
      </c>
      <c r="H1535" s="1">
        <f t="shared" si="1612"/>
        <v>4.1146568046445404</v>
      </c>
      <c r="I1535" s="1">
        <f t="shared" si="1612"/>
        <v>4.1368880443476819</v>
      </c>
      <c r="J1535" s="1">
        <f t="shared" si="1612"/>
        <v>4.1454139202818494</v>
      </c>
      <c r="K1535" s="1">
        <f t="shared" si="1612"/>
        <v>4.1997268379180186</v>
      </c>
      <c r="L1535" s="1">
        <f t="shared" ref="L1535" si="1615">IFERROR(L1521/L1501,"-")</f>
        <v>4.3329702683861235</v>
      </c>
      <c r="N1535" s="1"/>
    </row>
    <row r="1536" spans="2:14" x14ac:dyDescent="0.35">
      <c r="B1536" t="str">
        <f t="shared" si="1609"/>
        <v>SPS1</v>
      </c>
      <c r="C1536" t="str">
        <f t="shared" si="1610"/>
        <v>CH</v>
      </c>
      <c r="D1536" t="s">
        <v>1522</v>
      </c>
      <c r="E1536" t="s">
        <v>1229</v>
      </c>
      <c r="F1536" s="1">
        <f t="shared" si="1612"/>
        <v>3.7650534829600395</v>
      </c>
      <c r="G1536" s="1">
        <f t="shared" si="1612"/>
        <v>3.7727468991100288</v>
      </c>
      <c r="H1536" s="1">
        <f t="shared" si="1612"/>
        <v>3.7900009489184798</v>
      </c>
      <c r="I1536" s="1">
        <f t="shared" si="1612"/>
        <v>3.8090315441035054</v>
      </c>
      <c r="J1536" s="1">
        <f t="shared" si="1612"/>
        <v>3.8354025501995284</v>
      </c>
      <c r="K1536" s="1">
        <f t="shared" si="1612"/>
        <v>3.862269481939002</v>
      </c>
      <c r="L1536" s="1">
        <f t="shared" ref="L1536" si="1616">IFERROR(L1522/L1502,"-")</f>
        <v>3.9643254499446043</v>
      </c>
      <c r="N1536" s="1"/>
    </row>
    <row r="1537" spans="2:14" x14ac:dyDescent="0.35">
      <c r="B1537" t="str">
        <f t="shared" si="1609"/>
        <v>SPS1</v>
      </c>
      <c r="C1537" t="str">
        <f t="shared" si="1610"/>
        <v>CH</v>
      </c>
      <c r="D1537" t="s">
        <v>1523</v>
      </c>
      <c r="E1537" t="s">
        <v>1229</v>
      </c>
      <c r="F1537" s="1" t="str">
        <f t="shared" ref="F1537:K1540" si="1617">IFERROR(F1523/F1504,"-")</f>
        <v>-</v>
      </c>
      <c r="G1537" s="1" t="str">
        <f t="shared" si="1617"/>
        <v>-</v>
      </c>
      <c r="H1537" s="1" t="str">
        <f t="shared" si="1617"/>
        <v>-</v>
      </c>
      <c r="I1537" s="1">
        <f t="shared" si="1617"/>
        <v>4.6391179485367822</v>
      </c>
      <c r="J1537" s="1">
        <f t="shared" si="1617"/>
        <v>4.6837418745350403</v>
      </c>
      <c r="K1537" s="1">
        <f t="shared" si="1617"/>
        <v>4.7411989189596895</v>
      </c>
      <c r="L1537" s="1">
        <f t="shared" ref="L1537" si="1618">IFERROR(L1523/L1504,"-")</f>
        <v>4.87019989800734</v>
      </c>
      <c r="N1537" s="1"/>
    </row>
    <row r="1538" spans="2:14" x14ac:dyDescent="0.35">
      <c r="B1538" t="str">
        <f t="shared" si="1609"/>
        <v>SPS1</v>
      </c>
      <c r="C1538" t="str">
        <f t="shared" si="1610"/>
        <v>CH</v>
      </c>
      <c r="D1538" t="s">
        <v>1524</v>
      </c>
      <c r="E1538" t="s">
        <v>1229</v>
      </c>
      <c r="F1538" s="1" t="str">
        <f t="shared" si="1617"/>
        <v>-</v>
      </c>
      <c r="G1538" s="1" t="str">
        <f t="shared" si="1617"/>
        <v>-</v>
      </c>
      <c r="H1538" s="1" t="str">
        <f t="shared" si="1617"/>
        <v>-</v>
      </c>
      <c r="I1538" s="1">
        <f t="shared" si="1617"/>
        <v>2.7008868509993595</v>
      </c>
      <c r="J1538" s="1">
        <f t="shared" si="1617"/>
        <v>2.7241007714267913</v>
      </c>
      <c r="K1538" s="1">
        <f t="shared" si="1617"/>
        <v>2.7490258942590389</v>
      </c>
      <c r="L1538" s="1">
        <f t="shared" ref="L1538" si="1619">IFERROR(L1524/L1505,"-")</f>
        <v>2.810399776662952</v>
      </c>
      <c r="N1538" s="1"/>
    </row>
    <row r="1539" spans="2:14" x14ac:dyDescent="0.35">
      <c r="B1539" t="str">
        <f t="shared" si="1609"/>
        <v>SPS1</v>
      </c>
      <c r="C1539" t="str">
        <f t="shared" si="1610"/>
        <v>CH</v>
      </c>
      <c r="D1539" t="s">
        <v>1525</v>
      </c>
      <c r="E1539" t="s">
        <v>1229</v>
      </c>
      <c r="F1539" s="1" t="str">
        <f t="shared" si="1617"/>
        <v>-</v>
      </c>
      <c r="G1539" s="1" t="str">
        <f t="shared" si="1617"/>
        <v>-</v>
      </c>
      <c r="H1539" s="1" t="str">
        <f t="shared" si="1617"/>
        <v>-</v>
      </c>
      <c r="I1539" s="1">
        <f t="shared" si="1617"/>
        <v>1.760648535172731</v>
      </c>
      <c r="J1539" s="1">
        <f t="shared" si="1617"/>
        <v>1.7754656730623408</v>
      </c>
      <c r="K1539" s="1">
        <f t="shared" si="1617"/>
        <v>1.7881607608693528</v>
      </c>
      <c r="L1539" s="1">
        <f t="shared" ref="L1539" si="1620">IFERROR(L1525/L1506,"-")</f>
        <v>1.8229632461019425</v>
      </c>
      <c r="N1539" s="1"/>
    </row>
    <row r="1540" spans="2:14" x14ac:dyDescent="0.35">
      <c r="B1540" t="str">
        <f t="shared" si="1609"/>
        <v>SPS1</v>
      </c>
      <c r="C1540" t="str">
        <f t="shared" si="1610"/>
        <v>CH</v>
      </c>
      <c r="D1540" t="s">
        <v>1526</v>
      </c>
      <c r="E1540" t="s">
        <v>1229</v>
      </c>
      <c r="F1540" s="1" t="str">
        <f t="shared" si="1617"/>
        <v>-</v>
      </c>
      <c r="G1540" s="1" t="str">
        <f t="shared" si="1617"/>
        <v>-</v>
      </c>
      <c r="H1540" s="1" t="str">
        <f t="shared" si="1617"/>
        <v>-</v>
      </c>
      <c r="I1540" s="1">
        <f t="shared" si="1617"/>
        <v>1.5620411785777204</v>
      </c>
      <c r="J1540" s="1">
        <f t="shared" si="1617"/>
        <v>1.5776894486359192</v>
      </c>
      <c r="K1540" s="1">
        <f t="shared" si="1617"/>
        <v>1.5916656418193209</v>
      </c>
      <c r="L1540" s="1">
        <f t="shared" ref="L1540" si="1621">IFERROR(L1526/L1507,"-")</f>
        <v>1.6176939134179886</v>
      </c>
      <c r="N1540" s="1"/>
    </row>
    <row r="1541" spans="2:14" x14ac:dyDescent="0.35">
      <c r="B1541" t="str">
        <f t="shared" si="1609"/>
        <v>SPS1</v>
      </c>
      <c r="C1541" t="str">
        <f t="shared" si="1610"/>
        <v>CH</v>
      </c>
      <c r="D1541" t="s">
        <v>1582</v>
      </c>
      <c r="E1541" t="s">
        <v>1229</v>
      </c>
      <c r="F1541" s="1">
        <f t="shared" ref="F1541:K1545" si="1622">IFERROR(F1527/F1513,"-")</f>
        <v>0.7711651053457772</v>
      </c>
      <c r="G1541" s="1">
        <f t="shared" si="1622"/>
        <v>0.78723832996732046</v>
      </c>
      <c r="H1541" s="1">
        <f t="shared" si="1622"/>
        <v>0.81134816689963307</v>
      </c>
      <c r="I1541" s="1">
        <f t="shared" si="1622"/>
        <v>0.85153122845348928</v>
      </c>
      <c r="J1541" s="1" t="str">
        <f t="shared" si="1622"/>
        <v>-</v>
      </c>
      <c r="K1541" s="1" t="str">
        <f t="shared" si="1622"/>
        <v>-</v>
      </c>
      <c r="L1541" s="1" t="str">
        <f t="shared" ref="L1541" si="1623">IFERROR(L1527/L1513,"-")</f>
        <v>-</v>
      </c>
      <c r="N1541" s="1"/>
    </row>
    <row r="1542" spans="2:14" x14ac:dyDescent="0.35">
      <c r="B1542" t="str">
        <f t="shared" si="1609"/>
        <v>SPS1</v>
      </c>
      <c r="C1542" t="str">
        <f t="shared" si="1610"/>
        <v>CH</v>
      </c>
      <c r="D1542" t="s">
        <v>1583</v>
      </c>
      <c r="E1542" t="s">
        <v>1229</v>
      </c>
      <c r="F1542" s="1">
        <f t="shared" si="1622"/>
        <v>1.907883633411088</v>
      </c>
      <c r="G1542" s="1">
        <f t="shared" si="1622"/>
        <v>1.9094479239580475</v>
      </c>
      <c r="H1542" s="1">
        <f t="shared" si="1622"/>
        <v>1.9422488866615137</v>
      </c>
      <c r="I1542" s="1">
        <f t="shared" si="1622"/>
        <v>1.9800733381948761</v>
      </c>
      <c r="J1542" s="1">
        <f t="shared" si="1622"/>
        <v>2.0219787424228213</v>
      </c>
      <c r="K1542" s="1">
        <f t="shared" si="1622"/>
        <v>2.0396268246513709</v>
      </c>
      <c r="L1542" s="1">
        <f t="shared" ref="L1542" si="1624">IFERROR(L1528/L1514,"-")</f>
        <v>2.0494413585868938</v>
      </c>
      <c r="N1542" s="1"/>
    </row>
    <row r="1543" spans="2:14" x14ac:dyDescent="0.35">
      <c r="B1543" t="str">
        <f t="shared" si="1609"/>
        <v>SPS1</v>
      </c>
      <c r="C1543" t="str">
        <f t="shared" si="1610"/>
        <v>CH</v>
      </c>
      <c r="D1543" t="s">
        <v>1584</v>
      </c>
      <c r="E1543" t="s">
        <v>1229</v>
      </c>
      <c r="F1543" s="1">
        <f t="shared" si="1622"/>
        <v>1.1027629847473186</v>
      </c>
      <c r="G1543" s="1">
        <f t="shared" si="1622"/>
        <v>1.1050191842826376</v>
      </c>
      <c r="H1543" s="1">
        <f t="shared" si="1622"/>
        <v>1.1057099384720861</v>
      </c>
      <c r="I1543" s="1">
        <f t="shared" si="1622"/>
        <v>1.1075047907142146</v>
      </c>
      <c r="J1543" s="1">
        <f t="shared" si="1622"/>
        <v>1.1097636793356802</v>
      </c>
      <c r="K1543" s="1">
        <f t="shared" si="1622"/>
        <v>1.1808461864299218</v>
      </c>
      <c r="L1543" s="1">
        <f t="shared" ref="L1543" si="1625">IFERROR(L1529/L1515,"-")</f>
        <v>1.2167420960678872</v>
      </c>
      <c r="N1543" s="1"/>
    </row>
    <row r="1544" spans="2:14" x14ac:dyDescent="0.35">
      <c r="B1544" t="str">
        <f t="shared" si="1609"/>
        <v>SPS1</v>
      </c>
      <c r="C1544" t="str">
        <f t="shared" si="1610"/>
        <v>CH</v>
      </c>
      <c r="D1544" t="s">
        <v>1585</v>
      </c>
      <c r="E1544" t="s">
        <v>1229</v>
      </c>
      <c r="F1544" s="1">
        <f t="shared" si="1622"/>
        <v>0.72942698043637011</v>
      </c>
      <c r="G1544" s="1">
        <f t="shared" si="1622"/>
        <v>0.73052241197071599</v>
      </c>
      <c r="H1544" s="1">
        <f t="shared" si="1622"/>
        <v>0.73128974811804781</v>
      </c>
      <c r="I1544" s="1">
        <f t="shared" si="1622"/>
        <v>0.73281932392731264</v>
      </c>
      <c r="J1544" s="1">
        <f t="shared" si="1622"/>
        <v>0.73194780906047152</v>
      </c>
      <c r="K1544" s="1">
        <f t="shared" si="1622"/>
        <v>0.73857066235045765</v>
      </c>
      <c r="L1544" s="1">
        <f t="shared" ref="L1544" si="1626">IFERROR(L1530/L1516,"-")</f>
        <v>0.79528682921619909</v>
      </c>
      <c r="N1544" s="1"/>
    </row>
    <row r="1545" spans="2:14" x14ac:dyDescent="0.35">
      <c r="B1545" t="str">
        <f t="shared" si="1609"/>
        <v>SPS1</v>
      </c>
      <c r="C1545" t="str">
        <f t="shared" si="1610"/>
        <v>CH</v>
      </c>
      <c r="D1545" t="s">
        <v>1586</v>
      </c>
      <c r="E1545" t="s">
        <v>1229</v>
      </c>
      <c r="F1545" s="1">
        <f t="shared" si="1622"/>
        <v>0.67580166525687302</v>
      </c>
      <c r="G1545" s="1">
        <f t="shared" si="1622"/>
        <v>0.67679399410138485</v>
      </c>
      <c r="H1545" s="1">
        <f t="shared" si="1622"/>
        <v>0.67735325944947478</v>
      </c>
      <c r="I1545" s="1">
        <f t="shared" si="1622"/>
        <v>0.67832723395646011</v>
      </c>
      <c r="J1545" s="1">
        <f t="shared" si="1622"/>
        <v>0.67856186157221188</v>
      </c>
      <c r="K1545" s="1">
        <f t="shared" si="1622"/>
        <v>0.67981475608627051</v>
      </c>
      <c r="L1545" s="1">
        <f t="shared" ref="L1545" si="1627">IFERROR(L1531/L1517,"-")</f>
        <v>0.69851116854332118</v>
      </c>
      <c r="N1545" s="1"/>
    </row>
    <row r="1546" spans="2:14" x14ac:dyDescent="0.3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16.746154851561879</v>
      </c>
      <c r="G1546" s="3">
        <f t="shared" ref="G1546:K1546" si="1628">G1547+G1550+G1552+G1559+G1567</f>
        <v>15.627497973858221</v>
      </c>
      <c r="H1546" s="3">
        <f t="shared" si="1628"/>
        <v>14.028188506814873</v>
      </c>
      <c r="I1546" s="3">
        <f t="shared" si="1628"/>
        <v>10.779874618999813</v>
      </c>
      <c r="J1546" s="3">
        <f t="shared" si="1628"/>
        <v>7.6662551401920149</v>
      </c>
      <c r="K1546" s="3">
        <f t="shared" si="1628"/>
        <v>7.3275541741446295</v>
      </c>
      <c r="L1546" s="3">
        <f t="shared" ref="L1546" si="1629">L1547+L1550+L1552+L1559+L1567</f>
        <v>7.9296783782853595</v>
      </c>
      <c r="N1546" s="1"/>
    </row>
    <row r="1547" spans="2:14" x14ac:dyDescent="0.35">
      <c r="B1547" t="str">
        <f t="shared" ref="B1547:B1592" si="1630">B1546</f>
        <v>SPS1</v>
      </c>
      <c r="C1547" t="str">
        <f t="shared" ref="C1547:C1592" si="1631">C1546</f>
        <v>CH</v>
      </c>
      <c r="D1547" t="s">
        <v>1536</v>
      </c>
      <c r="E1547" t="str">
        <f>E1546</f>
        <v>PJ/yr.</v>
      </c>
      <c r="F1547" s="1">
        <f>SUM(F1548:F1549)</f>
        <v>7.3731691560619039E-2</v>
      </c>
      <c r="G1547" s="1">
        <f t="shared" ref="G1547:K1547" si="1632">SUM(G1548:G1549)</f>
        <v>0.16481656189411104</v>
      </c>
      <c r="H1547" s="1">
        <f t="shared" si="1632"/>
        <v>0.21460273354552603</v>
      </c>
      <c r="I1547" s="1">
        <f t="shared" si="1632"/>
        <v>2.9037451050604095</v>
      </c>
      <c r="J1547" s="1">
        <f t="shared" si="1632"/>
        <v>6.2838151093251078</v>
      </c>
      <c r="K1547" s="1">
        <f t="shared" si="1632"/>
        <v>7.3273254997434556</v>
      </c>
      <c r="L1547" s="1">
        <f t="shared" ref="L1547" si="1633">SUM(L1548:L1549)</f>
        <v>7.9296650012208119</v>
      </c>
      <c r="N1547" s="1"/>
    </row>
    <row r="1548" spans="2:14" x14ac:dyDescent="0.35">
      <c r="B1548" t="str">
        <f t="shared" si="1630"/>
        <v>SPS1</v>
      </c>
      <c r="C1548" t="str">
        <f t="shared" si="1631"/>
        <v>CH</v>
      </c>
      <c r="D1548" t="s">
        <v>1543</v>
      </c>
      <c r="E1548" t="str">
        <f t="shared" ref="E1548:E1572" si="1634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3.9519211782301972E-2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3.4576786983343169E-2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2.5780761281755226E-2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1.2384698213797668E-2</v>
      </c>
      <c r="J1548" s="1" cm="1">
        <f t="array" ref="J1548">SUMPRODUCT(("TFLGV-BeVELCExt"=[2]OUT_TransportEnergyCons!$A$3:$A$1000)*1,("Var_Fin"=[2]OUT_TransportEnergyCons!$B$3:$B$1000)*1,ISNUMBER(SEARCH("ELC",[2]OUT_TransportEnergyCons!$C$3:$C$1000))*1,[2]OUT_TransportEnergyCons!H$3:H$1000)</f>
        <v>0</v>
      </c>
      <c r="K1548" s="1" cm="1">
        <f t="array" ref="K1548">SUMPRODUCT(("TFLGV-BeVELCExt"=[2]OUT_TransportEnergyCons!$A$3:$A$1000)*1,("Var_Fin"=[2]OUT_TransportEnergyCons!$B$3:$B$1000)*1,ISNUMBER(SEARCH("ELC",[2]OUT_TransportEnergyCons!$C$3:$C$1000))*1,[2]OUT_TransportEnergyCons!I$3:I$1000)</f>
        <v>0</v>
      </c>
      <c r="L1548" s="1" cm="1">
        <f t="array" ref="L1548">SUMPRODUCT(("TFLGV-BeVELCExt"=[2]OUT_TransportEnergyCons!$A$3:$A$1000)*1,("Var_Fin"=[2]OUT_TransportEnergyCons!$B$3:$B$1000)*1,ISNUMBER(SEARCH("ELC",[2]OUT_TransportEnergyCons!$C$3:$C$1000))*1,[2]OUT_TransportEnergyCons!J$3:J$1000)</f>
        <v>0</v>
      </c>
      <c r="N1548" s="1"/>
    </row>
    <row r="1549" spans="2:14" x14ac:dyDescent="0.35">
      <c r="B1549" t="str">
        <f t="shared" si="1630"/>
        <v>SPS1</v>
      </c>
      <c r="C1549" t="str">
        <f t="shared" si="1631"/>
        <v>CH</v>
      </c>
      <c r="D1549" t="s">
        <v>1544</v>
      </c>
      <c r="E1549" t="str">
        <f t="shared" si="1634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3.4212479778317061E-2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0.13023977491076785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0.18882197226377082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2.8913604068466117</v>
      </c>
      <c r="J1549" s="1" cm="1">
        <f t="array" ref="J1549">SUMPRODUCT(("TFLGV-BEVELC"=[2]OUT_TransportEnergyCons!$A$3:$A$1000)*1,("Var_Fin"=[2]OUT_TransportEnergyCons!$B$3:$B$1000)*1,ISNUMBER(SEARCH("ELC",[2]OUT_TransportEnergyCons!$C$3:$C$1000))*1,[2]OUT_TransportEnergyCons!H$3:H$1000)</f>
        <v>6.2838151093251078</v>
      </c>
      <c r="K1549" s="1" cm="1">
        <f t="array" ref="K1549">SUMPRODUCT(("TFLGV-BEVELC"=[2]OUT_TransportEnergyCons!$A$3:$A$1000)*1,("Var_Fin"=[2]OUT_TransportEnergyCons!$B$3:$B$1000)*1,ISNUMBER(SEARCH("ELC",[2]OUT_TransportEnergyCons!$C$3:$C$1000))*1,[2]OUT_TransportEnergyCons!I$3:I$1000)</f>
        <v>7.3273254997434556</v>
      </c>
      <c r="L1549" s="1" cm="1">
        <f t="array" ref="L1549">SUMPRODUCT(("TFLGV-BEVELC"=[2]OUT_TransportEnergyCons!$A$3:$A$1000)*1,("Var_Fin"=[2]OUT_TransportEnergyCons!$B$3:$B$1000)*1,ISNUMBER(SEARCH("ELC",[2]OUT_TransportEnergyCons!$C$3:$C$1000))*1,[2]OUT_TransportEnergyCons!J$3:J$1000)</f>
        <v>7.9296650012208119</v>
      </c>
      <c r="N1549" s="1"/>
    </row>
    <row r="1550" spans="2:14" x14ac:dyDescent="0.35">
      <c r="B1550" t="str">
        <f t="shared" si="1630"/>
        <v>SPS1</v>
      </c>
      <c r="C1550" t="str">
        <f t="shared" si="1631"/>
        <v>CH</v>
      </c>
      <c r="D1550" t="s">
        <v>1537</v>
      </c>
      <c r="E1550" t="str">
        <f t="shared" si="1634"/>
        <v>PJ/yr.</v>
      </c>
      <c r="F1550" s="1">
        <f>F1551</f>
        <v>0</v>
      </c>
      <c r="G1550" s="1">
        <f t="shared" ref="G1550:L1550" si="1635">G1551</f>
        <v>8.5705334089631626E-4</v>
      </c>
      <c r="H1550" s="1">
        <f t="shared" si="1635"/>
        <v>1.268651043729762E-3</v>
      </c>
      <c r="I1550" s="1">
        <f t="shared" si="1635"/>
        <v>4.0119301108514343E-4</v>
      </c>
      <c r="J1550" s="1">
        <f t="shared" si="1635"/>
        <v>1.8633784824667666E-5</v>
      </c>
      <c r="K1550" s="1">
        <f t="shared" si="1635"/>
        <v>1.5773579943402203E-5</v>
      </c>
      <c r="L1550" s="1">
        <f t="shared" si="1635"/>
        <v>1.3377064547851033E-5</v>
      </c>
      <c r="N1550" s="1"/>
    </row>
    <row r="1551" spans="2:14" x14ac:dyDescent="0.35">
      <c r="B1551" t="str">
        <f t="shared" si="1630"/>
        <v>SPS1</v>
      </c>
      <c r="C1551" t="str">
        <f t="shared" si="1631"/>
        <v>CH</v>
      </c>
      <c r="D1551" t="s">
        <v>1545</v>
      </c>
      <c r="E1551" t="str">
        <f t="shared" si="1634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8.5705334089631626E-4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1.268651043729762E-3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4.0119301108514343E-4</v>
      </c>
      <c r="J1551" s="1" cm="1">
        <f t="array" ref="J1551">SUMPRODUCT(("TFLGV-FCLH2O"=[2]OUT_TransportEnergyCons!$A$3:$A$1000)*1,("Var_Fin"=[2]OUT_TransportEnergyCons!$B$3:$B$1000)*1,ISNUMBER(SEARCH("h2",[2]OUT_TransportEnergyCons!$C$3:$C$1000))*1,[2]OUT_TransportEnergyCons!H$3:H$1000)</f>
        <v>1.8633784824667666E-5</v>
      </c>
      <c r="K1551" s="1" cm="1">
        <f t="array" ref="K1551">SUMPRODUCT(("TFLGV-FCLH2O"=[2]OUT_TransportEnergyCons!$A$3:$A$1000)*1,("Var_Fin"=[2]OUT_TransportEnergyCons!$B$3:$B$1000)*1,ISNUMBER(SEARCH("h2",[2]OUT_TransportEnergyCons!$C$3:$C$1000))*1,[2]OUT_TransportEnergyCons!I$3:I$1000)</f>
        <v>1.5773579943402203E-5</v>
      </c>
      <c r="L1551" s="1" cm="1">
        <f t="array" ref="L1551">SUMPRODUCT(("TFLGV-FCLH2O"=[2]OUT_TransportEnergyCons!$A$3:$A$1000)*1,("Var_Fin"=[2]OUT_TransportEnergyCons!$B$3:$B$1000)*1,ISNUMBER(SEARCH("h2",[2]OUT_TransportEnergyCons!$C$3:$C$1000))*1,[2]OUT_TransportEnergyCons!J$3:J$1000)</f>
        <v>1.3377064547851033E-5</v>
      </c>
      <c r="N1551" s="1"/>
    </row>
    <row r="1552" spans="2:14" x14ac:dyDescent="0.35">
      <c r="B1552" t="str">
        <f t="shared" si="1630"/>
        <v>SPS1</v>
      </c>
      <c r="C1552" t="str">
        <f t="shared" si="1631"/>
        <v>CH</v>
      </c>
      <c r="D1552" t="s">
        <v>1538</v>
      </c>
      <c r="E1552" t="str">
        <f t="shared" si="1634"/>
        <v>PJ/yr.</v>
      </c>
      <c r="F1552" s="1">
        <f>SUM(F1557:F1558)</f>
        <v>1.1426045680673971</v>
      </c>
      <c r="G1552" s="1">
        <f t="shared" ref="G1552:K1552" si="1636">SUM(G1557:G1558)</f>
        <v>2.4847566615095085</v>
      </c>
      <c r="H1552" s="1">
        <f t="shared" si="1636"/>
        <v>1.531234194045543</v>
      </c>
      <c r="I1552" s="1">
        <f t="shared" si="1636"/>
        <v>1.7782985166803342</v>
      </c>
      <c r="J1552" s="1">
        <f t="shared" si="1636"/>
        <v>0.81243301778447408</v>
      </c>
      <c r="K1552" s="1">
        <f t="shared" si="1636"/>
        <v>6.694654513047809E-5</v>
      </c>
      <c r="L1552" s="1">
        <f t="shared" ref="L1552" si="1637">SUM(L1557:L1558)</f>
        <v>0</v>
      </c>
      <c r="N1552" s="1"/>
    </row>
    <row r="1553" spans="2:14" x14ac:dyDescent="0.35">
      <c r="B1553" t="str">
        <f t="shared" si="1630"/>
        <v>SPS1</v>
      </c>
      <c r="C1553" t="str">
        <f t="shared" si="1631"/>
        <v>CH</v>
      </c>
      <c r="D1553" t="s">
        <v>1539</v>
      </c>
      <c r="E1553" t="str">
        <f t="shared" si="1634"/>
        <v>PJ/yr.</v>
      </c>
      <c r="F1553" s="1">
        <f>IF(F1552-F1554&lt;0,0,F1552-F1554)</f>
        <v>1.0800577174111838</v>
      </c>
      <c r="G1553" s="1">
        <f t="shared" ref="G1553:L1553" si="1638">IF(G1552-G1554&lt;0,0,G1552-G1554)</f>
        <v>2.3487160030854031</v>
      </c>
      <c r="H1553" s="1">
        <f t="shared" si="1638"/>
        <v>1.4473940232304285</v>
      </c>
      <c r="I1553" s="1">
        <f t="shared" si="1638"/>
        <v>1.622641821203574</v>
      </c>
      <c r="J1553" s="1">
        <f t="shared" si="1638"/>
        <v>0.75085546857525465</v>
      </c>
      <c r="K1553" s="1">
        <f t="shared" si="1638"/>
        <v>3.4623007238361912E-5</v>
      </c>
      <c r="L1553" s="1">
        <f t="shared" si="1638"/>
        <v>0</v>
      </c>
      <c r="N1553" s="1"/>
    </row>
    <row r="1554" spans="2:14" x14ac:dyDescent="0.35">
      <c r="B1554" t="str">
        <f t="shared" si="1630"/>
        <v>SPS1</v>
      </c>
      <c r="C1554" t="str">
        <f t="shared" si="1631"/>
        <v>CH</v>
      </c>
      <c r="D1554" t="s">
        <v>1540</v>
      </c>
      <c r="E1554" t="str">
        <f t="shared" si="1634"/>
        <v>PJ/yr.</v>
      </c>
      <c r="F1554" s="1">
        <f>SUM(F1555:F1556)</f>
        <v>6.254685065621321E-2</v>
      </c>
      <c r="G1554" s="1">
        <f t="shared" ref="G1554:K1554" si="1639">SUM(G1555:G1556)</f>
        <v>0.13604065842410523</v>
      </c>
      <c r="H1554" s="1">
        <f t="shared" si="1639"/>
        <v>8.3840170815114357E-2</v>
      </c>
      <c r="I1554" s="1">
        <f t="shared" si="1639"/>
        <v>0.15565669547676023</v>
      </c>
      <c r="J1554" s="1">
        <f t="shared" si="1639"/>
        <v>6.1577549209219429E-2</v>
      </c>
      <c r="K1554" s="1">
        <f t="shared" si="1639"/>
        <v>3.2323537892116179E-5</v>
      </c>
      <c r="L1554" s="1">
        <f t="shared" ref="L1554" si="1640">SUM(L1555:L1556)</f>
        <v>0</v>
      </c>
      <c r="N1554" s="1"/>
    </row>
    <row r="1555" spans="2:14" x14ac:dyDescent="0.35">
      <c r="B1555" t="str">
        <f t="shared" si="1630"/>
        <v>SPS1</v>
      </c>
      <c r="C1555" t="str">
        <f t="shared" si="1631"/>
        <v>CH</v>
      </c>
      <c r="D1555" t="s">
        <v>1541</v>
      </c>
      <c r="E1555" t="str">
        <f t="shared" si="1634"/>
        <v>PJ/yr.</v>
      </c>
      <c r="F1555" s="1">
        <f>[1]Transport!B$25/SUM([1]Transport!B$21,[1]Transport!B$25)*F1552*(F$35+F$600)/(F$35+F$600+F$39)</f>
        <v>6.254685065621321E-2</v>
      </c>
      <c r="G1555" s="1">
        <f>[1]Transport!C$25/SUM([1]Transport!C$21,[1]Transport!C$25)*G1552*(G$35+G$600)/(G$35+G$600+G$39)</f>
        <v>0.13604065842410523</v>
      </c>
      <c r="H1555" s="1">
        <f>[1]Transport!D$25/SUM([1]Transport!D$21,[1]Transport!D$25)*H1552*(H$35+H$600)/(H$35+H$600+H$39)</f>
        <v>8.3840170815114357E-2</v>
      </c>
      <c r="I1555" s="1">
        <f>[1]Transport!E$25/SUM([1]Transport!E$21,[1]Transport!E$25)*I1552*(I$35+I$600)/(I$35+I$600+I$39)</f>
        <v>0.15565669547676023</v>
      </c>
      <c r="J1555" s="1">
        <f>[2]Transport!F$25/SUM([2]Transport!F$21,[2]Transport!F$25)*J1552*(J$35+J$600)/(J$35+J$600+J$39)</f>
        <v>6.1577549209219429E-2</v>
      </c>
      <c r="K1555" s="1">
        <f>[2]Transport!G$25/SUM([2]Transport!G$21,[2]Transport!G$25)*K1552*(K$35+K$600)/(K$35+K$600+K$39)</f>
        <v>1.3791094693513717E-5</v>
      </c>
      <c r="L1555" s="1">
        <f>[2]Transport!H$25/SUM([2]Transport!H$21,[2]Transport!H$25)*L1552*(L$35+L$600)/(L$35+L$600+L$39)</f>
        <v>0</v>
      </c>
      <c r="N1555" s="1"/>
    </row>
    <row r="1556" spans="2:14" x14ac:dyDescent="0.35">
      <c r="B1556" t="str">
        <f t="shared" si="1630"/>
        <v>SPS1</v>
      </c>
      <c r="C1556" t="str">
        <f t="shared" si="1631"/>
        <v>CH</v>
      </c>
      <c r="D1556" t="s">
        <v>1542</v>
      </c>
      <c r="E1556" t="str">
        <f t="shared" si="1634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(J$39+J$719)/([2]Transport!F$21+[2]Transport!F$25)*J1552</f>
        <v>0</v>
      </c>
      <c r="K1556" s="1">
        <f>(K$39+K$719)/([2]Transport!G$21+[2]Transport!G$25)*K1552</f>
        <v>1.853244319860246E-5</v>
      </c>
      <c r="L1556" s="1">
        <f>(L$39+L$719)/([2]Transport!H$21+[2]Transport!H$25)*L1552</f>
        <v>0</v>
      </c>
      <c r="N1556" s="1"/>
    </row>
    <row r="1557" spans="2:14" x14ac:dyDescent="0.35">
      <c r="B1557" t="str">
        <f t="shared" si="1630"/>
        <v>SPS1</v>
      </c>
      <c r="C1557" t="str">
        <f t="shared" si="1631"/>
        <v>CH</v>
      </c>
      <c r="D1557" t="s">
        <v>1588</v>
      </c>
      <c r="E1557" t="str">
        <f t="shared" si="1634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0.83166199793323137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1.74026824931518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0.55376165763023222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0.27154981516724613</v>
      </c>
      <c r="J1557" s="1" cm="1">
        <f t="array" ref="J1557">SUMPRODUCT(("TFLGV-ICEGSLExt"=[2]OUT_TransportEnergyCons!$A$3:$A$1000)*1,("Var_Fin"=[2]OUT_TransportEnergyCons!$B$3:$B$1000)*1,ISNUMBER(SEARCH("gsl",[2]OUT_TransportEnergyCons!$C$3:$C$1000))*1,[2]OUT_TransportEnergyCons!H$3:H$1000)</f>
        <v>0</v>
      </c>
      <c r="K1557" s="1" cm="1">
        <f t="array" ref="K1557">SUMPRODUCT(("TFLGV-ICEGSLExt"=[2]OUT_TransportEnergyCons!$A$3:$A$1000)*1,("Var_Fin"=[2]OUT_TransportEnergyCons!$B$3:$B$1000)*1,ISNUMBER(SEARCH("gsl",[2]OUT_TransportEnergyCons!$C$3:$C$1000))*1,[2]OUT_TransportEnergyCons!I$3:I$1000)</f>
        <v>0</v>
      </c>
      <c r="L1557" s="1" cm="1">
        <f t="array" ref="L1557">SUMPRODUCT(("TFLGV-ICEGSLExt"=[2]OUT_TransportEnergyCons!$A$3:$A$1000)*1,("Var_Fin"=[2]OUT_TransportEnergyCons!$B$3:$B$1000)*1,ISNUMBER(SEARCH("gsl",[2]OUT_TransportEnergyCons!$C$3:$C$1000))*1,[2]OUT_TransportEnergyCons!J$3:J$1000)</f>
        <v>0</v>
      </c>
      <c r="N1557" s="1"/>
    </row>
    <row r="1558" spans="2:14" x14ac:dyDescent="0.35">
      <c r="B1558" t="str">
        <f t="shared" si="1630"/>
        <v>SPS1</v>
      </c>
      <c r="C1558" t="str">
        <f t="shared" si="1631"/>
        <v>CH</v>
      </c>
      <c r="D1558" t="s">
        <v>1587</v>
      </c>
      <c r="E1558" t="str">
        <f t="shared" si="1634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0.31094257013416571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0.74448841219432871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0.97747253641531073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1.506748701513088</v>
      </c>
      <c r="J1558" s="1" cm="1">
        <f t="array" ref="J1558">SUMPRODUCT(("TFLGV-ICEGSL"=[2]OUT_TransportEnergyCons!$A$3:$A$1000)*1,("Var_Fin"=[2]OUT_TransportEnergyCons!$B$3:$B$1000)*1,ISNUMBER(SEARCH("gsl",[2]OUT_TransportEnergyCons!$C$3:$C$1000))*1,[2]OUT_TransportEnergyCons!H$3:H$1000)</f>
        <v>0.81243301778447408</v>
      </c>
      <c r="K1558" s="1" cm="1">
        <f t="array" ref="K1558">SUMPRODUCT(("TFLGV-ICEGSL"=[2]OUT_TransportEnergyCons!$A$3:$A$1000)*1,("Var_Fin"=[2]OUT_TransportEnergyCons!$B$3:$B$1000)*1,ISNUMBER(SEARCH("gsl",[2]OUT_TransportEnergyCons!$C$3:$C$1000))*1,[2]OUT_TransportEnergyCons!I$3:I$1000)</f>
        <v>6.694654513047809E-5</v>
      </c>
      <c r="L1558" s="1" cm="1">
        <f t="array" ref="L1558">SUMPRODUCT(("TFLGV-ICEGSL"=[2]OUT_TransportEnergyCons!$A$3:$A$1000)*1,("Var_Fin"=[2]OUT_TransportEnergyCons!$B$3:$B$1000)*1,ISNUMBER(SEARCH("gsl",[2]OUT_TransportEnergyCons!$C$3:$C$1000))*1,[2]OUT_TransportEnergyCons!J$3:J$1000)</f>
        <v>0</v>
      </c>
      <c r="N1558" s="1"/>
    </row>
    <row r="1559" spans="2:14" x14ac:dyDescent="0.35">
      <c r="B1559" t="str">
        <f t="shared" si="1630"/>
        <v>SPS1</v>
      </c>
      <c r="C1559" t="str">
        <f t="shared" si="1631"/>
        <v>CH</v>
      </c>
      <c r="D1559" t="s">
        <v>1546</v>
      </c>
      <c r="E1559" t="str">
        <f t="shared" si="1634"/>
        <v>PJ/yr.</v>
      </c>
      <c r="F1559" s="1">
        <f>SUM(F1564:F1566)</f>
        <v>15.505105359707931</v>
      </c>
      <c r="G1559" s="1">
        <f t="shared" ref="G1559:K1559" si="1641">SUM(G1564:G1566)</f>
        <v>12.950275711406938</v>
      </c>
      <c r="H1559" s="1">
        <f t="shared" si="1641"/>
        <v>12.247283116217471</v>
      </c>
      <c r="I1559" s="1">
        <f t="shared" si="1641"/>
        <v>6.0928916622375153</v>
      </c>
      <c r="J1559" s="1">
        <f t="shared" si="1641"/>
        <v>0.56994009184558247</v>
      </c>
      <c r="K1559" s="1">
        <f t="shared" si="1641"/>
        <v>1.3994713844059861E-4</v>
      </c>
      <c r="L1559" s="1">
        <f t="shared" ref="L1559" si="1642">SUM(L1564:L1566)</f>
        <v>0</v>
      </c>
      <c r="N1559" s="1"/>
    </row>
    <row r="1560" spans="2:14" x14ac:dyDescent="0.35">
      <c r="B1560" t="str">
        <f t="shared" si="1630"/>
        <v>SPS1</v>
      </c>
      <c r="C1560" t="str">
        <f t="shared" si="1631"/>
        <v>CH</v>
      </c>
      <c r="D1560" t="s">
        <v>1547</v>
      </c>
      <c r="E1560" t="str">
        <f t="shared" si="1634"/>
        <v>PJ/yr.</v>
      </c>
      <c r="F1560" s="1">
        <f>IF(F1559-F1561&lt;0,0,F1559-F1561)</f>
        <v>15.130817414322925</v>
      </c>
      <c r="G1560" s="1">
        <f t="shared" ref="G1560:L1560" si="1643">IF(G1559-G1561&lt;0,0,G1559-G1561)</f>
        <v>12.612645559863992</v>
      </c>
      <c r="H1560" s="1">
        <f t="shared" si="1643"/>
        <v>11.700006341135857</v>
      </c>
      <c r="I1560" s="1">
        <f t="shared" si="1643"/>
        <v>5.7862831776059975</v>
      </c>
      <c r="J1560" s="1">
        <f t="shared" si="1643"/>
        <v>0.52137599009569868</v>
      </c>
      <c r="K1560" s="1">
        <f t="shared" si="1643"/>
        <v>1.1456140642935415E-4</v>
      </c>
      <c r="L1560" s="1">
        <f t="shared" si="1643"/>
        <v>0</v>
      </c>
      <c r="N1560" s="1"/>
    </row>
    <row r="1561" spans="2:14" x14ac:dyDescent="0.35">
      <c r="B1561" t="str">
        <f t="shared" si="1630"/>
        <v>SPS1</v>
      </c>
      <c r="C1561" t="str">
        <f t="shared" si="1631"/>
        <v>CH</v>
      </c>
      <c r="D1561" t="s">
        <v>1548</v>
      </c>
      <c r="E1561" t="str">
        <f t="shared" si="1634"/>
        <v>PJ/yr.</v>
      </c>
      <c r="F1561" s="1">
        <f>SUM(F1562:F1563)</f>
        <v>0.37428794538500659</v>
      </c>
      <c r="G1561" s="1">
        <f t="shared" ref="G1561:K1561" si="1644">SUM(G1562:G1563)</f>
        <v>0.33763015154294518</v>
      </c>
      <c r="H1561" s="1">
        <f t="shared" si="1644"/>
        <v>0.54727677508161288</v>
      </c>
      <c r="I1561" s="1">
        <f t="shared" si="1644"/>
        <v>0.30660848463151807</v>
      </c>
      <c r="J1561" s="1">
        <f t="shared" si="1644"/>
        <v>4.8564101749883765E-2</v>
      </c>
      <c r="K1561" s="1">
        <f t="shared" si="1644"/>
        <v>2.5385732011244461E-5</v>
      </c>
      <c r="L1561" s="1">
        <f t="shared" ref="L1561" si="1645">SUM(L1562:L1563)</f>
        <v>0</v>
      </c>
      <c r="N1561" s="1"/>
    </row>
    <row r="1562" spans="2:14" x14ac:dyDescent="0.35">
      <c r="B1562" t="str">
        <f t="shared" si="1630"/>
        <v>SPS1</v>
      </c>
      <c r="C1562" t="str">
        <f t="shared" si="1631"/>
        <v>CH</v>
      </c>
      <c r="D1562" t="s">
        <v>1549</v>
      </c>
      <c r="E1562" t="str">
        <f t="shared" si="1634"/>
        <v>PJ/yr.</v>
      </c>
      <c r="F1562" s="1">
        <f>[1]Transport!B$26/SUM([1]Transport!B$22,[1]Transport!B$26)*F1559*(F$34+F$582)/(F$34+F$582+F$38)</f>
        <v>0.37428794538500659</v>
      </c>
      <c r="G1562" s="1">
        <f>[1]Transport!C$26/SUM([1]Transport!C$22,[1]Transport!C$26)*G1559*(G$34+G$582)/(G$34+G$582+G$38)</f>
        <v>0.33763015154294518</v>
      </c>
      <c r="H1562" s="1">
        <f>[1]Transport!D$26/SUM([1]Transport!D$22,[1]Transport!D$26)*H1559*(H$34+H$582)/(H$34+H$582+H$38)</f>
        <v>0.54727677508161288</v>
      </c>
      <c r="I1562" s="1">
        <f>[1]Transport!E$26/SUM([1]Transport!E$22,[1]Transport!E$26)*I1559*(I$34+I$582)/(I$34+I$582+I$38)</f>
        <v>0.30660848463151807</v>
      </c>
      <c r="J1562" s="1">
        <f>[2]Transport!F$26/SUM([2]Transport!F$22,[2]Transport!F$26)*J1559*(J$34+J$582)/(J$34+J$582+J$38)</f>
        <v>4.8564101749883765E-2</v>
      </c>
      <c r="K1562" s="1">
        <f>[2]Transport!G$26/SUM([2]Transport!G$22,[2]Transport!G$26)*K1559*(K$34+K$582)/(K$34+K$582+K$38)</f>
        <v>2.3765777759714996E-5</v>
      </c>
      <c r="L1562" s="1">
        <f>[2]Transport!H$26/SUM([2]Transport!H$22,[2]Transport!H$26)*L1559*(L$34+L$582)/(L$34+L$582+L$38)</f>
        <v>0</v>
      </c>
      <c r="N1562" s="1"/>
    </row>
    <row r="1563" spans="2:14" x14ac:dyDescent="0.35">
      <c r="B1563" t="str">
        <f t="shared" si="1630"/>
        <v>SPS1</v>
      </c>
      <c r="C1563" t="str">
        <f t="shared" si="1631"/>
        <v>CH</v>
      </c>
      <c r="D1563" t="s">
        <v>1550</v>
      </c>
      <c r="E1563" t="str">
        <f t="shared" si="1634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(J$38+J$718)/([2]Transport!F$22+[2]Transport!F$26)*J1559</f>
        <v>0</v>
      </c>
      <c r="K1563" s="1">
        <f>(K$38+K$718)/([2]Transport!G$22+[2]Transport!G$26)*K1559</f>
        <v>1.6199542515294654E-6</v>
      </c>
      <c r="L1563" s="1">
        <f>(L$38+L$718)/([2]Transport!H$22+[2]Transport!H$26)*L1559</f>
        <v>0</v>
      </c>
      <c r="N1563" s="1"/>
    </row>
    <row r="1564" spans="2:14" x14ac:dyDescent="0.35">
      <c r="B1564" t="str">
        <f t="shared" si="1630"/>
        <v>SPS1</v>
      </c>
      <c r="C1564" t="str">
        <f t="shared" si="1631"/>
        <v>CH</v>
      </c>
      <c r="D1564" t="s">
        <v>1551</v>
      </c>
      <c r="E1564" t="str">
        <f t="shared" si="1634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11.106116530533903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7.4902628750306288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5.4684911251447881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2.7260035426314948</v>
      </c>
      <c r="J1564" s="1" cm="1">
        <f t="array" ref="J1564">SUMPRODUCT(("TFLGV-ICEdslExt"=[2]OUT_TransportEnergyCons!$A$3:$A$1000)*1,("Var_Fin"=[2]OUT_TransportEnergyCons!$B$3:$B$1000)*1,ISNUMBER(SEARCH("dsl",[2]OUT_TransportEnergyCons!$C$3:$C$1000))*1,[2]OUT_TransportEnergyCons!H$3:H$1000)</f>
        <v>0</v>
      </c>
      <c r="K1564" s="1" cm="1">
        <f t="array" ref="K1564">SUMPRODUCT(("TFLGV-ICEdslExt"=[2]OUT_TransportEnergyCons!$A$3:$A$1000)*1,("Var_Fin"=[2]OUT_TransportEnergyCons!$B$3:$B$1000)*1,ISNUMBER(SEARCH("dsl",[2]OUT_TransportEnergyCons!$C$3:$C$1000))*1,[2]OUT_TransportEnergyCons!I$3:I$1000)</f>
        <v>0</v>
      </c>
      <c r="L1564" s="1" cm="1">
        <f t="array" ref="L1564">SUMPRODUCT(("TFLGV-ICEdslExt"=[2]OUT_TransportEnergyCons!$A$3:$A$1000)*1,("Var_Fin"=[2]OUT_TransportEnergyCons!$B$3:$B$1000)*1,ISNUMBER(SEARCH("dsl",[2]OUT_TransportEnergyCons!$C$3:$C$1000))*1,[2]OUT_TransportEnergyCons!J$3:J$1000)</f>
        <v>0</v>
      </c>
      <c r="N1564" s="1"/>
    </row>
    <row r="1565" spans="2:14" x14ac:dyDescent="0.35">
      <c r="B1565" t="str">
        <f t="shared" si="1630"/>
        <v>SPS1</v>
      </c>
      <c r="C1565" t="str">
        <f t="shared" si="1631"/>
        <v>CH</v>
      </c>
      <c r="D1565" t="s">
        <v>1552</v>
      </c>
      <c r="E1565" t="str">
        <f t="shared" si="1634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4.3989888291740282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5.2516929119839455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5.1524301739934444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2.1659502311627272</v>
      </c>
      <c r="J1565" s="1" cm="1">
        <f t="array" ref="J1565">SUMPRODUCT(("TFLGV-ICEdsl"=[2]OUT_TransportEnergyCons!$A$3:$A$1000)*1,("Var_Fin"=[2]OUT_TransportEnergyCons!$B$3:$B$1000)*1,ISNUMBER(SEARCH("dsl",[2]OUT_TransportEnergyCons!$C$3:$C$1000))*1,[2]OUT_TransportEnergyCons!H$3:H$1000)</f>
        <v>2.4547006961476176E-3</v>
      </c>
      <c r="K1565" s="1" cm="1">
        <f t="array" ref="K1565">SUMPRODUCT(("TFLGV-ICEdsl"=[2]OUT_TransportEnergyCons!$A$3:$A$1000)*1,("Var_Fin"=[2]OUT_TransportEnergyCons!$B$3:$B$1000)*1,ISNUMBER(SEARCH("dsl",[2]OUT_TransportEnergyCons!$C$3:$C$1000))*1,[2]OUT_TransportEnergyCons!I$3:I$1000)</f>
        <v>6.6223853277282997E-5</v>
      </c>
      <c r="L1565" s="1" cm="1">
        <f t="array" ref="L1565">SUMPRODUCT(("TFLGV-ICEdsl"=[2]OUT_TransportEnergyCons!$A$3:$A$1000)*1,("Var_Fin"=[2]OUT_TransportEnergyCons!$B$3:$B$1000)*1,ISNUMBER(SEARCH("dsl",[2]OUT_TransportEnergyCons!$C$3:$C$1000))*1,[2]OUT_TransportEnergyCons!J$3:J$1000)</f>
        <v>0</v>
      </c>
      <c r="N1565" s="1"/>
    </row>
    <row r="1566" spans="2:14" x14ac:dyDescent="0.35">
      <c r="B1566" t="str">
        <f t="shared" si="1630"/>
        <v>SPS1</v>
      </c>
      <c r="C1566" t="str">
        <f t="shared" si="1631"/>
        <v>CH</v>
      </c>
      <c r="D1566" t="s">
        <v>1553</v>
      </c>
      <c r="E1566" t="str">
        <f t="shared" si="1634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0.20831992439236316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1.6263618170792393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1.2009378884432929</v>
      </c>
      <c r="J1566" s="1" cm="1">
        <f t="array" ref="J1566">SUMPRODUCT(("TFLGV-HYBDSL"=[2]OUT_TransportEnergyCons!$A$3:$A$1000)*1,("Var_Fin"=[2]OUT_TransportEnergyCons!$B$3:$B$1000)*1,ISNUMBER(SEARCH("dsl",[2]OUT_TransportEnergyCons!$C$3:$C$1000))*1,[2]OUT_TransportEnergyCons!H$3:H$1000)</f>
        <v>0.56748539114943486</v>
      </c>
      <c r="K1566" s="1" cm="1">
        <f t="array" ref="K1566">SUMPRODUCT(("TFLGV-HYBDSL"=[2]OUT_TransportEnergyCons!$A$3:$A$1000)*1,("Var_Fin"=[2]OUT_TransportEnergyCons!$B$3:$B$1000)*1,ISNUMBER(SEARCH("dsl",[2]OUT_TransportEnergyCons!$C$3:$C$1000))*1,[2]OUT_TransportEnergyCons!I$3:I$1000)</f>
        <v>7.3723285163315608E-5</v>
      </c>
      <c r="L1566" s="1" cm="1">
        <f t="array" ref="L1566">SUMPRODUCT(("TFLGV-HYBDSL"=[2]OUT_TransportEnergyCons!$A$3:$A$1000)*1,("Var_Fin"=[2]OUT_TransportEnergyCons!$B$3:$B$1000)*1,ISNUMBER(SEARCH("dsl",[2]OUT_TransportEnergyCons!$C$3:$C$1000))*1,[2]OUT_TransportEnergyCons!J$3:J$1000)</f>
        <v>0</v>
      </c>
      <c r="N1566" s="1"/>
    </row>
    <row r="1567" spans="2:14" x14ac:dyDescent="0.35">
      <c r="B1567" t="str">
        <f t="shared" si="1630"/>
        <v>SPS1</v>
      </c>
      <c r="C1567" t="str">
        <f t="shared" si="1631"/>
        <v>CH</v>
      </c>
      <c r="D1567" t="s">
        <v>1554</v>
      </c>
      <c r="E1567" t="str">
        <f t="shared" si="1634"/>
        <v>PJ/yr.</v>
      </c>
      <c r="F1567" s="1">
        <f>F1572</f>
        <v>2.4713232225930182E-2</v>
      </c>
      <c r="G1567" s="1">
        <f t="shared" ref="G1567:K1567" si="1646">G1572</f>
        <v>2.6791985706767552E-2</v>
      </c>
      <c r="H1567" s="1">
        <f t="shared" si="1646"/>
        <v>3.3799811962603565E-2</v>
      </c>
      <c r="I1567" s="1">
        <f t="shared" si="1646"/>
        <v>4.5381420104671309E-3</v>
      </c>
      <c r="J1567" s="1">
        <f t="shared" si="1646"/>
        <v>4.8287452026436437E-5</v>
      </c>
      <c r="K1567" s="1">
        <f t="shared" si="1646"/>
        <v>6.0071376590962729E-6</v>
      </c>
      <c r="L1567" s="1">
        <f t="shared" ref="L1567" si="1647">L1572</f>
        <v>0</v>
      </c>
      <c r="N1567" s="1"/>
    </row>
    <row r="1568" spans="2:14" x14ac:dyDescent="0.35">
      <c r="B1568" t="str">
        <f t="shared" si="1630"/>
        <v>SPS1</v>
      </c>
      <c r="C1568" t="str">
        <f t="shared" si="1631"/>
        <v>CH</v>
      </c>
      <c r="D1568" t="s">
        <v>1555</v>
      </c>
      <c r="E1568" t="str">
        <f t="shared" si="1634"/>
        <v>PJ/yr.</v>
      </c>
      <c r="F1568" s="1">
        <f>IF(F1567-F1569&lt;0,0,F1567-F1569)</f>
        <v>2.2723868807264892E-2</v>
      </c>
      <c r="G1568" s="1">
        <f t="shared" ref="G1568:L1568" si="1648">IF(G1567-G1569&lt;0,0,G1567-G1569)</f>
        <v>2.417907903291909E-2</v>
      </c>
      <c r="H1568" s="1">
        <f t="shared" si="1648"/>
        <v>3.06382304545443E-2</v>
      </c>
      <c r="I1568" s="1">
        <f t="shared" si="1648"/>
        <v>3.778832016056455E-3</v>
      </c>
      <c r="J1568" s="1">
        <f t="shared" si="1648"/>
        <v>0</v>
      </c>
      <c r="K1568" s="1">
        <f t="shared" si="1648"/>
        <v>0</v>
      </c>
      <c r="L1568" s="1">
        <f t="shared" si="1648"/>
        <v>0</v>
      </c>
      <c r="N1568" s="1"/>
    </row>
    <row r="1569" spans="2:14" x14ac:dyDescent="0.35">
      <c r="B1569" t="str">
        <f t="shared" si="1630"/>
        <v>SPS1</v>
      </c>
      <c r="C1569" t="str">
        <f t="shared" si="1631"/>
        <v>CH</v>
      </c>
      <c r="D1569" t="s">
        <v>1556</v>
      </c>
      <c r="E1569" t="str">
        <f t="shared" si="1634"/>
        <v>PJ/yr.</v>
      </c>
      <c r="F1569" s="1">
        <f>SUM(F1570:F1571)</f>
        <v>1.9893634186652896E-3</v>
      </c>
      <c r="G1569" s="1">
        <f t="shared" ref="G1569:K1569" si="1649">SUM(G1570:G1571)</f>
        <v>2.6129066738484626E-3</v>
      </c>
      <c r="H1569" s="1">
        <f t="shared" si="1649"/>
        <v>3.1615815080592666E-3</v>
      </c>
      <c r="I1569" s="1">
        <f t="shared" si="1649"/>
        <v>7.5930999441067609E-4</v>
      </c>
      <c r="J1569" s="1">
        <f t="shared" si="1649"/>
        <v>6.0228814011762518E-3</v>
      </c>
      <c r="K1569" s="1">
        <f t="shared" si="1649"/>
        <v>3.3205142088144145E-2</v>
      </c>
      <c r="L1569" s="1">
        <f t="shared" ref="L1569" si="1650">SUM(L1570:L1571)</f>
        <v>0</v>
      </c>
      <c r="N1569" s="1"/>
    </row>
    <row r="1570" spans="2:14" x14ac:dyDescent="0.35">
      <c r="B1570" t="str">
        <f t="shared" si="1630"/>
        <v>SPS1</v>
      </c>
      <c r="C1570" t="str">
        <f t="shared" si="1631"/>
        <v>CH</v>
      </c>
      <c r="D1570" t="s">
        <v>1557</v>
      </c>
      <c r="E1570" t="str">
        <f t="shared" si="1634"/>
        <v>PJ/yr.</v>
      </c>
      <c r="F1570" s="1">
        <f>[1]Transport!B$27/SUM([1]Transport!B$24,[1]Transport!B$27)*F1567*(F$47+F$614)/(F$47+F$614+F$49)</f>
        <v>1.9893634186652896E-3</v>
      </c>
      <c r="G1570" s="1">
        <f>[1]Transport!C$27/SUM([1]Transport!C$24,[1]Transport!C$27)*G1567*(G$47+G$614)/(G$47+G$614+G$49)</f>
        <v>2.6129066738484626E-3</v>
      </c>
      <c r="H1570" s="1">
        <f>[1]Transport!D$27/SUM([1]Transport!D$24,[1]Transport!D$27)*H1567*(H$47+H$614)/(H$47+H$614+H$49)</f>
        <v>3.1615815080592666E-3</v>
      </c>
      <c r="I1570" s="1">
        <f>[1]Transport!E$27/SUM([1]Transport!E$24,[1]Transport!E$27)*I1567*(I$47+I$614)/(I$47+I$614+I$49)</f>
        <v>7.5930999441067609E-4</v>
      </c>
      <c r="J1570" s="1">
        <f>[2]Transport!F$27/SUM([2]Transport!F$24,[2]Transport!F$27)*J1567*(J$47+J$614)/(J$47+J$614+J$49)</f>
        <v>1.0132881098349269E-5</v>
      </c>
      <c r="K1570" s="1">
        <f>[2]Transport!G$27/SUM([2]Transport!G$24,[2]Transport!G$27)*K1567*(K$47+K$614)/(K$47+K$614+K$49)</f>
        <v>1.6327727934757443E-6</v>
      </c>
      <c r="L1570" s="1">
        <f>[2]Transport!H$27/SUM([2]Transport!H$24,[2]Transport!H$27)*L1567*(L$47+L$614)/(L$47+L$614+L$49)</f>
        <v>0</v>
      </c>
      <c r="N1570" s="1"/>
    </row>
    <row r="1571" spans="2:14" x14ac:dyDescent="0.35">
      <c r="B1571" t="str">
        <f t="shared" si="1630"/>
        <v>SPS1</v>
      </c>
      <c r="C1571" t="str">
        <f t="shared" si="1631"/>
        <v>CH</v>
      </c>
      <c r="D1571" t="s">
        <v>1558</v>
      </c>
      <c r="E1571" t="str">
        <f t="shared" si="1634"/>
        <v>PJ/yr.</v>
      </c>
      <c r="F1571" s="1">
        <f>(F$49+F$716)/([1]Transport!B$24+[1]Transport!B$27)*F1567</f>
        <v>0</v>
      </c>
      <c r="G1571" s="1">
        <f>(G$49+G$716)/([1]Transport!C$24+[1]Transport!C$27)*G1567</f>
        <v>0</v>
      </c>
      <c r="H1571" s="1">
        <f>(H$49+H$716)/([1]Transport!D$24+[1]Transport!D$27)*H1567</f>
        <v>0</v>
      </c>
      <c r="I1571" s="1">
        <f>(I$49+I$716)/([1]Transport!E$24+[1]Transport!E$27)*I1567</f>
        <v>0</v>
      </c>
      <c r="J1571" s="1">
        <f>(J$49+J$716)/([2]Transport!F$24+[2]Transport!F$27)*J1567</f>
        <v>6.0127485200779027E-3</v>
      </c>
      <c r="K1571" s="1">
        <f>(K$49+K$716)/([2]Transport!G$24+[2]Transport!G$27)*K1567</f>
        <v>3.3203509315350668E-2</v>
      </c>
      <c r="L1571" s="1">
        <f>(L$49+L$716)/([2]Transport!H$24+[2]Transport!H$27)*L1567</f>
        <v>0</v>
      </c>
      <c r="N1571" s="1"/>
    </row>
    <row r="1572" spans="2:14" x14ac:dyDescent="0.35">
      <c r="B1572" t="str">
        <f t="shared" si="1630"/>
        <v>SPS1</v>
      </c>
      <c r="C1572" t="str">
        <f t="shared" si="1631"/>
        <v>CH</v>
      </c>
      <c r="D1572" t="s">
        <v>1559</v>
      </c>
      <c r="E1572" t="str">
        <f t="shared" si="1634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2.4713232225930182E-2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2.6791985706767552E-2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3.3799811962603565E-2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4.5381420104671309E-3</v>
      </c>
      <c r="J1572" s="1" cm="1">
        <f t="array" ref="J1572">SUMPRODUCT(("TFLGV-ICENGA"=[2]OUT_TransportEnergyCons!$A$3:$A$1000)*1,("Var_Fin"=[2]OUT_TransportEnergyCons!$B$3:$B$1000)*1,ISNUMBER(SEARCH("nga",[2]OUT_TransportEnergyCons!$C$3:$C$1000))*1,[2]OUT_TransportEnergyCons!H$3:H$1000)</f>
        <v>4.8287452026436437E-5</v>
      </c>
      <c r="K1572" s="1" cm="1">
        <f t="array" ref="K1572">SUMPRODUCT(("TFLGV-ICENGA"=[2]OUT_TransportEnergyCons!$A$3:$A$1000)*1,("Var_Fin"=[2]OUT_TransportEnergyCons!$B$3:$B$1000)*1,ISNUMBER(SEARCH("nga",[2]OUT_TransportEnergyCons!$C$3:$C$1000))*1,[2]OUT_TransportEnergyCons!I$3:I$1000)</f>
        <v>6.0071376590962729E-6</v>
      </c>
      <c r="L1572" s="1" cm="1">
        <f t="array" ref="L1572">SUMPRODUCT(("TFLGV-ICENGA"=[2]OUT_TransportEnergyCons!$A$3:$A$1000)*1,("Var_Fin"=[2]OUT_TransportEnergyCons!$B$3:$B$1000)*1,ISNUMBER(SEARCH("nga",[2]OUT_TransportEnergyCons!$C$3:$C$1000))*1,[2]OUT_TransportEnergyCons!J$3:J$1000)</f>
        <v>0</v>
      </c>
      <c r="N1572" s="1"/>
    </row>
    <row r="1573" spans="2:14" x14ac:dyDescent="0.35">
      <c r="B1573" s="2" t="str">
        <f t="shared" si="1630"/>
        <v>SPS1</v>
      </c>
      <c r="C1573" s="2" t="str">
        <f t="shared" si="1631"/>
        <v>CH</v>
      </c>
      <c r="D1573" s="2" t="s">
        <v>1560</v>
      </c>
      <c r="E1573" s="2" t="s">
        <v>1517</v>
      </c>
      <c r="F1573" s="3">
        <f>SUM(F1574:F1582)</f>
        <v>4.7803876426049872</v>
      </c>
      <c r="G1573" s="3">
        <f t="shared" ref="G1573:K1573" si="1651">SUM(G1574:G1582)</f>
        <v>4.7704279757921242</v>
      </c>
      <c r="H1573" s="3">
        <f t="shared" si="1651"/>
        <v>4.7092082255660062</v>
      </c>
      <c r="I1573" s="3">
        <f t="shared" si="1651"/>
        <v>4.6479370986648227</v>
      </c>
      <c r="J1573" s="3">
        <f t="shared" si="1651"/>
        <v>4.8292195236533049</v>
      </c>
      <c r="K1573" s="3">
        <f t="shared" si="1651"/>
        <v>4.9926196601734025</v>
      </c>
      <c r="L1573" s="3">
        <f t="shared" ref="L1573" si="1652">SUM(L1574:L1582)</f>
        <v>5.4029451835141131</v>
      </c>
      <c r="N1573" s="1"/>
    </row>
    <row r="1574" spans="2:14" x14ac:dyDescent="0.35">
      <c r="B1574" t="str">
        <f t="shared" si="1630"/>
        <v>SPS1</v>
      </c>
      <c r="C1574" t="str">
        <f t="shared" si="1631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2.7237543907744723E-2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2.4053218470938761E-2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1.8182701675714088E-2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8.7347022263688911E-3</v>
      </c>
      <c r="J1574" s="1" cm="1">
        <f t="array" ref="J1574">SUMPRODUCT(("TFLGV-BeVELCExt"=[2]OUT_TransportEnergyCons!$A$3:$A$1000)*1,("var_fout"=[2]OUT_TransportEnergyCons!$B$3:$B$1000)*1,ISNUMBER(SEARCH("TFLGV",[2]OUT_TransportEnergyCons!$C$3:$C$1000))*1,[2]OUT_TransportEnergyCons!H$3:H$1000)</f>
        <v>0</v>
      </c>
      <c r="K1574" s="1" cm="1">
        <f t="array" ref="K1574">SUMPRODUCT(("TFLGV-BeVELCExt"=[2]OUT_TransportEnergyCons!$A$3:$A$1000)*1,("var_fout"=[2]OUT_TransportEnergyCons!$B$3:$B$1000)*1,ISNUMBER(SEARCH("TFLGV",[2]OUT_TransportEnergyCons!$C$3:$C$1000))*1,[2]OUT_TransportEnergyCons!I$3:I$1000)</f>
        <v>0</v>
      </c>
      <c r="L1574" s="1" cm="1">
        <f t="array" ref="L1574">SUMPRODUCT(("TFLGV-BeVELCExt"=[2]OUT_TransportEnergyCons!$A$3:$A$1000)*1,("var_fout"=[2]OUT_TransportEnergyCons!$B$3:$B$1000)*1,ISNUMBER(SEARCH("TFLGV",[2]OUT_TransportEnergyCons!$C$3:$C$1000))*1,[2]OUT_TransportEnergyCons!J$3:J$1000)</f>
        <v>0</v>
      </c>
      <c r="N1574" s="1"/>
    </row>
    <row r="1575" spans="2:14" x14ac:dyDescent="0.35">
      <c r="B1575" t="str">
        <f t="shared" si="1630"/>
        <v>SPS1</v>
      </c>
      <c r="C1575" t="str">
        <f t="shared" si="1631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2.3310932083846735E-2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8.8739856544527054E-2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0.12865528017552175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1.9700503006695596</v>
      </c>
      <c r="J1575" s="1" cm="1">
        <f t="array" ref="J1575">SUMPRODUCT(("TFLGV-BEVELC"=[2]OUT_TransportEnergyCons!$A$3:$A$1000)*1,("var_fout"=[2]OUT_TransportEnergyCons!$B$3:$B$1000)*1,ISNUMBER(SEARCH("TFLGV",[2]OUT_TransportEnergyCons!$C$3:$C$1000))*1,[2]OUT_TransportEnergyCons!H$3:H$1000)</f>
        <v>4.2815249929285546</v>
      </c>
      <c r="K1575" s="1" cm="1">
        <f t="array" ref="K1575">SUMPRODUCT(("TFLGV-BEVELC"=[2]OUT_TransportEnergyCons!$A$3:$A$1000)*1,("var_fout"=[2]OUT_TransportEnergyCons!$B$3:$B$1000)*1,ISNUMBER(SEARCH("TFLGV",[2]OUT_TransportEnergyCons!$C$3:$C$1000))*1,[2]OUT_TransportEnergyCons!I$3:I$1000)</f>
        <v>4.9925286967655182</v>
      </c>
      <c r="L1575" s="1" cm="1">
        <f t="array" ref="L1575">SUMPRODUCT(("TFLGV-BEVELC"=[2]OUT_TransportEnergyCons!$A$3:$A$1000)*1,("var_fout"=[2]OUT_TransportEnergyCons!$B$3:$B$1000)*1,ISNUMBER(SEARCH("TFLGV",[2]OUT_TransportEnergyCons!$C$3:$C$1000))*1,[2]OUT_TransportEnergyCons!J$3:J$1000)</f>
        <v>5.4029372757792924</v>
      </c>
      <c r="N1575" s="1"/>
    </row>
    <row r="1576" spans="2:14" x14ac:dyDescent="0.35">
      <c r="B1576" t="str">
        <f t="shared" si="1630"/>
        <v>SPS1</v>
      </c>
      <c r="C1576" t="str">
        <f t="shared" si="1631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3.986184500137294E-4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6.0023490627610608E-4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1.9825360342799568E-4</v>
      </c>
      <c r="J1576" s="1" cm="1">
        <f t="array" ref="J1576">SUMPRODUCT(("TFLGV-FCLH2O"=[2]OUT_TransportEnergyCons!$A$3:$A$1000)*1,("var_fout"=[2]OUT_TransportEnergyCons!$B$3:$B$1000)*1,ISNUMBER(SEARCH("TFLGV",[2]OUT_TransportEnergyCons!$C$3:$C$1000))*1,[2]OUT_TransportEnergyCons!H$3:H$1000)</f>
        <v>9.850866127126338E-6</v>
      </c>
      <c r="K1576" s="1" cm="1">
        <f t="array" ref="K1576">SUMPRODUCT(("TFLGV-FCLH2O"=[2]OUT_TransportEnergyCons!$A$3:$A$1000)*1,("var_fout"=[2]OUT_TransportEnergyCons!$B$3:$B$1000)*1,ISNUMBER(SEARCH("TFLGV",[2]OUT_TransportEnergyCons!$C$3:$C$1000))*1,[2]OUT_TransportEnergyCons!I$3:I$1000)</f>
        <v>8.8986071019752035E-6</v>
      </c>
      <c r="L1576" s="1" cm="1">
        <f t="array" ref="L1576">SUMPRODUCT(("TFLGV-FCLH2O"=[2]OUT_TransportEnergyCons!$A$3:$A$1000)*1,("var_fout"=[2]OUT_TransportEnergyCons!$B$3:$B$1000)*1,ISNUMBER(SEARCH("TFLGV",[2]OUT_TransportEnergyCons!$C$3:$C$1000))*1,[2]OUT_TransportEnergyCons!J$3:J$1000)</f>
        <v>7.9077348203997464E-6</v>
      </c>
      <c r="N1576" s="1"/>
    </row>
    <row r="1577" spans="2:14" x14ac:dyDescent="0.35">
      <c r="B1577" t="str">
        <f t="shared" si="1630"/>
        <v>SPS1</v>
      </c>
      <c r="C1577" t="str">
        <f t="shared" si="1631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0.23085544539155137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0.48757154799947011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0.15729653438406543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7.7133987609815685E-2</v>
      </c>
      <c r="J1577" s="1" cm="1">
        <f t="array" ref="J1577">SUMPRODUCT(("TFLGV-ICEGSLExt"=[2]OUT_TransportEnergyCons!$A$3:$A$1000)*1,("var_fout"=[2]OUT_TransportEnergyCons!$B$3:$B$1000)*1,ISNUMBER(SEARCH("TFLGV",[2]OUT_TransportEnergyCons!$C$3:$C$1000))*1,[2]OUT_TransportEnergyCons!H$3:H$1000)</f>
        <v>0</v>
      </c>
      <c r="K1577" s="1" cm="1">
        <f t="array" ref="K1577">SUMPRODUCT(("TFLGV-ICEGSLExt"=[2]OUT_TransportEnergyCons!$A$3:$A$1000)*1,("var_fout"=[2]OUT_TransportEnergyCons!$B$3:$B$1000)*1,ISNUMBER(SEARCH("TFLGV",[2]OUT_TransportEnergyCons!$C$3:$C$1000))*1,[2]OUT_TransportEnergyCons!I$3:I$1000)</f>
        <v>0</v>
      </c>
      <c r="L1577" s="1" cm="1">
        <f t="array" ref="L1577">SUMPRODUCT(("TFLGV-ICEGSLExt"=[2]OUT_TransportEnergyCons!$A$3:$A$1000)*1,("var_fout"=[2]OUT_TransportEnergyCons!$B$3:$B$1000)*1,ISNUMBER(SEARCH("TFLGV",[2]OUT_TransportEnergyCons!$C$3:$C$1000))*1,[2]OUT_TransportEnergyCons!J$3:J$1000)</f>
        <v>0</v>
      </c>
      <c r="N1577" s="1"/>
    </row>
    <row r="1578" spans="2:14" x14ac:dyDescent="0.35">
      <c r="B1578" t="str">
        <f t="shared" si="1630"/>
        <v>SPS1</v>
      </c>
      <c r="C1578" t="str">
        <f t="shared" si="1631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0.10921223831108169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0.26148637626981458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0.34331729985850745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0.52921476204933138</v>
      </c>
      <c r="J1578" s="1" cm="1">
        <f t="array" ref="J1578">SUMPRODUCT(("TFLGV-ICEGSL"=[2]OUT_TransportEnergyCons!$A$3:$A$1000)*1,("var_fout"=[2]OUT_TransportEnergyCons!$B$3:$B$1000)*1,ISNUMBER(SEARCH("TFLGV",[2]OUT_TransportEnergyCons!$C$3:$C$1000))*1,[2]OUT_TransportEnergyCons!H$3:H$1000)</f>
        <v>0.2853505337393491</v>
      </c>
      <c r="K1578" s="1" cm="1">
        <f t="array" ref="K1578">SUMPRODUCT(("TFLGV-ICEGSL"=[2]OUT_TransportEnergyCons!$A$3:$A$1000)*1,("var_fout"=[2]OUT_TransportEnergyCons!$B$3:$B$1000)*1,ISNUMBER(SEARCH("TFLGV",[2]OUT_TransportEnergyCons!$C$3:$C$1000))*1,[2]OUT_TransportEnergyCons!I$3:I$1000)</f>
        <v>2.3513609081376762E-5</v>
      </c>
      <c r="L1578" s="1" cm="1">
        <f t="array" ref="L1578">SUMPRODUCT(("TFLGV-ICEGSL"=[2]OUT_TransportEnergyCons!$A$3:$A$1000)*1,("var_fout"=[2]OUT_TransportEnergyCons!$B$3:$B$1000)*1,ISNUMBER(SEARCH("TFLGV",[2]OUT_TransportEnergyCons!$C$3:$C$1000))*1,[2]OUT_TransportEnergyCons!J$3:J$1000)</f>
        <v>0</v>
      </c>
      <c r="N1578" s="1"/>
    </row>
    <row r="1579" spans="2:14" x14ac:dyDescent="0.35">
      <c r="B1579" t="str">
        <f t="shared" si="1630"/>
        <v>SPS1</v>
      </c>
      <c r="C1579" t="str">
        <f t="shared" si="1631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2.8768910679731654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2.0069220302618147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1.5382247735055503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0.76679399965719586</v>
      </c>
      <c r="J1579" s="1" cm="1">
        <f t="array" ref="J1579">SUMPRODUCT(("TFLGV-ICEdslExt"=[2]OUT_TransportEnergyCons!$A$3:$A$1000)*1,("var_fout"=[2]OUT_TransportEnergyCons!$B$3:$B$1000)*1,ISNUMBER(SEARCH("TFLGV",[2]OUT_TransportEnergyCons!$C$3:$C$1000))*1,[2]OUT_TransportEnergyCons!H$3:H$1000)</f>
        <v>0</v>
      </c>
      <c r="K1579" s="1" cm="1">
        <f t="array" ref="K1579">SUMPRODUCT(("TFLGV-ICEdslExt"=[2]OUT_TransportEnergyCons!$A$3:$A$1000)*1,("var_fout"=[2]OUT_TransportEnergyCons!$B$3:$B$1000)*1,ISNUMBER(SEARCH("TFLGV",[2]OUT_TransportEnergyCons!$C$3:$C$1000))*1,[2]OUT_TransportEnergyCons!I$3:I$1000)</f>
        <v>0</v>
      </c>
      <c r="L1579" s="1" cm="1">
        <f t="array" ref="L1579">SUMPRODUCT(("TFLGV-ICEdslExt"=[2]OUT_TransportEnergyCons!$A$3:$A$1000)*1,("var_fout"=[2]OUT_TransportEnergyCons!$B$3:$B$1000)*1,ISNUMBER(SEARCH("TFLGV",[2]OUT_TransportEnergyCons!$C$3:$C$1000))*1,[2]OUT_TransportEnergyCons!J$3:J$1000)</f>
        <v>0</v>
      </c>
      <c r="N1579" s="1"/>
    </row>
    <row r="1580" spans="2:14" x14ac:dyDescent="0.35">
      <c r="B1580" t="str">
        <f t="shared" si="1630"/>
        <v>SPS1</v>
      </c>
      <c r="C1580" t="str">
        <f t="shared" si="1631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1.5049579228836167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1.7966803652752117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1.7627211419657105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0.7410030094511475</v>
      </c>
      <c r="J1580" s="1" cm="1">
        <f t="array" ref="J1580">SUMPRODUCT(("TFLGV-ICEdsl"=[2]OUT_TransportEnergyCons!$A$3:$A$1000)*1,("var_fout"=[2]OUT_TransportEnergyCons!$B$3:$B$1000)*1,ISNUMBER(SEARCH("TFLGV",[2]OUT_TransportEnergyCons!$C$3:$C$1000))*1,[2]OUT_TransportEnergyCons!H$3:H$1000)</f>
        <v>8.3978873428258531E-4</v>
      </c>
      <c r="K1580" s="1" cm="1">
        <f t="array" ref="K1580">SUMPRODUCT(("TFLGV-ICEdsl"=[2]OUT_TransportEnergyCons!$A$3:$A$1000)*1,("var_fout"=[2]OUT_TransportEnergyCons!$B$3:$B$1000)*1,ISNUMBER(SEARCH("TFLGV",[2]OUT_TransportEnergyCons!$C$3:$C$1000))*1,[2]OUT_TransportEnergyCons!I$3:I$1000)</f>
        <v>2.2656141341518846E-5</v>
      </c>
      <c r="L1580" s="1" cm="1">
        <f t="array" ref="L1580">SUMPRODUCT(("TFLGV-ICEdsl"=[2]OUT_TransportEnergyCons!$A$3:$A$1000)*1,("var_fout"=[2]OUT_TransportEnergyCons!$B$3:$B$1000)*1,ISNUMBER(SEARCH("TFLGV",[2]OUT_TransportEnergyCons!$C$3:$C$1000))*1,[2]OUT_TransportEnergyCons!J$3:J$1000)</f>
        <v>0</v>
      </c>
      <c r="N1580" s="1"/>
    </row>
    <row r="1581" spans="2:14" x14ac:dyDescent="0.35">
      <c r="B1581" t="str">
        <f t="shared" si="1630"/>
        <v>SPS1</v>
      </c>
      <c r="C1581" t="str">
        <f t="shared" si="1631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9.5987070062571622E-2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0.74937481922780114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0.55335325977599581</v>
      </c>
      <c r="J1581" s="1" cm="1">
        <f t="array" ref="J1581">SUMPRODUCT(("TFLGV-HYBDSL"=[2]OUT_TransportEnergyCons!$A$3:$A$1000)*1,("var_fout"=[2]OUT_TransportEnergyCons!$B$3:$B$1000)*1,ISNUMBER(SEARCH("TFLGV",[2]OUT_TransportEnergyCons!$C$3:$C$1000))*1,[2]OUT_TransportEnergyCons!H$3:H$1000)</f>
        <v>0.26147887754198768</v>
      </c>
      <c r="K1581" s="1" cm="1">
        <f t="array" ref="K1581">SUMPRODUCT(("TFLGV-HYBDSL"=[2]OUT_TransportEnergyCons!$A$3:$A$1000)*1,("var_fout"=[2]OUT_TransportEnergyCons!$B$3:$B$1000)*1,ISNUMBER(SEARCH("TFLGV",[2]OUT_TransportEnergyCons!$C$3:$C$1000))*1,[2]OUT_TransportEnergyCons!I$3:I$1000)</f>
        <v>3.3969300626692939E-5</v>
      </c>
      <c r="L1581" s="1" cm="1">
        <f t="array" ref="L1581">SUMPRODUCT(("TFLGV-HYBDSL"=[2]OUT_TransportEnergyCons!$A$3:$A$1000)*1,("var_fout"=[2]OUT_TransportEnergyCons!$B$3:$B$1000)*1,ISNUMBER(SEARCH("TFLGV",[2]OUT_TransportEnergyCons!$C$3:$C$1000))*1,[2]OUT_TransportEnergyCons!J$3:J$1000)</f>
        <v>0</v>
      </c>
      <c r="N1581" s="1"/>
    </row>
    <row r="1582" spans="2:14" x14ac:dyDescent="0.35">
      <c r="B1582" t="str">
        <f t="shared" si="1630"/>
        <v>SPS1</v>
      </c>
      <c r="C1582" t="str">
        <f t="shared" si="1631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7.9224920539807727E-3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8.5888924577628162E-3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1.0835439866858306E-2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1.4548236219800634E-3</v>
      </c>
      <c r="J1582" s="1" cm="1">
        <f t="array" ref="J1582">SUMPRODUCT(("TFLGV-ICENGA"=[2]OUT_TransportEnergyCons!$A$3:$A$1000)*1,("var_fout"=[2]OUT_TransportEnergyCons!$B$3:$B$1000)*1,ISNUMBER(SEARCH("TFLGV",[2]OUT_TransportEnergyCons!$C$3:$C$1000))*1,[2]OUT_TransportEnergyCons!H$3:H$1000)</f>
        <v>1.5479843004308641E-5</v>
      </c>
      <c r="K1582" s="1" cm="1">
        <f t="array" ref="K1582">SUMPRODUCT(("TFLGV-ICENGA"=[2]OUT_TransportEnergyCons!$A$3:$A$1000)*1,("var_fout"=[2]OUT_TransportEnergyCons!$B$3:$B$1000)*1,ISNUMBER(SEARCH("TFLGV",[2]OUT_TransportEnergyCons!$C$3:$C$1000))*1,[2]OUT_TransportEnergyCons!I$3:I$1000)</f>
        <v>1.9257497334332437E-6</v>
      </c>
      <c r="L1582" s="1" cm="1">
        <f t="array" ref="L1582">SUMPRODUCT(("TFLGV-ICENGA"=[2]OUT_TransportEnergyCons!$A$3:$A$1000)*1,("var_fout"=[2]OUT_TransportEnergyCons!$B$3:$B$1000)*1,ISNUMBER(SEARCH("TFLGV",[2]OUT_TransportEnergyCons!$C$3:$C$1000))*1,[2]OUT_TransportEnergyCons!J$3:J$1000)</f>
        <v>0</v>
      </c>
      <c r="N1582" s="1"/>
    </row>
    <row r="1583" spans="2:14" x14ac:dyDescent="0.35">
      <c r="B1583" s="2" t="str">
        <f t="shared" si="1630"/>
        <v>SPS1</v>
      </c>
      <c r="C1583" s="2" t="str">
        <f t="shared" si="1631"/>
        <v>CH</v>
      </c>
      <c r="D1583" s="2" t="s">
        <v>1568</v>
      </c>
      <c r="E1583" s="2" t="s">
        <v>1576</v>
      </c>
      <c r="F1583" s="24" t="s">
        <v>292</v>
      </c>
      <c r="G1583" s="24" t="s">
        <v>292</v>
      </c>
      <c r="H1583" s="24" t="s">
        <v>292</v>
      </c>
      <c r="I1583" s="24" t="s">
        <v>292</v>
      </c>
      <c r="J1583" s="24" t="s">
        <v>292</v>
      </c>
      <c r="K1583" s="24" t="s">
        <v>292</v>
      </c>
      <c r="L1583" s="24" t="s">
        <v>292</v>
      </c>
      <c r="N1583" s="1"/>
    </row>
    <row r="1584" spans="2:14" x14ac:dyDescent="0.35">
      <c r="B1584" t="str">
        <f t="shared" si="1630"/>
        <v>SPS1</v>
      </c>
      <c r="C1584" t="str">
        <f t="shared" si="1631"/>
        <v>CH</v>
      </c>
      <c r="D1584" t="s">
        <v>1569</v>
      </c>
      <c r="E1584" t="s">
        <v>1576</v>
      </c>
      <c r="F1584" s="1">
        <f>IFERROR(F1574/F1548,"-")</f>
        <v>0.68922285337539568</v>
      </c>
      <c r="G1584" s="1">
        <f t="shared" ref="G1584:K1584" si="1653">IFERROR(G1574/G1548,"-")</f>
        <v>0.69564643130450576</v>
      </c>
      <c r="H1584" s="1">
        <f t="shared" si="1653"/>
        <v>0.70528179819817016</v>
      </c>
      <c r="I1584" s="1">
        <f t="shared" si="1653"/>
        <v>0.70528179819817061</v>
      </c>
      <c r="J1584" s="1" t="str">
        <f t="shared" si="1653"/>
        <v>-</v>
      </c>
      <c r="K1584" s="1" t="str">
        <f t="shared" si="1653"/>
        <v>-</v>
      </c>
      <c r="L1584" s="1" t="str">
        <f t="shared" ref="L1584" si="1654">IFERROR(L1574/L1548,"-")</f>
        <v>-</v>
      </c>
      <c r="N1584" s="1"/>
    </row>
    <row r="1585" spans="2:14" x14ac:dyDescent="0.35">
      <c r="B1585" t="str">
        <f t="shared" si="1630"/>
        <v>SPS1</v>
      </c>
      <c r="C1585" t="str">
        <f t="shared" si="1631"/>
        <v>CH</v>
      </c>
      <c r="D1585" t="s">
        <v>1570</v>
      </c>
      <c r="E1585" t="s">
        <v>1576</v>
      </c>
      <c r="F1585" s="1">
        <f>IFERROR(F1575/F1549,"-")</f>
        <v>0.68135756995377372</v>
      </c>
      <c r="G1585" s="1">
        <f t="shared" ref="G1585:K1585" si="1655">IFERROR(G1575/G1549,"-")</f>
        <v>0.68135756995377217</v>
      </c>
      <c r="H1585" s="1">
        <f t="shared" si="1655"/>
        <v>0.68135756995377372</v>
      </c>
      <c r="I1585" s="1">
        <f t="shared" si="1655"/>
        <v>0.68135756995377295</v>
      </c>
      <c r="J1585" s="1">
        <f t="shared" si="1655"/>
        <v>0.6813575699537725</v>
      </c>
      <c r="K1585" s="1">
        <f t="shared" si="1655"/>
        <v>0.68135756995377328</v>
      </c>
      <c r="L1585" s="1">
        <f t="shared" ref="L1585" si="1656">IFERROR(L1575/L1549,"-")</f>
        <v>0.68135756995377272</v>
      </c>
      <c r="N1585" s="1"/>
    </row>
    <row r="1586" spans="2:14" x14ac:dyDescent="0.35">
      <c r="B1586" t="str">
        <f t="shared" si="1630"/>
        <v>SPS1</v>
      </c>
      <c r="C1586" t="str">
        <f t="shared" si="1631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657">IFERROR(G1576/G1551,"-")</f>
        <v>0.4651034317150548</v>
      </c>
      <c r="H1586" s="1">
        <f t="shared" si="1657"/>
        <v>0.47312845344094745</v>
      </c>
      <c r="I1586" s="1">
        <f t="shared" si="1657"/>
        <v>0.49416016219166187</v>
      </c>
      <c r="J1586" s="1">
        <f t="shared" si="1657"/>
        <v>0.52865621342184987</v>
      </c>
      <c r="K1586" s="1">
        <f t="shared" si="1657"/>
        <v>0.56414632150118382</v>
      </c>
      <c r="L1586" s="1">
        <f t="shared" ref="L1586" si="1658">IFERROR(L1576/L1551,"-")</f>
        <v>0.59114126212914841</v>
      </c>
      <c r="N1586" s="1"/>
    </row>
    <row r="1587" spans="2:14" x14ac:dyDescent="0.35">
      <c r="B1587" t="str">
        <f t="shared" si="1630"/>
        <v>SPS1</v>
      </c>
      <c r="C1587" t="str">
        <f t="shared" si="1631"/>
        <v>CH</v>
      </c>
      <c r="D1587" t="s">
        <v>1591</v>
      </c>
      <c r="E1587" t="s">
        <v>1576</v>
      </c>
      <c r="F1587" s="1">
        <f>IFERROR(F1577/F1557,"-")</f>
        <v>0.27758325613681006</v>
      </c>
      <c r="G1587" s="1">
        <f t="shared" ref="G1587:K1587" si="1659">IFERROR(G1577/G1557,"-")</f>
        <v>0.28017034051580059</v>
      </c>
      <c r="H1587" s="1">
        <f t="shared" si="1659"/>
        <v>0.28405096708428723</v>
      </c>
      <c r="I1587" s="1">
        <f t="shared" si="1659"/>
        <v>0.28405096708428712</v>
      </c>
      <c r="J1587" s="1" t="str">
        <f t="shared" si="1659"/>
        <v>-</v>
      </c>
      <c r="K1587" s="1" t="str">
        <f t="shared" si="1659"/>
        <v>-</v>
      </c>
      <c r="L1587" s="1" t="str">
        <f t="shared" ref="L1587" si="1660">IFERROR(L1577/L1557,"-")</f>
        <v>-</v>
      </c>
      <c r="N1587" s="1"/>
    </row>
    <row r="1588" spans="2:14" x14ac:dyDescent="0.35">
      <c r="B1588" t="str">
        <f t="shared" si="1630"/>
        <v>SPS1</v>
      </c>
      <c r="C1588" t="str">
        <f t="shared" si="1631"/>
        <v>CH</v>
      </c>
      <c r="D1588" t="s">
        <v>1592</v>
      </c>
      <c r="E1588" t="s">
        <v>1576</v>
      </c>
      <c r="F1588" s="1">
        <f>IFERROR(F1578/F1558,"-")</f>
        <v>0.35122961215622139</v>
      </c>
      <c r="G1588" s="1">
        <f t="shared" ref="G1588:K1588" si="1661">IFERROR(G1578/G1558,"-")</f>
        <v>0.35122961215622062</v>
      </c>
      <c r="H1588" s="1">
        <f t="shared" si="1661"/>
        <v>0.35122961215622128</v>
      </c>
      <c r="I1588" s="1">
        <f t="shared" si="1661"/>
        <v>0.35122961215622089</v>
      </c>
      <c r="J1588" s="1">
        <f t="shared" si="1661"/>
        <v>0.35122961215622106</v>
      </c>
      <c r="K1588" s="1">
        <f t="shared" si="1661"/>
        <v>0.35122961215622095</v>
      </c>
      <c r="L1588" s="1" t="str">
        <f t="shared" ref="L1588" si="1662">IFERROR(L1578/L1558,"-")</f>
        <v>-</v>
      </c>
      <c r="N1588" s="1"/>
    </row>
    <row r="1589" spans="2:14" x14ac:dyDescent="0.35">
      <c r="B1589" t="str">
        <f t="shared" si="1630"/>
        <v>SPS1</v>
      </c>
      <c r="C1589" t="str">
        <f t="shared" si="1631"/>
        <v>CH</v>
      </c>
      <c r="D1589" t="s">
        <v>1572</v>
      </c>
      <c r="E1589" t="s">
        <v>1576</v>
      </c>
      <c r="F1589" s="1">
        <f>IFERROR(F1579/F1564,"-")</f>
        <v>0.25903663625928702</v>
      </c>
      <c r="G1589" s="1">
        <f t="shared" ref="G1589:K1589" si="1663">IFERROR(G1579/G1564,"-")</f>
        <v>0.26793746277611225</v>
      </c>
      <c r="H1589" s="1">
        <f t="shared" si="1663"/>
        <v>0.28128870255135013</v>
      </c>
      <c r="I1589" s="1">
        <f t="shared" si="1663"/>
        <v>0.28128870255134963</v>
      </c>
      <c r="J1589" s="1" t="str">
        <f t="shared" si="1663"/>
        <v>-</v>
      </c>
      <c r="K1589" s="1" t="str">
        <f t="shared" si="1663"/>
        <v>-</v>
      </c>
      <c r="L1589" s="1" t="str">
        <f t="shared" ref="L1589" si="1664">IFERROR(L1579/L1564,"-")</f>
        <v>-</v>
      </c>
      <c r="N1589" s="1"/>
    </row>
    <row r="1590" spans="2:14" x14ac:dyDescent="0.35">
      <c r="B1590" t="str">
        <f t="shared" si="1630"/>
        <v>SPS1</v>
      </c>
      <c r="C1590" t="str">
        <f t="shared" si="1631"/>
        <v>CH</v>
      </c>
      <c r="D1590" t="s">
        <v>1573</v>
      </c>
      <c r="E1590" t="s">
        <v>1576</v>
      </c>
      <c r="F1590" s="1">
        <f>IFERROR(F1580/F1565,"-")</f>
        <v>0.34211451343153187</v>
      </c>
      <c r="G1590" s="1">
        <f t="shared" ref="G1590:K1590" si="1665">IFERROR(G1580/G1565,"-")</f>
        <v>0.34211451343153176</v>
      </c>
      <c r="H1590" s="1">
        <f t="shared" si="1665"/>
        <v>0.34211451343153193</v>
      </c>
      <c r="I1590" s="1">
        <f t="shared" si="1665"/>
        <v>0.34211451343153054</v>
      </c>
      <c r="J1590" s="1">
        <f t="shared" si="1665"/>
        <v>0.3421145134315321</v>
      </c>
      <c r="K1590" s="1">
        <f t="shared" si="1665"/>
        <v>0.3421145134315321</v>
      </c>
      <c r="L1590" s="1" t="str">
        <f t="shared" ref="L1590" si="1666">IFERROR(L1580/L1565,"-")</f>
        <v>-</v>
      </c>
      <c r="N1590" s="1"/>
    </row>
    <row r="1591" spans="2:14" x14ac:dyDescent="0.35">
      <c r="B1591" t="str">
        <f t="shared" si="1630"/>
        <v>SPS1</v>
      </c>
      <c r="C1591" t="str">
        <f t="shared" si="1631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667">IFERROR(G1581/G1566,"-")</f>
        <v>0.46076759264650746</v>
      </c>
      <c r="H1591" s="1">
        <f t="shared" si="1667"/>
        <v>0.4607675926465078</v>
      </c>
      <c r="I1591" s="1">
        <f t="shared" si="1667"/>
        <v>0.4607675926465073</v>
      </c>
      <c r="J1591" s="1">
        <f t="shared" si="1667"/>
        <v>0.46076759264650907</v>
      </c>
      <c r="K1591" s="1">
        <f t="shared" si="1667"/>
        <v>0.4607675926465078</v>
      </c>
      <c r="L1591" s="1" t="str">
        <f t="shared" ref="L1591" si="1668">IFERROR(L1581/L1566,"-")</f>
        <v>-</v>
      </c>
      <c r="N1591" s="1"/>
    </row>
    <row r="1592" spans="2:14" x14ac:dyDescent="0.35">
      <c r="B1592" t="str">
        <f t="shared" si="1630"/>
        <v>SPS1</v>
      </c>
      <c r="C1592" t="str">
        <f t="shared" si="1631"/>
        <v>CH</v>
      </c>
      <c r="D1592" t="s">
        <v>1575</v>
      </c>
      <c r="E1592" t="s">
        <v>1576</v>
      </c>
      <c r="F1592" s="1">
        <f>IFERROR(F1582/F1572,"-")</f>
        <v>0.32057692743518001</v>
      </c>
      <c r="G1592" s="1">
        <f t="shared" ref="G1592:K1592" si="1669">IFERROR(G1582/G1572,"-")</f>
        <v>0.32057692743518057</v>
      </c>
      <c r="H1592" s="1">
        <f t="shared" si="1669"/>
        <v>0.3205769274351804</v>
      </c>
      <c r="I1592" s="1">
        <f t="shared" si="1669"/>
        <v>0.32057692743518001</v>
      </c>
      <c r="J1592" s="1">
        <f t="shared" si="1669"/>
        <v>0.32057692743517985</v>
      </c>
      <c r="K1592" s="1">
        <f t="shared" si="1669"/>
        <v>0.32057692743518013</v>
      </c>
      <c r="L1592" s="1" t="str">
        <f t="shared" ref="L1592" si="1670">IFERROR(L1582/L1572,"-")</f>
        <v>-</v>
      </c>
      <c r="N1592" s="1"/>
    </row>
    <row r="1593" spans="2:14" x14ac:dyDescent="0.3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24.493844366224497</v>
      </c>
      <c r="G1593" s="3">
        <f t="shared" ref="G1593" si="1671">G1594+G1597+G1599+G1606+G1614</f>
        <v>22.869550419304488</v>
      </c>
      <c r="H1593" s="3">
        <f t="shared" ref="H1593" si="1672">H1594+H1597+H1599+H1606+H1614</f>
        <v>20.483287856355357</v>
      </c>
      <c r="I1593" s="3">
        <f t="shared" ref="I1593" si="1673">I1594+I1597+I1599+I1606+I1614</f>
        <v>14.559628673888035</v>
      </c>
      <c r="J1593" s="3">
        <f t="shared" ref="J1593" si="1674">J1594+J1597+J1599+J1606+J1614</f>
        <v>13.371351350039344</v>
      </c>
      <c r="K1593" s="3">
        <f t="shared" ref="K1593:L1593" si="1675">K1594+K1597+K1599+K1606+K1614</f>
        <v>11.086857069086406</v>
      </c>
      <c r="L1593" s="3">
        <f t="shared" si="1675"/>
        <v>8.0121074397378269</v>
      </c>
      <c r="N1593" s="1"/>
    </row>
    <row r="1594" spans="2:14" x14ac:dyDescent="0.35">
      <c r="B1594" t="str">
        <f t="shared" ref="B1594:B1639" si="1676">B1593</f>
        <v>SPS1</v>
      </c>
      <c r="C1594" t="str">
        <f t="shared" ref="C1594:C1639" si="1677">C1593</f>
        <v>CH</v>
      </c>
      <c r="D1594" t="s">
        <v>1597</v>
      </c>
      <c r="E1594" t="str">
        <f>E1593</f>
        <v>PJ/yr.</v>
      </c>
      <c r="F1594" s="1">
        <f>SUM(F1595:F1596)</f>
        <v>9.7914525133997368E-3</v>
      </c>
      <c r="G1594" s="1">
        <f t="shared" ref="G1594" si="1678">SUM(G1595:G1596)</f>
        <v>3.9914238527417281E-2</v>
      </c>
      <c r="H1594" s="1">
        <f t="shared" ref="H1594" si="1679">SUM(H1595:H1596)</f>
        <v>5.8172239882340576E-2</v>
      </c>
      <c r="I1594" s="1">
        <f t="shared" ref="I1594" si="1680">SUM(I1595:I1596)</f>
        <v>2.5762202347614376</v>
      </c>
      <c r="J1594" s="1">
        <f t="shared" ref="J1594" si="1681">SUM(J1595:J1596)</f>
        <v>1.6100693209295085</v>
      </c>
      <c r="K1594" s="1">
        <f t="shared" ref="K1594:L1594" si="1682">SUM(K1595:K1596)</f>
        <v>4.6124200333884744</v>
      </c>
      <c r="L1594" s="1">
        <f t="shared" si="1682"/>
        <v>8.0116856633553937</v>
      </c>
      <c r="N1594" s="1"/>
    </row>
    <row r="1595" spans="2:14" x14ac:dyDescent="0.35">
      <c r="B1595" t="str">
        <f t="shared" si="1676"/>
        <v>SPS1</v>
      </c>
      <c r="C1595" t="str">
        <f t="shared" si="1677"/>
        <v>CH</v>
      </c>
      <c r="D1595" t="s">
        <v>1598</v>
      </c>
      <c r="E1595" t="str">
        <f t="shared" ref="E1595:E1619" si="1683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SUMPRODUCT(("TFHGV-BeVELCExt"=[2]OUT_TransportEnergyCons!$A$3:$A$1000)*1,("Var_Fin"=[2]OUT_TransportEnergyCons!$B$3:$B$1000)*1,ISNUMBER(SEARCH("ELC",[2]OUT_TransportEnergyCons!$C$3:$C$1000))*1,[2]OUT_TransportEnergyCons!H$3:H$1000)</f>
        <v>0</v>
      </c>
      <c r="K1595" s="1" cm="1">
        <f t="array" ref="K1595">SUMPRODUCT(("TFHGV-BeVELCExt"=[2]OUT_TransportEnergyCons!$A$3:$A$1000)*1,("Var_Fin"=[2]OUT_TransportEnergyCons!$B$3:$B$1000)*1,ISNUMBER(SEARCH("ELC",[2]OUT_TransportEnergyCons!$C$3:$C$1000))*1,[2]OUT_TransportEnergyCons!I$3:I$1000)</f>
        <v>0</v>
      </c>
      <c r="L1595" s="1" cm="1">
        <f t="array" ref="L1595">SUMPRODUCT(("TFHGV-BeVELCExt"=[2]OUT_TransportEnergyCons!$A$3:$A$1000)*1,("Var_Fin"=[2]OUT_TransportEnergyCons!$B$3:$B$1000)*1,ISNUMBER(SEARCH("ELC",[2]OUT_TransportEnergyCons!$C$3:$C$1000))*1,[2]OUT_TransportEnergyCons!J$3:J$1000)</f>
        <v>0</v>
      </c>
      <c r="N1595" s="1"/>
    </row>
    <row r="1596" spans="2:14" x14ac:dyDescent="0.35">
      <c r="B1596" t="str">
        <f t="shared" si="1676"/>
        <v>SPS1</v>
      </c>
      <c r="C1596" t="str">
        <f t="shared" si="1677"/>
        <v>CH</v>
      </c>
      <c r="D1596" t="s">
        <v>1599</v>
      </c>
      <c r="E1596" t="str">
        <f t="shared" si="1683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9.7914525133997368E-3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3.9914238527417281E-2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5.8172239882340576E-2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2.5762202347614376</v>
      </c>
      <c r="J1596" s="1" cm="1">
        <f t="array" ref="J1596">SUMPRODUCT(("TFHGV-BEVELC"=[2]OUT_TransportEnergyCons!$A$3:$A$1000)*1,("Var_Fin"=[2]OUT_TransportEnergyCons!$B$3:$B$1000)*1,ISNUMBER(SEARCH("ELC",[2]OUT_TransportEnergyCons!$C$3:$C$1000))*1,[2]OUT_TransportEnergyCons!H$3:H$1000)</f>
        <v>1.6100693209295085</v>
      </c>
      <c r="K1596" s="1" cm="1">
        <f t="array" ref="K1596">SUMPRODUCT(("TFHGV-BEVELC"=[2]OUT_TransportEnergyCons!$A$3:$A$1000)*1,("Var_Fin"=[2]OUT_TransportEnergyCons!$B$3:$B$1000)*1,ISNUMBER(SEARCH("ELC",[2]OUT_TransportEnergyCons!$C$3:$C$1000))*1,[2]OUT_TransportEnergyCons!I$3:I$1000)</f>
        <v>4.6124200333884744</v>
      </c>
      <c r="L1596" s="1" cm="1">
        <f t="array" ref="L1596">SUMPRODUCT(("TFHGV-BEVELC"=[2]OUT_TransportEnergyCons!$A$3:$A$1000)*1,("Var_Fin"=[2]OUT_TransportEnergyCons!$B$3:$B$1000)*1,ISNUMBER(SEARCH("ELC",[2]OUT_TransportEnergyCons!$C$3:$C$1000))*1,[2]OUT_TransportEnergyCons!J$3:J$1000)</f>
        <v>8.0116856633553937</v>
      </c>
      <c r="N1596" s="1"/>
    </row>
    <row r="1597" spans="2:14" x14ac:dyDescent="0.35">
      <c r="B1597" t="str">
        <f t="shared" si="1676"/>
        <v>SPS1</v>
      </c>
      <c r="C1597" t="str">
        <f t="shared" si="1677"/>
        <v>CH</v>
      </c>
      <c r="D1597" t="s">
        <v>1600</v>
      </c>
      <c r="E1597" t="str">
        <f t="shared" si="1683"/>
        <v>PJ/yr.</v>
      </c>
      <c r="F1597" s="1">
        <f>F1598</f>
        <v>4.6087908476744157E-3</v>
      </c>
      <c r="G1597" s="1">
        <f t="shared" ref="G1597" si="1684">G1598</f>
        <v>1.4122655236471049E-2</v>
      </c>
      <c r="H1597" s="1">
        <f t="shared" ref="H1597" si="1685">H1598</f>
        <v>1.4181376923106181E-2</v>
      </c>
      <c r="I1597" s="1">
        <f t="shared" ref="I1597" si="1686">I1598</f>
        <v>5.2476662131087483E-3</v>
      </c>
      <c r="J1597" s="1">
        <f t="shared" ref="J1597" si="1687">J1598</f>
        <v>2.4562258176402034E-4</v>
      </c>
      <c r="K1597" s="1">
        <f t="shared" ref="K1597:L1597" si="1688">K1598</f>
        <v>2.4252316141075683E-4</v>
      </c>
      <c r="L1597" s="1">
        <f t="shared" si="1688"/>
        <v>1.9621085287561832E-4</v>
      </c>
      <c r="N1597" s="1"/>
    </row>
    <row r="1598" spans="2:14" x14ac:dyDescent="0.35">
      <c r="B1598" t="str">
        <f t="shared" si="1676"/>
        <v>SPS1</v>
      </c>
      <c r="C1598" t="str">
        <f t="shared" si="1677"/>
        <v>CH</v>
      </c>
      <c r="D1598" t="s">
        <v>1601</v>
      </c>
      <c r="E1598" t="str">
        <f t="shared" si="1683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4.6087908476744157E-3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1.4122655236471049E-2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1.4181376923106181E-2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5.2476662131087483E-3</v>
      </c>
      <c r="J1598" s="1" cm="1">
        <f t="array" ref="J1598">SUMPRODUCT(("TFHGV-FCLH2O"=[2]OUT_TransportEnergyCons!$A$3:$A$1000)*1,("Var_Fin"=[2]OUT_TransportEnergyCons!$B$3:$B$1000)*1,ISNUMBER(SEARCH("h2",[2]OUT_TransportEnergyCons!$C$3:$C$1000))*1,[2]OUT_TransportEnergyCons!H$3:H$1000)</f>
        <v>2.4562258176402034E-4</v>
      </c>
      <c r="K1598" s="1" cm="1">
        <f t="array" ref="K1598">SUMPRODUCT(("TFHGV-FCLH2O"=[2]OUT_TransportEnergyCons!$A$3:$A$1000)*1,("Var_Fin"=[2]OUT_TransportEnergyCons!$B$3:$B$1000)*1,ISNUMBER(SEARCH("h2",[2]OUT_TransportEnergyCons!$C$3:$C$1000))*1,[2]OUT_TransportEnergyCons!I$3:I$1000)</f>
        <v>2.4252316141075683E-4</v>
      </c>
      <c r="L1598" s="1" cm="1">
        <f t="array" ref="L1598">SUMPRODUCT(("TFHGV-FCLH2O"=[2]OUT_TransportEnergyCons!$A$3:$A$1000)*1,("Var_Fin"=[2]OUT_TransportEnergyCons!$B$3:$B$1000)*1,ISNUMBER(SEARCH("h2",[2]OUT_TransportEnergyCons!$C$3:$C$1000))*1,[2]OUT_TransportEnergyCons!J$3:J$1000)</f>
        <v>1.9621085287561832E-4</v>
      </c>
      <c r="N1598" s="1"/>
    </row>
    <row r="1599" spans="2:14" x14ac:dyDescent="0.35">
      <c r="B1599" t="str">
        <f t="shared" si="1676"/>
        <v>SPS1</v>
      </c>
      <c r="C1599" t="str">
        <f t="shared" si="1677"/>
        <v>CH</v>
      </c>
      <c r="D1599" t="s">
        <v>1602</v>
      </c>
      <c r="E1599" t="str">
        <f t="shared" si="1683"/>
        <v>PJ/yr.</v>
      </c>
      <c r="F1599" s="1">
        <f>SUM(F1604:F1605)</f>
        <v>0</v>
      </c>
      <c r="G1599" s="1">
        <f t="shared" ref="G1599:K1599" si="1689">SUM(G1604:G1605)</f>
        <v>0</v>
      </c>
      <c r="H1599" s="1">
        <f t="shared" si="1689"/>
        <v>0</v>
      </c>
      <c r="I1599" s="1">
        <f t="shared" si="1689"/>
        <v>0</v>
      </c>
      <c r="J1599" s="1">
        <f t="shared" si="1689"/>
        <v>0</v>
      </c>
      <c r="K1599" s="1">
        <f t="shared" si="1689"/>
        <v>0</v>
      </c>
      <c r="L1599" s="1">
        <f t="shared" ref="L1599" si="1690">SUM(L1604:L1605)</f>
        <v>0</v>
      </c>
      <c r="N1599" s="1"/>
    </row>
    <row r="1600" spans="2:14" x14ac:dyDescent="0.35">
      <c r="B1600" t="str">
        <f t="shared" si="1676"/>
        <v>SPS1</v>
      </c>
      <c r="C1600" t="str">
        <f t="shared" si="1677"/>
        <v>CH</v>
      </c>
      <c r="D1600" t="s">
        <v>1603</v>
      </c>
      <c r="E1600" t="str">
        <f t="shared" si="1683"/>
        <v>PJ/yr.</v>
      </c>
      <c r="F1600" s="1">
        <f>F1599-F1601</f>
        <v>0</v>
      </c>
      <c r="G1600" s="1">
        <f t="shared" ref="G1600:K1600" si="1691">G1599-G1601</f>
        <v>0</v>
      </c>
      <c r="H1600" s="1">
        <f t="shared" si="1691"/>
        <v>0</v>
      </c>
      <c r="I1600" s="1">
        <f t="shared" si="1691"/>
        <v>0</v>
      </c>
      <c r="J1600" s="1">
        <f t="shared" si="1691"/>
        <v>0</v>
      </c>
      <c r="K1600" s="1">
        <f t="shared" si="1691"/>
        <v>0</v>
      </c>
      <c r="L1600" s="1">
        <f t="shared" ref="L1600" si="1692">L1599-L1601</f>
        <v>0</v>
      </c>
      <c r="N1600" s="1"/>
    </row>
    <row r="1601" spans="2:14" x14ac:dyDescent="0.35">
      <c r="B1601" t="str">
        <f t="shared" si="1676"/>
        <v>SPS1</v>
      </c>
      <c r="C1601" t="str">
        <f t="shared" si="1677"/>
        <v>CH</v>
      </c>
      <c r="D1601" t="s">
        <v>1604</v>
      </c>
      <c r="E1601" t="str">
        <f t="shared" si="1683"/>
        <v>PJ/yr.</v>
      </c>
      <c r="F1601" s="1">
        <f>SUM(F1602:F1603)</f>
        <v>0</v>
      </c>
      <c r="G1601" s="1">
        <f t="shared" ref="G1601:K1601" si="1693">SUM(G1602:G1603)</f>
        <v>0</v>
      </c>
      <c r="H1601" s="1">
        <f t="shared" si="1693"/>
        <v>0</v>
      </c>
      <c r="I1601" s="1">
        <f t="shared" si="1693"/>
        <v>0</v>
      </c>
      <c r="J1601" s="1">
        <f t="shared" si="1693"/>
        <v>0</v>
      </c>
      <c r="K1601" s="1">
        <f t="shared" si="1693"/>
        <v>0</v>
      </c>
      <c r="L1601" s="1">
        <f t="shared" ref="L1601" si="1694">SUM(L1602:L1603)</f>
        <v>0</v>
      </c>
      <c r="N1601" s="1"/>
    </row>
    <row r="1602" spans="2:14" x14ac:dyDescent="0.35">
      <c r="B1602" t="str">
        <f t="shared" si="1676"/>
        <v>SPS1</v>
      </c>
      <c r="C1602" t="str">
        <f t="shared" si="1677"/>
        <v>CH</v>
      </c>
      <c r="D1602" t="s">
        <v>1605</v>
      </c>
      <c r="E1602" t="str">
        <f t="shared" si="1683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[2]Transport!F$25/SUM([2]Transport!F$21,[2]Transport!F$25)*J1599*(J$35+J$600)/(J$35+J$600+J$39)</f>
        <v>0</v>
      </c>
      <c r="K1602" s="1">
        <f>[2]Transport!G$25/SUM([2]Transport!G$21,[2]Transport!G$25)*K1599*(K$35+K$600)/(K$35+K$600+K$39)</f>
        <v>0</v>
      </c>
      <c r="L1602" s="1">
        <f>[2]Transport!H$25/SUM([2]Transport!H$21,[2]Transport!H$25)*L1599*(L$35+L$600)/(L$35+L$600+L$39)</f>
        <v>0</v>
      </c>
      <c r="N1602" s="1"/>
    </row>
    <row r="1603" spans="2:14" x14ac:dyDescent="0.35">
      <c r="B1603" t="str">
        <f t="shared" si="1676"/>
        <v>SPS1</v>
      </c>
      <c r="C1603" t="str">
        <f t="shared" si="1677"/>
        <v>CH</v>
      </c>
      <c r="D1603" t="s">
        <v>1606</v>
      </c>
      <c r="E1603" t="str">
        <f t="shared" si="1683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(J$39+J$719)/([2]Transport!F$21+[2]Transport!F$25)*J1599</f>
        <v>0</v>
      </c>
      <c r="K1603" s="1">
        <f>(K$39+K$719)/([2]Transport!G$21+[2]Transport!G$25)*K1599</f>
        <v>0</v>
      </c>
      <c r="L1603" s="1">
        <f>(L$39+L$719)/([2]Transport!H$21+[2]Transport!H$25)*L1599</f>
        <v>0</v>
      </c>
      <c r="N1603" s="1"/>
    </row>
    <row r="1604" spans="2:14" x14ac:dyDescent="0.35">
      <c r="B1604" t="str">
        <f t="shared" si="1676"/>
        <v>SPS1</v>
      </c>
      <c r="C1604" t="str">
        <f t="shared" si="1677"/>
        <v>CH</v>
      </c>
      <c r="D1604" t="s">
        <v>1607</v>
      </c>
      <c r="E1604" t="str">
        <f t="shared" si="1683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SUMPRODUCT(("TFHGV-ICEGSLExt"=[2]OUT_TransportEnergyCons!$A$3:$A$1000)*1,("Var_Fin"=[2]OUT_TransportEnergyCons!$B$3:$B$1000)*1,ISNUMBER(SEARCH("gsl",[2]OUT_TransportEnergyCons!$C$3:$C$1000))*1,[2]OUT_TransportEnergyCons!H$3:H$1000)</f>
        <v>0</v>
      </c>
      <c r="K1604" s="1" cm="1">
        <f t="array" ref="K1604">SUMPRODUCT(("TFHGV-ICEGSLExt"=[2]OUT_TransportEnergyCons!$A$3:$A$1000)*1,("Var_Fin"=[2]OUT_TransportEnergyCons!$B$3:$B$1000)*1,ISNUMBER(SEARCH("gsl",[2]OUT_TransportEnergyCons!$C$3:$C$1000))*1,[2]OUT_TransportEnergyCons!I$3:I$1000)</f>
        <v>0</v>
      </c>
      <c r="L1604" s="1" cm="1">
        <f t="array" ref="L1604">SUMPRODUCT(("TFHGV-ICEGSLExt"=[2]OUT_TransportEnergyCons!$A$3:$A$1000)*1,("Var_Fin"=[2]OUT_TransportEnergyCons!$B$3:$B$1000)*1,ISNUMBER(SEARCH("gsl",[2]OUT_TransportEnergyCons!$C$3:$C$1000))*1,[2]OUT_TransportEnergyCons!J$3:J$1000)</f>
        <v>0</v>
      </c>
      <c r="N1604" s="1"/>
    </row>
    <row r="1605" spans="2:14" x14ac:dyDescent="0.35">
      <c r="B1605" t="str">
        <f t="shared" si="1676"/>
        <v>SPS1</v>
      </c>
      <c r="C1605" t="str">
        <f t="shared" si="1677"/>
        <v>CH</v>
      </c>
      <c r="D1605" t="s">
        <v>1608</v>
      </c>
      <c r="E1605" t="str">
        <f t="shared" si="1683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SUMPRODUCT(("TFHGV-ICEGSL"=[2]OUT_TransportEnergyCons!$A$3:$A$1000)*1,("Var_Fin"=[2]OUT_TransportEnergyCons!$B$3:$B$1000)*1,ISNUMBER(SEARCH("gsl",[2]OUT_TransportEnergyCons!$C$3:$C$1000))*1,[2]OUT_TransportEnergyCons!H$3:H$1000)</f>
        <v>0</v>
      </c>
      <c r="K1605" s="1" cm="1">
        <f t="array" ref="K1605">SUMPRODUCT(("TFHGV-ICEGSL"=[2]OUT_TransportEnergyCons!$A$3:$A$1000)*1,("Var_Fin"=[2]OUT_TransportEnergyCons!$B$3:$B$1000)*1,ISNUMBER(SEARCH("gsl",[2]OUT_TransportEnergyCons!$C$3:$C$1000))*1,[2]OUT_TransportEnergyCons!I$3:I$1000)</f>
        <v>0</v>
      </c>
      <c r="L1605" s="1" cm="1">
        <f t="array" ref="L1605">SUMPRODUCT(("TFHGV-ICEGSL"=[2]OUT_TransportEnergyCons!$A$3:$A$1000)*1,("Var_Fin"=[2]OUT_TransportEnergyCons!$B$3:$B$1000)*1,ISNUMBER(SEARCH("gsl",[2]OUT_TransportEnergyCons!$C$3:$C$1000))*1,[2]OUT_TransportEnergyCons!J$3:J$1000)</f>
        <v>0</v>
      </c>
      <c r="N1605" s="1"/>
    </row>
    <row r="1606" spans="2:14" x14ac:dyDescent="0.35">
      <c r="B1606" t="str">
        <f t="shared" si="1676"/>
        <v>SPS1</v>
      </c>
      <c r="C1606" t="str">
        <f t="shared" si="1677"/>
        <v>CH</v>
      </c>
      <c r="D1606" t="s">
        <v>1609</v>
      </c>
      <c r="E1606" t="str">
        <f t="shared" si="1683"/>
        <v>PJ/yr.</v>
      </c>
      <c r="F1606" s="1">
        <f>SUM(F1611:F1613)</f>
        <v>24.419085661172968</v>
      </c>
      <c r="G1606" s="1">
        <f t="shared" ref="G1606:K1606" si="1695">SUM(G1611:G1613)</f>
        <v>22.780296868457707</v>
      </c>
      <c r="H1606" s="1">
        <f t="shared" si="1695"/>
        <v>20.367808026636933</v>
      </c>
      <c r="I1606" s="1">
        <f t="shared" si="1695"/>
        <v>11.936198680067706</v>
      </c>
      <c r="J1606" s="1">
        <f t="shared" si="1695"/>
        <v>11.755336037045529</v>
      </c>
      <c r="K1606" s="1">
        <f t="shared" si="1695"/>
        <v>6.470994916218463</v>
      </c>
      <c r="L1606" s="1">
        <f t="shared" ref="L1606" si="1696">SUM(L1611:L1613)</f>
        <v>9.0640263901576847E-5</v>
      </c>
      <c r="N1606" s="1"/>
    </row>
    <row r="1607" spans="2:14" x14ac:dyDescent="0.35">
      <c r="B1607" t="str">
        <f t="shared" si="1676"/>
        <v>SPS1</v>
      </c>
      <c r="C1607" t="str">
        <f t="shared" si="1677"/>
        <v>CH</v>
      </c>
      <c r="D1607" t="s">
        <v>1610</v>
      </c>
      <c r="E1607" t="str">
        <f t="shared" si="1683"/>
        <v>PJ/yr.</v>
      </c>
      <c r="F1607" s="1">
        <f>IF(F1606-F1608&lt;0,0,F1606-F1608)</f>
        <v>23.829617277162381</v>
      </c>
      <c r="G1607" s="1">
        <f t="shared" ref="G1607:L1607" si="1697">IF(G1606-G1608&lt;0,0,G1606-G1608)</f>
        <v>22.186385568398208</v>
      </c>
      <c r="H1607" s="1">
        <f t="shared" si="1697"/>
        <v>19.457661001658064</v>
      </c>
      <c r="I1607" s="1">
        <f t="shared" si="1697"/>
        <v>11.335541390813969</v>
      </c>
      <c r="J1607" s="1">
        <f t="shared" si="1697"/>
        <v>10.753674031555612</v>
      </c>
      <c r="K1607" s="1">
        <f t="shared" si="1697"/>
        <v>5.2971878300594772</v>
      </c>
      <c r="L1607" s="1">
        <f t="shared" si="1697"/>
        <v>0</v>
      </c>
      <c r="N1607" s="1"/>
    </row>
    <row r="1608" spans="2:14" x14ac:dyDescent="0.35">
      <c r="B1608" t="str">
        <f t="shared" si="1676"/>
        <v>SPS1</v>
      </c>
      <c r="C1608" t="str">
        <f t="shared" si="1677"/>
        <v>CH</v>
      </c>
      <c r="D1608" t="s">
        <v>1611</v>
      </c>
      <c r="E1608" t="str">
        <f t="shared" si="1683"/>
        <v>PJ/yr.</v>
      </c>
      <c r="F1608" s="1">
        <f>SUM(F1609:F1610)</f>
        <v>0.58946838401058577</v>
      </c>
      <c r="G1608" s="1">
        <f t="shared" ref="G1608:K1608" si="1698">SUM(G1609:G1610)</f>
        <v>0.59391130005949955</v>
      </c>
      <c r="H1608" s="1">
        <f t="shared" si="1698"/>
        <v>0.9101470249788679</v>
      </c>
      <c r="I1608" s="1">
        <f t="shared" si="1698"/>
        <v>0.60065728925373774</v>
      </c>
      <c r="J1608" s="1">
        <f t="shared" si="1698"/>
        <v>1.0016620054899184</v>
      </c>
      <c r="K1608" s="1">
        <f t="shared" si="1698"/>
        <v>1.1738070861589858</v>
      </c>
      <c r="L1608" s="1">
        <f t="shared" ref="L1608" si="1699">SUM(L1609:L1610)</f>
        <v>9.1309964853707363E-5</v>
      </c>
      <c r="N1608" s="1"/>
    </row>
    <row r="1609" spans="2:14" x14ac:dyDescent="0.35">
      <c r="B1609" t="str">
        <f t="shared" si="1676"/>
        <v>SPS1</v>
      </c>
      <c r="C1609" t="str">
        <f t="shared" si="1677"/>
        <v>CH</v>
      </c>
      <c r="D1609" t="s">
        <v>1612</v>
      </c>
      <c r="E1609" t="str">
        <f t="shared" si="1683"/>
        <v>PJ/yr.</v>
      </c>
      <c r="F1609" s="1">
        <f>[1]Transport!B$26/SUM([1]Transport!B$22,[1]Transport!B$26)*F1606*(F$34+F$582)/(F$34+F$582+F$38)</f>
        <v>0.58946838401058577</v>
      </c>
      <c r="G1609" s="1">
        <f>[1]Transport!C$26/SUM([1]Transport!C$22,[1]Transport!C$26)*G1606*(G$34+G$582)/(G$34+G$582+G$38)</f>
        <v>0.59391130005949955</v>
      </c>
      <c r="H1609" s="1">
        <f>[1]Transport!D$26/SUM([1]Transport!D$22,[1]Transport!D$26)*H1606*(H$34+H$582)/(H$34+H$582+H$38)</f>
        <v>0.9101470249788679</v>
      </c>
      <c r="I1609" s="1">
        <f>[1]Transport!E$26/SUM([1]Transport!E$22,[1]Transport!E$26)*I1606*(I$34+I$582)/(I$34+I$582+I$38)</f>
        <v>0.60065728925373774</v>
      </c>
      <c r="J1609" s="1">
        <f>[2]Transport!F$26/SUM([2]Transport!F$22,[2]Transport!F$26)*J1606*(J$34+J$582)/(J$34+J$582+J$38)</f>
        <v>1.0016620054899184</v>
      </c>
      <c r="K1609" s="1">
        <f>[2]Transport!G$26/SUM([2]Transport!G$22,[2]Transport!G$26)*K1606*(K$34+K$582)/(K$34+K$582+K$38)</f>
        <v>1.0989022625022797</v>
      </c>
      <c r="L1609" s="1">
        <f>[2]Transport!H$26/SUM([2]Transport!H$22,[2]Transport!H$26)*L1606*(L$34+L$582)/(L$34+L$582+L$38)</f>
        <v>4.5740001625818789E-5</v>
      </c>
      <c r="N1609" s="1"/>
    </row>
    <row r="1610" spans="2:14" x14ac:dyDescent="0.35">
      <c r="B1610" t="str">
        <f t="shared" si="1676"/>
        <v>SPS1</v>
      </c>
      <c r="C1610" t="str">
        <f t="shared" si="1677"/>
        <v>CH</v>
      </c>
      <c r="D1610" t="s">
        <v>1613</v>
      </c>
      <c r="E1610" t="str">
        <f t="shared" si="1683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(J$38+J$718)/([2]Transport!F$22+[2]Transport!F$26)*J1606</f>
        <v>0</v>
      </c>
      <c r="K1610" s="1">
        <f>(K$38+K$718)/([2]Transport!G$22+[2]Transport!G$26)*K1606</f>
        <v>7.4904823656705963E-2</v>
      </c>
      <c r="L1610" s="1">
        <f>(L$38+L$718)/([2]Transport!H$22+[2]Transport!H$26)*L1606</f>
        <v>4.5569963227888574E-5</v>
      </c>
      <c r="N1610" s="1"/>
    </row>
    <row r="1611" spans="2:14" x14ac:dyDescent="0.35">
      <c r="B1611" t="str">
        <f t="shared" si="1676"/>
        <v>SPS1</v>
      </c>
      <c r="C1611" t="str">
        <f t="shared" si="1677"/>
        <v>CH</v>
      </c>
      <c r="D1611" t="s">
        <v>1614</v>
      </c>
      <c r="E1611" t="str">
        <f t="shared" si="1683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19.168517225299297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15.578436377329401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11.513182344825596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4.9592164336573603</v>
      </c>
      <c r="J1611" s="1" cm="1">
        <f t="array" ref="J1611">SUMPRODUCT(("TFHGV-ICEdslExt"=[2]OUT_TransportEnergyCons!$A$3:$A$1000)*1,("Var_Fin"=[2]OUT_TransportEnergyCons!$B$3:$B$1000)*1,ISNUMBER(SEARCH("dsl",[2]OUT_TransportEnergyCons!$C$3:$C$1000))*1,[2]OUT_TransportEnergyCons!H$3:H$1000)</f>
        <v>0</v>
      </c>
      <c r="K1611" s="1" cm="1">
        <f t="array" ref="K1611">SUMPRODUCT(("TFHGV-ICEdslExt"=[2]OUT_TransportEnergyCons!$A$3:$A$1000)*1,("Var_Fin"=[2]OUT_TransportEnergyCons!$B$3:$B$1000)*1,ISNUMBER(SEARCH("dsl",[2]OUT_TransportEnergyCons!$C$3:$C$1000))*1,[2]OUT_TransportEnergyCons!I$3:I$1000)</f>
        <v>0</v>
      </c>
      <c r="L1611" s="1" cm="1">
        <f t="array" ref="L1611">SUMPRODUCT(("TFHGV-ICEdslExt"=[2]OUT_TransportEnergyCons!$A$3:$A$1000)*1,("Var_Fin"=[2]OUT_TransportEnergyCons!$B$3:$B$1000)*1,ISNUMBER(SEARCH("dsl",[2]OUT_TransportEnergyCons!$C$3:$C$1000))*1,[2]OUT_TransportEnergyCons!J$3:J$1000)</f>
        <v>0</v>
      </c>
      <c r="N1611" s="1"/>
    </row>
    <row r="1612" spans="2:14" x14ac:dyDescent="0.35">
      <c r="B1612" t="str">
        <f t="shared" si="1676"/>
        <v>SPS1</v>
      </c>
      <c r="C1612" t="str">
        <f t="shared" si="1677"/>
        <v>CH</v>
      </c>
      <c r="D1612" t="s">
        <v>1615</v>
      </c>
      <c r="E1612" t="str">
        <f t="shared" si="1683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5.2505684358736708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6.1664743086861487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4.8081552621411419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0.45680286297133099</v>
      </c>
      <c r="J1612" s="1" cm="1">
        <f t="array" ref="J1612">SUMPRODUCT(("TFHGV-ICEdsl"=[2]OUT_TransportEnergyCons!$A$3:$A$1000)*1,("Var_Fin"=[2]OUT_TransportEnergyCons!$B$3:$B$1000)*1,ISNUMBER(SEARCH("dsl",[2]OUT_TransportEnergyCons!$C$3:$C$1000))*1,[2]OUT_TransportEnergyCons!H$3:H$1000)</f>
        <v>6.0992118403532846E-4</v>
      </c>
      <c r="K1612" s="1" cm="1">
        <f t="array" ref="K1612">SUMPRODUCT(("TFHGV-ICEdsl"=[2]OUT_TransportEnergyCons!$A$3:$A$1000)*1,("Var_Fin"=[2]OUT_TransportEnergyCons!$B$3:$B$1000)*1,ISNUMBER(SEARCH("dsl",[2]OUT_TransportEnergyCons!$C$3:$C$1000))*1,[2]OUT_TransportEnergyCons!I$3:I$1000)</f>
        <v>5.1588644651561746E-4</v>
      </c>
      <c r="L1612" s="1" cm="1">
        <f t="array" ref="L1612">SUMPRODUCT(("TFHGV-ICEdsl"=[2]OUT_TransportEnergyCons!$A$3:$A$1000)*1,("Var_Fin"=[2]OUT_TransportEnergyCons!$B$3:$B$1000)*1,ISNUMBER(SEARCH("dsl",[2]OUT_TransportEnergyCons!$C$3:$C$1000))*1,[2]OUT_TransportEnergyCons!J$3:J$1000)</f>
        <v>3.3532984270983304E-5</v>
      </c>
      <c r="N1612" s="1"/>
    </row>
    <row r="1613" spans="2:14" x14ac:dyDescent="0.35">
      <c r="B1613" t="str">
        <f t="shared" si="1676"/>
        <v>SPS1</v>
      </c>
      <c r="C1613" t="str">
        <f t="shared" si="1677"/>
        <v>CH</v>
      </c>
      <c r="D1613" t="s">
        <v>1616</v>
      </c>
      <c r="E1613" t="str">
        <f t="shared" si="1683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1.0353861824421562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4.0464704196701975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6.5201793834390145</v>
      </c>
      <c r="J1613" s="1" cm="1">
        <f t="array" ref="J1613">SUMPRODUCT(("TFHGV-HYBDSL"=[2]OUT_TransportEnergyCons!$A$3:$A$1000)*1,("Var_Fin"=[2]OUT_TransportEnergyCons!$B$3:$B$1000)*1,ISNUMBER(SEARCH("dsl",[2]OUT_TransportEnergyCons!$C$3:$C$1000))*1,[2]OUT_TransportEnergyCons!H$3:H$1000)</f>
        <v>11.754726115861494</v>
      </c>
      <c r="K1613" s="1" cm="1">
        <f t="array" ref="K1613">SUMPRODUCT(("TFHGV-HYBDSL"=[2]OUT_TransportEnergyCons!$A$3:$A$1000)*1,("Var_Fin"=[2]OUT_TransportEnergyCons!$B$3:$B$1000)*1,ISNUMBER(SEARCH("dsl",[2]OUT_TransportEnergyCons!$C$3:$C$1000))*1,[2]OUT_TransportEnergyCons!I$3:I$1000)</f>
        <v>6.4704790297719477</v>
      </c>
      <c r="L1613" s="1" cm="1">
        <f t="array" ref="L1613">SUMPRODUCT(("TFHGV-HYBDSL"=[2]OUT_TransportEnergyCons!$A$3:$A$1000)*1,("Var_Fin"=[2]OUT_TransportEnergyCons!$B$3:$B$1000)*1,ISNUMBER(SEARCH("dsl",[2]OUT_TransportEnergyCons!$C$3:$C$1000))*1,[2]OUT_TransportEnergyCons!J$3:J$1000)</f>
        <v>5.7107279630593543E-5</v>
      </c>
      <c r="N1613" s="1"/>
    </row>
    <row r="1614" spans="2:14" x14ac:dyDescent="0.35">
      <c r="B1614" t="str">
        <f t="shared" si="1676"/>
        <v>SPS1</v>
      </c>
      <c r="C1614" t="str">
        <f t="shared" si="1677"/>
        <v>CH</v>
      </c>
      <c r="D1614" t="s">
        <v>1617</v>
      </c>
      <c r="E1614" t="str">
        <f t="shared" si="1683"/>
        <v>PJ/yr.</v>
      </c>
      <c r="F1614" s="1">
        <f>F1619</f>
        <v>6.0358461690455945E-2</v>
      </c>
      <c r="G1614" s="1">
        <f t="shared" ref="G1614:K1614" si="1700">G1619</f>
        <v>3.5216657082892962E-2</v>
      </c>
      <c r="H1614" s="1">
        <f t="shared" si="1700"/>
        <v>4.3126212912977586E-2</v>
      </c>
      <c r="I1614" s="1">
        <f t="shared" si="1700"/>
        <v>4.1962092845783096E-2</v>
      </c>
      <c r="J1614" s="1">
        <f t="shared" si="1700"/>
        <v>5.7003694825431229E-3</v>
      </c>
      <c r="K1614" s="1">
        <f t="shared" si="1700"/>
        <v>3.1995963180584727E-3</v>
      </c>
      <c r="L1614" s="1">
        <f t="shared" ref="L1614" si="1701">L1619</f>
        <v>1.3492526565782147E-4</v>
      </c>
      <c r="N1614" s="1"/>
    </row>
    <row r="1615" spans="2:14" x14ac:dyDescent="0.35">
      <c r="B1615" t="str">
        <f t="shared" si="1676"/>
        <v>SPS1</v>
      </c>
      <c r="C1615" t="str">
        <f t="shared" si="1677"/>
        <v>CH</v>
      </c>
      <c r="D1615" t="s">
        <v>1618</v>
      </c>
      <c r="E1615" t="str">
        <f t="shared" si="1683"/>
        <v>PJ/yr.</v>
      </c>
      <c r="F1615" s="1">
        <f>IF(F1614-F1616&lt;0,0,F1614-F1616)</f>
        <v>5.549973197852795E-2</v>
      </c>
      <c r="G1615" s="1">
        <f t="shared" ref="G1615:L1615" si="1702">IF(G1614-G1616&lt;0,0,G1614-G1616)</f>
        <v>3.1782128588826154E-2</v>
      </c>
      <c r="H1615" s="1">
        <f t="shared" si="1702"/>
        <v>3.9092254457553266E-2</v>
      </c>
      <c r="I1615" s="1">
        <f t="shared" si="1702"/>
        <v>3.4941105752231985E-2</v>
      </c>
      <c r="J1615" s="1">
        <f t="shared" si="1702"/>
        <v>0</v>
      </c>
      <c r="K1615" s="1">
        <f t="shared" si="1702"/>
        <v>0</v>
      </c>
      <c r="L1615" s="1">
        <f t="shared" si="1702"/>
        <v>0</v>
      </c>
      <c r="N1615" s="1"/>
    </row>
    <row r="1616" spans="2:14" x14ac:dyDescent="0.35">
      <c r="B1616" t="str">
        <f t="shared" si="1676"/>
        <v>SPS1</v>
      </c>
      <c r="C1616" t="str">
        <f t="shared" si="1677"/>
        <v>CH</v>
      </c>
      <c r="D1616" t="s">
        <v>1619</v>
      </c>
      <c r="E1616" t="str">
        <f t="shared" si="1683"/>
        <v>PJ/yr.</v>
      </c>
      <c r="F1616" s="1">
        <f>SUM(F1617:F1618)</f>
        <v>4.8587297119279931E-3</v>
      </c>
      <c r="G1616" s="1">
        <f t="shared" ref="G1616:K1616" si="1703">SUM(G1617:G1618)</f>
        <v>3.4345284940668058E-3</v>
      </c>
      <c r="H1616" s="1">
        <f t="shared" si="1703"/>
        <v>4.0339584554243187E-3</v>
      </c>
      <c r="I1616" s="1">
        <f t="shared" si="1703"/>
        <v>7.0209870935511141E-3</v>
      </c>
      <c r="J1616" s="1">
        <f t="shared" si="1703"/>
        <v>6.8965636025319996E-3</v>
      </c>
      <c r="K1616" s="1">
        <f t="shared" si="1703"/>
        <v>4.0692640557904863E-3</v>
      </c>
      <c r="L1616" s="1">
        <f t="shared" ref="L1616" si="1704">SUM(L1617:L1618)</f>
        <v>2.0182473965104226E-4</v>
      </c>
      <c r="N1616" s="1"/>
    </row>
    <row r="1617" spans="2:14" x14ac:dyDescent="0.35">
      <c r="B1617" t="str">
        <f t="shared" si="1676"/>
        <v>SPS1</v>
      </c>
      <c r="C1617" t="str">
        <f t="shared" si="1677"/>
        <v>CH</v>
      </c>
      <c r="D1617" t="s">
        <v>1620</v>
      </c>
      <c r="E1617" t="str">
        <f t="shared" si="1683"/>
        <v>PJ/yr.</v>
      </c>
      <c r="F1617" s="1">
        <f>[1]Transport!B$27/SUM([1]Transport!B$24,[1]Transport!B$27)*F1614*(F$47+F$614)/(F$47+F$614+F$49)</f>
        <v>4.8587297119279931E-3</v>
      </c>
      <c r="G1617" s="1">
        <f>[1]Transport!C$27/SUM([1]Transport!C$24,[1]Transport!C$27)*G1614*(G$47+G$614)/(G$47+G$614+G$49)</f>
        <v>3.4345284940668058E-3</v>
      </c>
      <c r="H1617" s="1">
        <f>[1]Transport!D$27/SUM([1]Transport!D$24,[1]Transport!D$27)*H1614*(H$47+H$614)/(H$47+H$614+H$49)</f>
        <v>4.0339584554243187E-3</v>
      </c>
      <c r="I1617" s="1">
        <f>[1]Transport!E$27/SUM([1]Transport!E$24,[1]Transport!E$27)*I1614*(I$47+I$614)/(I$47+I$614+I$49)</f>
        <v>7.0209870935511141E-3</v>
      </c>
      <c r="J1617" s="1">
        <f>[2]Transport!F$27/SUM([2]Transport!F$24,[2]Transport!F$27)*J1614*(J$47+J$614)/(J$47+J$614+J$49)</f>
        <v>1.1961941199888765E-3</v>
      </c>
      <c r="K1617" s="1">
        <f>[2]Transport!G$27/SUM([2]Transport!G$24,[2]Transport!G$27)*K1614*(K$47+K$614)/(K$47+K$614+K$49)</f>
        <v>8.6966773773201347E-4</v>
      </c>
      <c r="L1617" s="1">
        <f>[2]Transport!H$27/SUM([2]Transport!H$24,[2]Transport!H$27)*L1614*(L$47+L$614)/(L$47+L$614+L$49)</f>
        <v>6.6899473993220797E-5</v>
      </c>
      <c r="N1617" s="1"/>
    </row>
    <row r="1618" spans="2:14" x14ac:dyDescent="0.35">
      <c r="B1618" t="str">
        <f t="shared" si="1676"/>
        <v>SPS1</v>
      </c>
      <c r="C1618" t="str">
        <f t="shared" si="1677"/>
        <v>CH</v>
      </c>
      <c r="D1618" t="s">
        <v>1621</v>
      </c>
      <c r="E1618" t="str">
        <f t="shared" si="1683"/>
        <v>PJ/yr.</v>
      </c>
      <c r="F1618" s="1">
        <f>IF((F$49+F$716)/([1]Transport!B$24+[1]Transport!B$27)*F1614&gt;F1614,F1614,(F$49+F$716)/([1]Transport!B$24+[1]Transport!B$27)*F1614)</f>
        <v>0</v>
      </c>
      <c r="G1618" s="1">
        <f>IF((G$49+G$716)/([1]Transport!C$24+[1]Transport!C$27)*G1614&gt;G1614,G1614,(G$49+G$716)/([1]Transport!C$24+[1]Transport!C$27)*G1614)</f>
        <v>0</v>
      </c>
      <c r="H1618" s="1">
        <f>IF((H$49+H$716)/([1]Transport!D$24+[1]Transport!D$27)*H1614&gt;H1614,H1614,(H$49+H$716)/([1]Transport!D$24+[1]Transport!D$27)*H1614)</f>
        <v>0</v>
      </c>
      <c r="I1618" s="1">
        <f>IF((I$49+I$716)/([1]Transport!E$24+[1]Transport!E$27)*I1614&gt;I1614,I1614,(I$49+I$716)/([1]Transport!E$24+[1]Transport!E$27)*I1614)</f>
        <v>0</v>
      </c>
      <c r="J1618" s="1">
        <f>IF((J$49+J$716)/([2]Transport!F$24+[2]Transport!F$27)*J1614&gt;J1614,J1614,(J$49+J$716)/([2]Transport!F$24+[2]Transport!F$27)*J1614)</f>
        <v>5.7003694825431229E-3</v>
      </c>
      <c r="K1618" s="1">
        <f>IF((K$49+K$716)/([2]Transport!G$24+[2]Transport!G$27)*K1614&gt;K1614,K1614,(K$49+K$716)/([2]Transport!G$24+[2]Transport!G$27)*K1614)</f>
        <v>3.1995963180584727E-3</v>
      </c>
      <c r="L1618" s="1">
        <f>IF((L$49+L$716)/([2]Transport!H$24+[2]Transport!H$27)*L1614&gt;L1614,L1614,(L$49+L$716)/([2]Transport!H$24+[2]Transport!H$27)*L1614)</f>
        <v>1.3492526565782147E-4</v>
      </c>
      <c r="N1618" s="1"/>
    </row>
    <row r="1619" spans="2:14" x14ac:dyDescent="0.35">
      <c r="B1619" t="str">
        <f t="shared" si="1676"/>
        <v>SPS1</v>
      </c>
      <c r="C1619" t="str">
        <f t="shared" si="1677"/>
        <v>CH</v>
      </c>
      <c r="D1619" t="s">
        <v>1622</v>
      </c>
      <c r="E1619" t="str">
        <f t="shared" si="1683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6.0358461690455945E-2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3.5216657082892962E-2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4.3126212912977586E-2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4.1962092845783096E-2</v>
      </c>
      <c r="J1619" s="1" cm="1">
        <f t="array" ref="J1619">SUMPRODUCT(("TFHGV-ICENGA"=[2]OUT_TransportEnergyCons!$A$3:$A$1000)*1,("Var_Fin"=[2]OUT_TransportEnergyCons!$B$3:$B$1000)*1,ISNUMBER(SEARCH("nga",[2]OUT_TransportEnergyCons!$C$3:$C$1000))*1,[2]OUT_TransportEnergyCons!H$3:H$1000)</f>
        <v>5.7003694825431229E-3</v>
      </c>
      <c r="K1619" s="1" cm="1">
        <f t="array" ref="K1619">SUMPRODUCT(("TFHGV-ICENGA"=[2]OUT_TransportEnergyCons!$A$3:$A$1000)*1,("Var_Fin"=[2]OUT_TransportEnergyCons!$B$3:$B$1000)*1,ISNUMBER(SEARCH("nga",[2]OUT_TransportEnergyCons!$C$3:$C$1000))*1,[2]OUT_TransportEnergyCons!I$3:I$1000)</f>
        <v>3.1995963180584727E-3</v>
      </c>
      <c r="L1619" s="1" cm="1">
        <f t="array" ref="L1619">SUMPRODUCT(("TFHGV-ICENGA"=[2]OUT_TransportEnergyCons!$A$3:$A$1000)*1,("Var_Fin"=[2]OUT_TransportEnergyCons!$B$3:$B$1000)*1,ISNUMBER(SEARCH("nga",[2]OUT_TransportEnergyCons!$C$3:$C$1000))*1,[2]OUT_TransportEnergyCons!J$3:J$1000)</f>
        <v>1.3492526565782147E-4</v>
      </c>
      <c r="N1619" s="1"/>
    </row>
    <row r="1620" spans="2:14" x14ac:dyDescent="0.35">
      <c r="B1620" s="2" t="str">
        <f t="shared" si="1676"/>
        <v>SPS1</v>
      </c>
      <c r="C1620" s="2" t="str">
        <f t="shared" si="1677"/>
        <v>CH</v>
      </c>
      <c r="D1620" s="2" t="s">
        <v>1623</v>
      </c>
      <c r="E1620" s="2" t="s">
        <v>1517</v>
      </c>
      <c r="F1620" s="3">
        <f>SUM(F1621:F1629)</f>
        <v>2.2038568080288674</v>
      </c>
      <c r="G1620" s="3">
        <f t="shared" ref="G1620" si="1705">SUM(G1621:G1629)</f>
        <v>2.2267242478335252</v>
      </c>
      <c r="H1620" s="3">
        <f t="shared" ref="H1620" si="1706">SUM(H1621:H1629)</f>
        <v>2.2575406102059503</v>
      </c>
      <c r="I1620" s="3">
        <f t="shared" ref="I1620" si="1707">SUM(I1621:I1629)</f>
        <v>2.3110167842809854</v>
      </c>
      <c r="J1620" s="3">
        <f t="shared" ref="J1620" si="1708">SUM(J1621:J1629)</f>
        <v>2.4113688621191587</v>
      </c>
      <c r="K1620" s="3">
        <f t="shared" ref="K1620:L1620" si="1709">SUM(K1621:K1629)</f>
        <v>2.5090257411766359</v>
      </c>
      <c r="L1620" s="3">
        <f t="shared" si="1709"/>
        <v>2.7094677475255406</v>
      </c>
      <c r="N1620" s="1"/>
    </row>
    <row r="1621" spans="2:14" x14ac:dyDescent="0.35">
      <c r="B1621" t="str">
        <f t="shared" si="1676"/>
        <v>SPS1</v>
      </c>
      <c r="C1621" t="str">
        <f t="shared" si="1677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SUMPRODUCT(("TFHGV-BeVELCExt"=[2]OUT_TransportEnergyCons!$A$3:$A$1000)*1,("var_fout"=[2]OUT_TransportEnergyCons!$B$3:$B$1000)*1,ISNUMBER(SEARCH("TFHGV",[2]OUT_TransportEnergyCons!$C$3:$C$1000))*1,[2]OUT_TransportEnergyCons!H$3:H$1000)</f>
        <v>0</v>
      </c>
      <c r="K1621" s="1" cm="1">
        <f t="array" ref="K1621">SUMPRODUCT(("TFHGV-BeVELCExt"=[2]OUT_TransportEnergyCons!$A$3:$A$1000)*1,("var_fout"=[2]OUT_TransportEnergyCons!$B$3:$B$1000)*1,ISNUMBER(SEARCH("TFHGV",[2]OUT_TransportEnergyCons!$C$3:$C$1000))*1,[2]OUT_TransportEnergyCons!I$3:I$1000)</f>
        <v>0</v>
      </c>
      <c r="L1621" s="1" cm="1">
        <f t="array" ref="L1621">SUMPRODUCT(("TFHGV-BeVELCExt"=[2]OUT_TransportEnergyCons!$A$3:$A$1000)*1,("var_fout"=[2]OUT_TransportEnergyCons!$B$3:$B$1000)*1,ISNUMBER(SEARCH("TFHGV",[2]OUT_TransportEnergyCons!$C$3:$C$1000))*1,[2]OUT_TransportEnergyCons!J$3:J$1000)</f>
        <v>0</v>
      </c>
      <c r="N1621" s="1"/>
    </row>
    <row r="1622" spans="2:14" x14ac:dyDescent="0.35">
      <c r="B1622" t="str">
        <f t="shared" si="1676"/>
        <v>SPS1</v>
      </c>
      <c r="C1622" t="str">
        <f t="shared" si="1677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2.6312351418576866E-3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1.0838929443188179E-2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1.598971000549948E-2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0.75365426834579996</v>
      </c>
      <c r="J1622" s="1" cm="1">
        <f t="array" ref="J1622">SUMPRODUCT(("TFHGV-BEVELC"=[2]OUT_TransportEnergyCons!$A$3:$A$1000)*1,("var_fout"=[2]OUT_TransportEnergyCons!$B$3:$B$1000)*1,ISNUMBER(SEARCH("TFHGV",[2]OUT_TransportEnergyCons!$C$3:$C$1000))*1,[2]OUT_TransportEnergyCons!H$3:H$1000)</f>
        <v>0.48908304896572696</v>
      </c>
      <c r="K1622" s="1" cm="1">
        <f t="array" ref="K1622">SUMPRODUCT(("TFHGV-BEVELC"=[2]OUT_TransportEnergyCons!$A$3:$A$1000)*1,("var_fout"=[2]OUT_TransportEnergyCons!$B$3:$B$1000)*1,ISNUMBER(SEARCH("TFHGV",[2]OUT_TransportEnergyCons!$C$3:$C$1000))*1,[2]OUT_TransportEnergyCons!I$3:I$1000)</f>
        <v>1.4508319969273296</v>
      </c>
      <c r="L1622" s="1" cm="1">
        <f t="array" ref="L1622">SUMPRODUCT(("TFHGV-BEVELC"=[2]OUT_TransportEnergyCons!$A$3:$A$1000)*1,("var_fout"=[2]OUT_TransportEnergyCons!$B$3:$B$1000)*1,ISNUMBER(SEARCH("TFHGV",[2]OUT_TransportEnergyCons!$C$3:$C$1000))*1,[2]OUT_TransportEnergyCons!J$3:J$1000)</f>
        <v>2.7093953480253785</v>
      </c>
      <c r="N1622" s="1"/>
    </row>
    <row r="1623" spans="2:14" x14ac:dyDescent="0.35">
      <c r="B1623" t="str">
        <f t="shared" si="1676"/>
        <v>SPS1</v>
      </c>
      <c r="C1623" t="str">
        <f t="shared" si="1677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8.0404380388603451E-4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2.4770105580335529E-3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2.4925966819578241E-3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9.455148011890094E-4</v>
      </c>
      <c r="J1623" s="1" cm="1">
        <f t="array" ref="J1623">SUMPRODUCT(("TFHGV-FCLH2O"=[2]OUT_TransportEnergyCons!$A$3:$A$1000)*1,("var_fout"=[2]OUT_TransportEnergyCons!$B$3:$B$1000)*1,ISNUMBER(SEARCH("TFHGV",[2]OUT_TransportEnergyCons!$C$3:$C$1000))*1,[2]OUT_TransportEnergyCons!H$3:H$1000)</f>
        <v>4.7738856263480756E-5</v>
      </c>
      <c r="K1623" s="1" cm="1">
        <f t="array" ref="K1623">SUMPRODUCT(("TFHGV-FCLH2O"=[2]OUT_TransportEnergyCons!$A$3:$A$1000)*1,("var_fout"=[2]OUT_TransportEnergyCons!$B$3:$B$1000)*1,ISNUMBER(SEARCH("TFHGV",[2]OUT_TransportEnergyCons!$C$3:$C$1000))*1,[2]OUT_TransportEnergyCons!I$3:I$1000)</f>
        <v>4.8008649204363863E-5</v>
      </c>
      <c r="L1623" s="1" cm="1">
        <f t="array" ref="L1623">SUMPRODUCT(("TFHGV-FCLH2O"=[2]OUT_TransportEnergyCons!$A$3:$A$1000)*1,("var_fout"=[2]OUT_TransportEnergyCons!$B$3:$B$1000)*1,ISNUMBER(SEARCH("TFHGV",[2]OUT_TransportEnergyCons!$C$3:$C$1000))*1,[2]OUT_TransportEnergyCons!J$3:J$1000)</f>
        <v>4.2751344159598164E-5</v>
      </c>
      <c r="N1623" s="1"/>
    </row>
    <row r="1624" spans="2:14" x14ac:dyDescent="0.35">
      <c r="B1624" t="str">
        <f t="shared" si="1676"/>
        <v>SPS1</v>
      </c>
      <c r="C1624" t="str">
        <f t="shared" si="1677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SUMPRODUCT(("TFHGV-ICEGSLExt"=[2]OUT_TransportEnergyCons!$A$3:$A$1000)*1,("var_fout"=[2]OUT_TransportEnergyCons!$B$3:$B$1000)*1,ISNUMBER(SEARCH("TFHGV",[2]OUT_TransportEnergyCons!$C$3:$C$1000))*1,[2]OUT_TransportEnergyCons!H$3:H$1000)</f>
        <v>0</v>
      </c>
      <c r="K1624" s="1" cm="1">
        <f t="array" ref="K1624">SUMPRODUCT(("TFHGV-ICEGSLExt"=[2]OUT_TransportEnergyCons!$A$3:$A$1000)*1,("var_fout"=[2]OUT_TransportEnergyCons!$B$3:$B$1000)*1,ISNUMBER(SEARCH("TFHGV",[2]OUT_TransportEnergyCons!$C$3:$C$1000))*1,[2]OUT_TransportEnergyCons!I$3:I$1000)</f>
        <v>0</v>
      </c>
      <c r="L1624" s="1" cm="1">
        <f t="array" ref="L1624">SUMPRODUCT(("TFHGV-ICEGSLExt"=[2]OUT_TransportEnergyCons!$A$3:$A$1000)*1,("var_fout"=[2]OUT_TransportEnergyCons!$B$3:$B$1000)*1,ISNUMBER(SEARCH("TFHGV",[2]OUT_TransportEnergyCons!$C$3:$C$1000))*1,[2]OUT_TransportEnergyCons!J$3:J$1000)</f>
        <v>0</v>
      </c>
      <c r="N1624" s="1"/>
    </row>
    <row r="1625" spans="2:14" x14ac:dyDescent="0.35">
      <c r="B1625" t="str">
        <f t="shared" si="1676"/>
        <v>SPS1</v>
      </c>
      <c r="C1625" t="str">
        <f t="shared" si="1677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SUMPRODUCT(("TFHGV-ICEGSL"=[2]OUT_TransportEnergyCons!$A$3:$A$1000)*1,("var_fout"=[2]OUT_TransportEnergyCons!$B$3:$B$1000)*1,ISNUMBER(SEARCH("TFHGV",[2]OUT_TransportEnergyCons!$C$3:$C$1000))*1,[2]OUT_TransportEnergyCons!H$3:H$1000)</f>
        <v>0</v>
      </c>
      <c r="K1625" s="1" cm="1">
        <f t="array" ref="K1625">SUMPRODUCT(("TFHGV-ICEGSL"=[2]OUT_TransportEnergyCons!$A$3:$A$1000)*1,("var_fout"=[2]OUT_TransportEnergyCons!$B$3:$B$1000)*1,ISNUMBER(SEARCH("TFHGV",[2]OUT_TransportEnergyCons!$C$3:$C$1000))*1,[2]OUT_TransportEnergyCons!I$3:I$1000)</f>
        <v>0</v>
      </c>
      <c r="L1625" s="1" cm="1">
        <f t="array" ref="L1625">SUMPRODUCT(("TFHGV-ICEGSL"=[2]OUT_TransportEnergyCons!$A$3:$A$1000)*1,("var_fout"=[2]OUT_TransportEnergyCons!$B$3:$B$1000)*1,ISNUMBER(SEARCH("TFHGV",[2]OUT_TransportEnergyCons!$C$3:$C$1000))*1,[2]OUT_TransportEnergyCons!J$3:J$1000)</f>
        <v>0</v>
      </c>
      <c r="N1625" s="1"/>
    </row>
    <row r="1626" spans="2:14" x14ac:dyDescent="0.35">
      <c r="B1626" t="str">
        <f t="shared" si="1676"/>
        <v>SPS1</v>
      </c>
      <c r="C1626" t="str">
        <f t="shared" si="1677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1.5709301792634554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1.3085296230128249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1.0023380432991076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0.43174954999674281</v>
      </c>
      <c r="J1626" s="1" cm="1">
        <f t="array" ref="J1626">SUMPRODUCT(("TFHGV-ICEdslExt"=[2]OUT_TransportEnergyCons!$A$3:$A$1000)*1,("var_fout"=[2]OUT_TransportEnergyCons!$B$3:$B$1000)*1,ISNUMBER(SEARCH("TFHGV",[2]OUT_TransportEnergyCons!$C$3:$C$1000))*1,[2]OUT_TransportEnergyCons!H$3:H$1000)</f>
        <v>0</v>
      </c>
      <c r="K1626" s="1" cm="1">
        <f t="array" ref="K1626">SUMPRODUCT(("TFHGV-ICEdslExt"=[2]OUT_TransportEnergyCons!$A$3:$A$1000)*1,("var_fout"=[2]OUT_TransportEnergyCons!$B$3:$B$1000)*1,ISNUMBER(SEARCH("TFHGV",[2]OUT_TransportEnergyCons!$C$3:$C$1000))*1,[2]OUT_TransportEnergyCons!I$3:I$1000)</f>
        <v>0</v>
      </c>
      <c r="L1626" s="1" cm="1">
        <f t="array" ref="L1626">SUMPRODUCT(("TFHGV-ICEdslExt"=[2]OUT_TransportEnergyCons!$A$3:$A$1000)*1,("var_fout"=[2]OUT_TransportEnergyCons!$B$3:$B$1000)*1,ISNUMBER(SEARCH("TFHGV",[2]OUT_TransportEnergyCons!$C$3:$C$1000))*1,[2]OUT_TransportEnergyCons!J$3:J$1000)</f>
        <v>0</v>
      </c>
      <c r="N1626" s="1"/>
    </row>
    <row r="1627" spans="2:14" x14ac:dyDescent="0.35">
      <c r="B1627" t="str">
        <f t="shared" si="1676"/>
        <v>SPS1</v>
      </c>
      <c r="C1627" t="str">
        <f t="shared" si="1677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0.6232609288790425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0.73198217535488175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0.57074493009214755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5.4224105478732625E-2</v>
      </c>
      <c r="J1627" s="1" cm="1">
        <f t="array" ref="J1627">SUMPRODUCT(("TFHGV-ICEdsl"=[2]OUT_TransportEnergyCons!$A$3:$A$1000)*1,("var_fout"=[2]OUT_TransportEnergyCons!$B$3:$B$1000)*1,ISNUMBER(SEARCH("TFHGV",[2]OUT_TransportEnergyCons!$C$3:$C$1000))*1,[2]OUT_TransportEnergyCons!H$3:H$1000)</f>
        <v>7.2399788393884827E-5</v>
      </c>
      <c r="K1627" s="1" cm="1">
        <f t="array" ref="K1627">SUMPRODUCT(("TFHGV-ICEdsl"=[2]OUT_TransportEnergyCons!$A$3:$A$1000)*1,("var_fout"=[2]OUT_TransportEnergyCons!$B$3:$B$1000)*1,ISNUMBER(SEARCH("TFHGV",[2]OUT_TransportEnergyCons!$C$3:$C$1000))*1,[2]OUT_TransportEnergyCons!I$3:I$1000)</f>
        <v>6.1237534521903773E-5</v>
      </c>
      <c r="L1627" s="1" cm="1">
        <f t="array" ref="L1627">SUMPRODUCT(("TFHGV-ICEdsl"=[2]OUT_TransportEnergyCons!$A$3:$A$1000)*1,("var_fout"=[2]OUT_TransportEnergyCons!$B$3:$B$1000)*1,ISNUMBER(SEARCH("TFHGV",[2]OUT_TransportEnergyCons!$C$3:$C$1000))*1,[2]OUT_TransportEnergyCons!J$3:J$1000)</f>
        <v>3.9804831000820491E-6</v>
      </c>
      <c r="N1627" s="1"/>
    </row>
    <row r="1628" spans="2:14" x14ac:dyDescent="0.35">
      <c r="B1628" t="str">
        <f t="shared" si="1676"/>
        <v>SPS1</v>
      </c>
      <c r="C1628" t="str">
        <f t="shared" si="1677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0.1692513199482989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0.66146378160613506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1.0658331989169563</v>
      </c>
      <c r="J1628" s="1" cm="1">
        <f t="array" ref="J1628">SUMPRODUCT(("TFHGV-HYBDSL"=[2]OUT_TransportEnergyCons!$A$3:$A$1000)*1,("var_fout"=[2]OUT_TransportEnergyCons!$B$3:$B$1000)*1,ISNUMBER(SEARCH("TFHGV",[2]OUT_TransportEnergyCons!$C$3:$C$1000))*1,[2]OUT_TransportEnergyCons!H$3:H$1000)</f>
        <v>1.9215080754194289</v>
      </c>
      <c r="K1628" s="1" cm="1">
        <f t="array" ref="K1628">SUMPRODUCT(("TFHGV-HYBDSL"=[2]OUT_TransportEnergyCons!$A$3:$A$1000)*1,("var_fout"=[2]OUT_TransportEnergyCons!$B$3:$B$1000)*1,ISNUMBER(SEARCH("TFHGV",[2]OUT_TransportEnergyCons!$C$3:$C$1000))*1,[2]OUT_TransportEnergyCons!I$3:I$1000)</f>
        <v>1.0577088385549061</v>
      </c>
      <c r="L1628" s="1" cm="1">
        <f t="array" ref="L1628">SUMPRODUCT(("TFHGV-HYBDSL"=[2]OUT_TransportEnergyCons!$A$3:$A$1000)*1,("var_fout"=[2]OUT_TransportEnergyCons!$B$3:$B$1000)*1,ISNUMBER(SEARCH("TFHGV",[2]OUT_TransportEnergyCons!$C$3:$C$1000))*1,[2]OUT_TransportEnergyCons!J$3:J$1000)</f>
        <v>9.3351472330224298E-6</v>
      </c>
      <c r="N1628" s="1"/>
    </row>
    <row r="1629" spans="2:14" x14ac:dyDescent="0.35">
      <c r="B1629" t="str">
        <f t="shared" si="1676"/>
        <v>SPS1</v>
      </c>
      <c r="C1629" t="str">
        <f t="shared" si="1677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6.2304209406257123E-3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3.645189516297899E-3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4.5115485211031144E-3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4.6101467415647877E-3</v>
      </c>
      <c r="J1629" s="1" cm="1">
        <f t="array" ref="J1629">SUMPRODUCT(("TFHGV-ICENGA"=[2]OUT_TransportEnergyCons!$A$3:$A$1000)*1,("var_fout"=[2]OUT_TransportEnergyCons!$B$3:$B$1000)*1,ISNUMBER(SEARCH("TFHGV",[2]OUT_TransportEnergyCons!$C$3:$C$1000))*1,[2]OUT_TransportEnergyCons!H$3:H$1000)</f>
        <v>6.5759908934537618E-4</v>
      </c>
      <c r="K1629" s="1" cm="1">
        <f t="array" ref="K1629">SUMPRODUCT(("TFHGV-ICENGA"=[2]OUT_TransportEnergyCons!$A$3:$A$1000)*1,("var_fout"=[2]OUT_TransportEnergyCons!$B$3:$B$1000)*1,ISNUMBER(SEARCH("TFHGV",[2]OUT_TransportEnergyCons!$C$3:$C$1000))*1,[2]OUT_TransportEnergyCons!I$3:I$1000)</f>
        <v>3.7565951067419827E-4</v>
      </c>
      <c r="L1629" s="1" cm="1">
        <f t="array" ref="L1629">SUMPRODUCT(("TFHGV-ICENGA"=[2]OUT_TransportEnergyCons!$A$3:$A$1000)*1,("var_fout"=[2]OUT_TransportEnergyCons!$B$3:$B$1000)*1,ISNUMBER(SEARCH("TFHGV",[2]OUT_TransportEnergyCons!$C$3:$C$1000))*1,[2]OUT_TransportEnergyCons!J$3:J$1000)</f>
        <v>1.633252566973867E-5</v>
      </c>
      <c r="N1629" s="1"/>
    </row>
    <row r="1630" spans="2:14" x14ac:dyDescent="0.35">
      <c r="B1630" s="2" t="str">
        <f t="shared" si="1676"/>
        <v>SPS1</v>
      </c>
      <c r="C1630" s="2" t="str">
        <f t="shared" si="1677"/>
        <v>CH</v>
      </c>
      <c r="D1630" s="2" t="s">
        <v>1633</v>
      </c>
      <c r="E1630" s="2" t="s">
        <v>1229</v>
      </c>
      <c r="F1630" s="24" t="s">
        <v>292</v>
      </c>
      <c r="G1630" s="24" t="s">
        <v>292</v>
      </c>
      <c r="H1630" s="24" t="s">
        <v>292</v>
      </c>
      <c r="I1630" s="24" t="s">
        <v>292</v>
      </c>
      <c r="J1630" s="24" t="s">
        <v>292</v>
      </c>
      <c r="K1630" s="24" t="s">
        <v>292</v>
      </c>
      <c r="L1630" s="24" t="s">
        <v>292</v>
      </c>
      <c r="N1630" s="1"/>
    </row>
    <row r="1631" spans="2:14" x14ac:dyDescent="0.35">
      <c r="B1631" t="str">
        <f t="shared" si="1676"/>
        <v>SPS1</v>
      </c>
      <c r="C1631" t="str">
        <f t="shared" si="1677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710">IFERROR(G1621/G1595,"-")</f>
        <v>-</v>
      </c>
      <c r="H1631" s="1" t="str">
        <f t="shared" si="1710"/>
        <v>-</v>
      </c>
      <c r="I1631" s="1" t="str">
        <f t="shared" si="1710"/>
        <v>-</v>
      </c>
      <c r="J1631" s="1" t="str">
        <f t="shared" si="1710"/>
        <v>-</v>
      </c>
      <c r="K1631" s="1" t="str">
        <f t="shared" si="1710"/>
        <v>-</v>
      </c>
      <c r="L1631" s="1" t="str">
        <f t="shared" ref="L1631" si="1711">IFERROR(L1621/L1595,"-")</f>
        <v>-</v>
      </c>
      <c r="N1631" s="1"/>
    </row>
    <row r="1632" spans="2:14" x14ac:dyDescent="0.35">
      <c r="B1632" t="str">
        <f t="shared" si="1676"/>
        <v>SPS1</v>
      </c>
      <c r="C1632" t="str">
        <f t="shared" si="1677"/>
        <v>CH</v>
      </c>
      <c r="D1632" t="s">
        <v>1635</v>
      </c>
      <c r="E1632" t="str">
        <f t="shared" ref="E1632:E1639" si="1712">E1631</f>
        <v>km/MJ</v>
      </c>
      <c r="F1632" s="1">
        <f>IFERROR(F1622/F1596,"-")</f>
        <v>0.26872776416540911</v>
      </c>
      <c r="G1632" s="1">
        <f t="shared" ref="G1632:K1632" si="1713">IFERROR(G1622/G1596,"-")</f>
        <v>0.27155546098525385</v>
      </c>
      <c r="H1632" s="1">
        <f t="shared" si="1713"/>
        <v>0.2748683914843289</v>
      </c>
      <c r="I1632" s="1">
        <f t="shared" si="1713"/>
        <v>0.29254263986308204</v>
      </c>
      <c r="J1632" s="1">
        <f t="shared" si="1713"/>
        <v>0.30376521222289649</v>
      </c>
      <c r="K1632" s="1">
        <f t="shared" si="1713"/>
        <v>0.31454897568413526</v>
      </c>
      <c r="L1632" s="1">
        <f t="shared" ref="L1632" si="1714">IFERROR(L1622/L1596,"-")</f>
        <v>0.33818043566260564</v>
      </c>
      <c r="N1632" s="1"/>
    </row>
    <row r="1633" spans="2:14" x14ac:dyDescent="0.35">
      <c r="B1633" t="str">
        <f t="shared" si="1676"/>
        <v>SPS1</v>
      </c>
      <c r="C1633" t="str">
        <f t="shared" si="1677"/>
        <v>CH</v>
      </c>
      <c r="D1633" t="s">
        <v>1636</v>
      </c>
      <c r="E1633" t="str">
        <f t="shared" si="1712"/>
        <v>km/MJ</v>
      </c>
      <c r="F1633" s="1">
        <f>IFERROR(F1623/F1598,"-")</f>
        <v>0.17445873125089914</v>
      </c>
      <c r="G1633" s="1">
        <f t="shared" ref="G1633:K1633" si="1715">IFERROR(G1623/G1598,"-")</f>
        <v>0.17539269468511823</v>
      </c>
      <c r="H1633" s="1">
        <f t="shared" si="1715"/>
        <v>0.17576549128290603</v>
      </c>
      <c r="I1633" s="1">
        <f t="shared" si="1715"/>
        <v>0.18017815211400057</v>
      </c>
      <c r="J1633" s="1">
        <f t="shared" si="1715"/>
        <v>0.19435858022755184</v>
      </c>
      <c r="K1633" s="1">
        <f t="shared" si="1715"/>
        <v>0.19795490428665713</v>
      </c>
      <c r="L1633" s="1">
        <f t="shared" ref="L1633" si="1716">IFERROR(L1623/L1598,"-")</f>
        <v>0.21788470685002848</v>
      </c>
      <c r="N1633" s="1"/>
    </row>
    <row r="1634" spans="2:14" x14ac:dyDescent="0.35">
      <c r="B1634" t="str">
        <f t="shared" si="1676"/>
        <v>SPS1</v>
      </c>
      <c r="C1634" t="str">
        <f t="shared" si="1677"/>
        <v>CH</v>
      </c>
      <c r="D1634" t="s">
        <v>1637</v>
      </c>
      <c r="E1634" t="str">
        <f t="shared" si="1712"/>
        <v>km/MJ</v>
      </c>
      <c r="F1634" s="1" t="str">
        <f>IFERROR(F1624/F1604,"-")</f>
        <v>-</v>
      </c>
      <c r="G1634" s="1" t="str">
        <f t="shared" ref="G1634:K1634" si="1717">IFERROR(G1624/G1604,"-")</f>
        <v>-</v>
      </c>
      <c r="H1634" s="1" t="str">
        <f t="shared" si="1717"/>
        <v>-</v>
      </c>
      <c r="I1634" s="1" t="str">
        <f t="shared" si="1717"/>
        <v>-</v>
      </c>
      <c r="J1634" s="1" t="str">
        <f t="shared" si="1717"/>
        <v>-</v>
      </c>
      <c r="K1634" s="1" t="str">
        <f t="shared" si="1717"/>
        <v>-</v>
      </c>
      <c r="L1634" s="1" t="str">
        <f t="shared" ref="L1634" si="1718">IFERROR(L1624/L1604,"-")</f>
        <v>-</v>
      </c>
      <c r="N1634" s="1"/>
    </row>
    <row r="1635" spans="2:14" x14ac:dyDescent="0.35">
      <c r="B1635" t="str">
        <f t="shared" si="1676"/>
        <v>SPS1</v>
      </c>
      <c r="C1635" t="str">
        <f t="shared" si="1677"/>
        <v>CH</v>
      </c>
      <c r="D1635" t="s">
        <v>1638</v>
      </c>
      <c r="E1635" t="str">
        <f t="shared" si="1712"/>
        <v>km/MJ</v>
      </c>
      <c r="F1635" s="1" t="str">
        <f>IFERROR(F1625/F1605,"-")</f>
        <v>-</v>
      </c>
      <c r="G1635" s="1" t="str">
        <f t="shared" ref="G1635:K1635" si="1719">IFERROR(G1625/G1605,"-")</f>
        <v>-</v>
      </c>
      <c r="H1635" s="1" t="str">
        <f t="shared" si="1719"/>
        <v>-</v>
      </c>
      <c r="I1635" s="1" t="str">
        <f t="shared" si="1719"/>
        <v>-</v>
      </c>
      <c r="J1635" s="1" t="str">
        <f t="shared" si="1719"/>
        <v>-</v>
      </c>
      <c r="K1635" s="1" t="str">
        <f t="shared" si="1719"/>
        <v>-</v>
      </c>
      <c r="L1635" s="1" t="str">
        <f t="shared" ref="L1635" si="1720">IFERROR(L1625/L1605,"-")</f>
        <v>-</v>
      </c>
      <c r="N1635" s="1"/>
    </row>
    <row r="1636" spans="2:14" x14ac:dyDescent="0.35">
      <c r="B1636" t="str">
        <f t="shared" si="1676"/>
        <v>SPS1</v>
      </c>
      <c r="C1636" t="str">
        <f t="shared" si="1677"/>
        <v>CH</v>
      </c>
      <c r="D1636" t="s">
        <v>1639</v>
      </c>
      <c r="E1636" t="str">
        <f t="shared" si="1712"/>
        <v>km/MJ</v>
      </c>
      <c r="F1636" s="1">
        <f>IFERROR(F1626/F1611,"-")</f>
        <v>8.195366187166972E-2</v>
      </c>
      <c r="G1636" s="1">
        <f t="shared" ref="G1636:K1636" si="1721">IFERROR(G1626/G1611,"-")</f>
        <v>8.399621061566033E-2</v>
      </c>
      <c r="H1636" s="1">
        <f t="shared" si="1721"/>
        <v>8.7060033731646003E-2</v>
      </c>
      <c r="I1636" s="1">
        <f t="shared" si="1721"/>
        <v>8.7060033731645975E-2</v>
      </c>
      <c r="J1636" s="1" t="str">
        <f t="shared" si="1721"/>
        <v>-</v>
      </c>
      <c r="K1636" s="1" t="str">
        <f t="shared" si="1721"/>
        <v>-</v>
      </c>
      <c r="L1636" s="1" t="str">
        <f t="shared" ref="L1636" si="1722">IFERROR(L1626/L1611,"-")</f>
        <v>-</v>
      </c>
      <c r="N1636" s="1"/>
    </row>
    <row r="1637" spans="2:14" x14ac:dyDescent="0.35">
      <c r="B1637" t="str">
        <f t="shared" si="1676"/>
        <v>SPS1</v>
      </c>
      <c r="C1637" t="str">
        <f t="shared" si="1677"/>
        <v>CH</v>
      </c>
      <c r="D1637" t="s">
        <v>1640</v>
      </c>
      <c r="E1637" t="str">
        <f t="shared" si="1712"/>
        <v>km/MJ</v>
      </c>
      <c r="F1637" s="1">
        <f>IFERROR(F1627/F1612,"-")</f>
        <v>0.11870351496053488</v>
      </c>
      <c r="G1637" s="1">
        <f t="shared" ref="G1637:K1637" si="1723">IFERROR(G1627/G1612,"-")</f>
        <v>0.11870351496053512</v>
      </c>
      <c r="H1637" s="1">
        <f t="shared" si="1723"/>
        <v>0.1187035149605353</v>
      </c>
      <c r="I1637" s="1">
        <f t="shared" si="1723"/>
        <v>0.11870351496053504</v>
      </c>
      <c r="J1637" s="1">
        <f t="shared" si="1723"/>
        <v>0.11870351496053499</v>
      </c>
      <c r="K1637" s="1">
        <f t="shared" si="1723"/>
        <v>0.11870351496053487</v>
      </c>
      <c r="L1637" s="1">
        <f t="shared" ref="L1637" si="1724">IFERROR(L1627/L1612,"-")</f>
        <v>0.11870351496053493</v>
      </c>
      <c r="N1637" s="1"/>
    </row>
    <row r="1638" spans="2:14" x14ac:dyDescent="0.35">
      <c r="B1638" t="str">
        <f t="shared" si="1676"/>
        <v>SPS1</v>
      </c>
      <c r="C1638" t="str">
        <f t="shared" si="1677"/>
        <v>CH</v>
      </c>
      <c r="D1638" t="s">
        <v>1641</v>
      </c>
      <c r="E1638" t="str">
        <f t="shared" si="1712"/>
        <v>km/MJ</v>
      </c>
      <c r="F1638" s="1" t="str">
        <f>IFERROR(F1628/F1613,"-")</f>
        <v>-</v>
      </c>
      <c r="G1638" s="1">
        <f t="shared" ref="G1638:K1638" si="1725">IFERROR(G1628/G1613,"-")</f>
        <v>0.16346685209675804</v>
      </c>
      <c r="H1638" s="1">
        <f t="shared" si="1725"/>
        <v>0.16346685209675815</v>
      </c>
      <c r="I1638" s="1">
        <f t="shared" si="1725"/>
        <v>0.16346685209675801</v>
      </c>
      <c r="J1638" s="1">
        <f t="shared" si="1725"/>
        <v>0.16346685209675796</v>
      </c>
      <c r="K1638" s="1">
        <f t="shared" si="1725"/>
        <v>0.16346685209675813</v>
      </c>
      <c r="L1638" s="1">
        <f t="shared" ref="L1638" si="1726">IFERROR(L1628/L1613,"-")</f>
        <v>0.1634668520967579</v>
      </c>
      <c r="N1638" s="1"/>
    </row>
    <row r="1639" spans="2:14" x14ac:dyDescent="0.35">
      <c r="B1639" t="str">
        <f t="shared" si="1676"/>
        <v>SPS1</v>
      </c>
      <c r="C1639" t="str">
        <f t="shared" si="1677"/>
        <v>CH</v>
      </c>
      <c r="D1639" t="s">
        <v>1642</v>
      </c>
      <c r="E1639" t="str">
        <f t="shared" si="1712"/>
        <v>km/MJ</v>
      </c>
      <c r="F1639" s="1">
        <f>IFERROR(F1629/F1619,"-")</f>
        <v>0.10322365358776009</v>
      </c>
      <c r="G1639" s="1">
        <f t="shared" ref="G1639:K1639" si="1727">IFERROR(G1629/G1619,"-")</f>
        <v>0.10350753927943394</v>
      </c>
      <c r="H1639" s="1">
        <f t="shared" si="1727"/>
        <v>0.10461267559492789</v>
      </c>
      <c r="I1639" s="1">
        <f t="shared" si="1727"/>
        <v>0.1098645570064334</v>
      </c>
      <c r="J1639" s="1">
        <f t="shared" si="1727"/>
        <v>0.11536078342977858</v>
      </c>
      <c r="K1639" s="1">
        <f t="shared" si="1727"/>
        <v>0.11740840822761976</v>
      </c>
      <c r="L1639" s="1">
        <f t="shared" ref="L1639" si="1728">IFERROR(L1629/L1619,"-")</f>
        <v>0.12104868269193504</v>
      </c>
      <c r="N1639" s="1"/>
    </row>
    <row r="1640" spans="2:14" x14ac:dyDescent="0.3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28.743255555562083</v>
      </c>
      <c r="G1640" s="1">
        <f t="shared" ref="G1640:K1640" si="1729">G1641+G1645+G1649+G1655</f>
        <v>27.889636092720753</v>
      </c>
      <c r="H1640" s="1">
        <f t="shared" si="1729"/>
        <v>27.091262832232147</v>
      </c>
      <c r="I1640" s="1">
        <f t="shared" si="1729"/>
        <v>25.163720239379224</v>
      </c>
      <c r="J1640" s="1">
        <f t="shared" si="1729"/>
        <v>25.742419589527579</v>
      </c>
      <c r="K1640" s="1">
        <f t="shared" si="1729"/>
        <v>22.882626101567144</v>
      </c>
      <c r="L1640" s="1">
        <f t="shared" ref="L1640" si="1730">L1641+L1645+L1649+L1655</f>
        <v>20.475597638409855</v>
      </c>
      <c r="N1640" s="1"/>
    </row>
    <row r="1641" spans="2:14" x14ac:dyDescent="0.35">
      <c r="B1641" t="str">
        <f t="shared" ref="B1641:B1662" si="1731">B1640</f>
        <v>SPS1</v>
      </c>
      <c r="C1641" t="str">
        <f t="shared" ref="C1641:C1687" si="1732">C1640</f>
        <v>CH</v>
      </c>
      <c r="D1641" t="s">
        <v>1652</v>
      </c>
      <c r="E1641" t="s">
        <v>8</v>
      </c>
      <c r="F1641" s="1">
        <f>SUM(F1642:F1644)</f>
        <v>9.2070511298963744</v>
      </c>
      <c r="G1641" s="1">
        <f t="shared" ref="G1641:K1641" si="1733">SUM(G1642:G1644)</f>
        <v>9.531983149429303</v>
      </c>
      <c r="H1641" s="1">
        <f t="shared" si="1733"/>
        <v>10.020495411761253</v>
      </c>
      <c r="I1641" s="1">
        <f t="shared" si="1733"/>
        <v>11.802922946191748</v>
      </c>
      <c r="J1641" s="1">
        <f t="shared" si="1733"/>
        <v>12.389658177224367</v>
      </c>
      <c r="K1641" s="1">
        <f t="shared" si="1733"/>
        <v>15.247782293577831</v>
      </c>
      <c r="L1641" s="1">
        <f t="shared" ref="L1641" si="1734">SUM(L1642:L1644)</f>
        <v>18.342606395521475</v>
      </c>
      <c r="N1641" s="1"/>
    </row>
    <row r="1642" spans="2:14" x14ac:dyDescent="0.35">
      <c r="B1642" t="str">
        <f t="shared" si="1731"/>
        <v>SPS1</v>
      </c>
      <c r="C1642" t="str">
        <f t="shared" si="1732"/>
        <v>CH</v>
      </c>
      <c r="D1642" t="s">
        <v>1653</v>
      </c>
      <c r="E1642" t="str">
        <f t="shared" ref="E1642:E1644" si="1735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SUMPRODUCT(("TPRLPELCEXT"=[2]OUT_TransportEnergyCons!$A$3:$A$1000)*1,("Var_Fin"=[2]OUT_TransportEnergyCons!$B$3:$B$1000)*1,ISNUMBER(SEARCH("ELC",[2]OUT_TransportEnergyCons!$C$3:$C$1000))*1,[2]OUT_TransportEnergyCons!H$3:H$1000)</f>
        <v>9.2102053769306007</v>
      </c>
      <c r="K1642" s="1" cm="1">
        <f t="array" ref="K1642">SUMPRODUCT(("TPRLPELCEXT"=[2]OUT_TransportEnergyCons!$A$3:$A$1000)*1,("Var_Fin"=[2]OUT_TransportEnergyCons!$B$3:$B$1000)*1,ISNUMBER(SEARCH("ELC",[2]OUT_TransportEnergyCons!$C$3:$C$1000))*1,[2]OUT_TransportEnergyCons!I$3:I$1000)</f>
        <v>9.7092795434126415</v>
      </c>
      <c r="L1642" s="1" cm="1">
        <f t="array" ref="L1642">SUMPRODUCT(("TPRLPELCEXT"=[2]OUT_TransportEnergyCons!$A$3:$A$1000)*1,("Var_Fin"=[2]OUT_TransportEnergyCons!$B$3:$B$1000)*1,ISNUMBER(SEARCH("ELC",[2]OUT_TransportEnergyCons!$C$3:$C$1000))*1,[2]OUT_TransportEnergyCons!J$3:J$1000)</f>
        <v>10.452522610834562</v>
      </c>
      <c r="N1642" s="1"/>
    </row>
    <row r="1643" spans="2:14" x14ac:dyDescent="0.35">
      <c r="B1643" t="str">
        <f t="shared" si="1731"/>
        <v>SPS1</v>
      </c>
      <c r="C1643" t="str">
        <f t="shared" si="1732"/>
        <v>CH</v>
      </c>
      <c r="D1643" t="s">
        <v>1654</v>
      </c>
      <c r="E1643" t="str">
        <f t="shared" si="1735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1.5023311167954285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1.58982579247647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1.7436200827316508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1.893263601974257</v>
      </c>
      <c r="J1643" s="1" cm="1">
        <f t="array" ref="J1643">SUMPRODUCT(("TFRLFELCEXT"=[2]OUT_TransportEnergyCons!$A$3:$A$1000)*1,("Var_Fin"=[2]OUT_TransportEnergyCons!$B$3:$B$1000)*1,ISNUMBER(SEARCH("ELC",[2]OUT_TransportEnergyCons!$C$3:$C$1000))*1,[2]OUT_TransportEnergyCons!H$3:H$1000)</f>
        <v>1.9814786783973244</v>
      </c>
      <c r="K1643" s="1" cm="1">
        <f t="array" ref="K1643">SUMPRODUCT(("TFRLFELCEXT"=[2]OUT_TransportEnergyCons!$A$3:$A$1000)*1,("Var_Fin"=[2]OUT_TransportEnergyCons!$B$3:$B$1000)*1,ISNUMBER(SEARCH("ELC",[2]OUT_TransportEnergyCons!$C$3:$C$1000))*1,[2]OUT_TransportEnergyCons!I$3:I$1000)</f>
        <v>2.0282783995386686</v>
      </c>
      <c r="L1643" s="1" cm="1">
        <f t="array" ref="L1643">SUMPRODUCT(("TFRLFELCEXT"=[2]OUT_TransportEnergyCons!$A$3:$A$1000)*1,("Var_Fin"=[2]OUT_TransportEnergyCons!$B$3:$B$1000)*1,ISNUMBER(SEARCH("ELC",[2]OUT_TransportEnergyCons!$C$3:$C$1000))*1,[2]OUT_TransportEnergyCons!J$3:J$1000)</f>
        <v>2.1804952115088976</v>
      </c>
      <c r="N1643" s="1"/>
    </row>
    <row r="1644" spans="2:14" x14ac:dyDescent="0.35">
      <c r="B1644" t="str">
        <f t="shared" si="1731"/>
        <v>SPS1</v>
      </c>
      <c r="C1644" t="str">
        <f t="shared" si="1732"/>
        <v>CH</v>
      </c>
      <c r="D1644" t="s">
        <v>1655</v>
      </c>
      <c r="E1644" t="str">
        <f t="shared" si="1735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3.6251920101909453E-2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6.897387672524781E-2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1.1978493470414102</v>
      </c>
      <c r="J1644" s="1" cm="1">
        <f t="array" ref="J1644">SUMPRODUCT(("TPSHPELCEXT"=[2]OUT_TransportEnergyCons!$A$3:$A$1000)*1,("Var_Fin"=[2]OUT_TransportEnergyCons!$B$3:$B$1000)*1,ISNUMBER(SEARCH("ELC",[2]OUT_TransportEnergyCons!$C$3:$C$1000))*1,[2]OUT_TransportEnergyCons!H$3:H$1000)+[2]Transport_Aviation_Intl!F$13</f>
        <v>1.1979741218964415</v>
      </c>
      <c r="K1644" s="1" cm="1">
        <f t="array" ref="K1644">SUMPRODUCT(("TPSHPELCEXT"=[2]OUT_TransportEnergyCons!$A$3:$A$1000)*1,("Var_Fin"=[2]OUT_TransportEnergyCons!$B$3:$B$1000)*1,ISNUMBER(SEARCH("ELC",[2]OUT_TransportEnergyCons!$C$3:$C$1000))*1,[2]OUT_TransportEnergyCons!I$3:I$1000)+[2]Transport_Aviation_Intl!G$13</f>
        <v>3.5102243506265216</v>
      </c>
      <c r="L1644" s="1" cm="1">
        <f t="array" ref="L1644">SUMPRODUCT(("TPSHPELCEXT"=[2]OUT_TransportEnergyCons!$A$3:$A$1000)*1,("Var_Fin"=[2]OUT_TransportEnergyCons!$B$3:$B$1000)*1,ISNUMBER(SEARCH("ELC",[2]OUT_TransportEnergyCons!$C$3:$C$1000))*1,[2]OUT_TransportEnergyCons!J$3:J$1000)+[2]Transport_Aviation_Intl!H$13</f>
        <v>5.7095885731780145</v>
      </c>
      <c r="N1644" s="1"/>
    </row>
    <row r="1645" spans="2:14" x14ac:dyDescent="0.35">
      <c r="B1645" t="str">
        <f t="shared" si="1731"/>
        <v>SPS1</v>
      </c>
      <c r="C1645" t="str">
        <f t="shared" si="1732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736">SUM(G1646:G1648)</f>
        <v>0</v>
      </c>
      <c r="H1645" s="1">
        <f t="shared" si="1736"/>
        <v>0</v>
      </c>
      <c r="I1645" s="1">
        <f t="shared" si="1736"/>
        <v>0</v>
      </c>
      <c r="J1645" s="1">
        <f t="shared" si="1736"/>
        <v>3.3556538339264051E-5</v>
      </c>
      <c r="K1645" s="1">
        <f t="shared" si="1736"/>
        <v>9.0069404560597241E-2</v>
      </c>
      <c r="L1645" s="1">
        <f t="shared" ref="L1645" si="1737">SUM(L1646:L1648)</f>
        <v>9.0103642868225919E-2</v>
      </c>
      <c r="N1645" s="1"/>
    </row>
    <row r="1646" spans="2:14" x14ac:dyDescent="0.35">
      <c r="B1646" t="str">
        <f t="shared" si="1731"/>
        <v>SPS1</v>
      </c>
      <c r="C1646" t="str">
        <f t="shared" si="1732"/>
        <v>CH</v>
      </c>
      <c r="D1646" t="s">
        <v>1657</v>
      </c>
      <c r="E1646" t="str">
        <f t="shared" ref="E1646:E1648" si="1738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SUMPRODUCT(("TPRLPH2OFCL"=[2]OUT_TransportEnergyCons!$A$3:$A$1000)*1,("Var_Fin"=[2]OUT_TransportEnergyCons!$B$3:$B$1000)*1,ISNUMBER(SEARCH("h2",[2]OUT_TransportEnergyCons!$C$3:$C$1000))*1,[2]OUT_TransportEnergyCons!H$3:H$1000)</f>
        <v>0</v>
      </c>
      <c r="K1646" s="1" cm="1">
        <f t="array" ref="K1646">SUMPRODUCT(("TPRLPH2OFCL"=[2]OUT_TransportEnergyCons!$A$3:$A$1000)*1,("Var_Fin"=[2]OUT_TransportEnergyCons!$B$3:$B$1000)*1,ISNUMBER(SEARCH("h2",[2]OUT_TransportEnergyCons!$C$3:$C$1000))*1,[2]OUT_TransportEnergyCons!I$3:I$1000)</f>
        <v>1.272420976885631E-5</v>
      </c>
      <c r="L1646" s="1" cm="1">
        <f t="array" ref="L1646">SUMPRODUCT(("TPRLPH2OFCL"=[2]OUT_TransportEnergyCons!$A$3:$A$1000)*1,("Var_Fin"=[2]OUT_TransportEnergyCons!$B$3:$B$1000)*1,ISNUMBER(SEARCH("h2",[2]OUT_TransportEnergyCons!$C$3:$C$1000))*1,[2]OUT_TransportEnergyCons!J$3:J$1000)</f>
        <v>4.6379234097082035E-5</v>
      </c>
      <c r="N1646" s="1"/>
    </row>
    <row r="1647" spans="2:14" x14ac:dyDescent="0.35">
      <c r="B1647" t="str">
        <f t="shared" si="1731"/>
        <v>SPS1</v>
      </c>
      <c r="C1647" t="str">
        <f t="shared" si="1732"/>
        <v>CH</v>
      </c>
      <c r="D1647" t="s">
        <v>1658</v>
      </c>
      <c r="E1647" t="str">
        <f t="shared" si="1738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SUMPRODUCT(("TFRLFH2OFCL"=[2]OUT_TransportEnergyCons!$A$3:$A$1000)*1,("Var_Fin"=[2]OUT_TransportEnergyCons!$B$3:$B$1000)*1,ISNUMBER(SEARCH("h2",[2]OUT_TransportEnergyCons!$C$3:$C$1000))*1,[2]OUT_TransportEnergyCons!H$3:H$1000)</f>
        <v>0</v>
      </c>
      <c r="K1647" s="1" cm="1">
        <f t="array" ref="K1647">SUMPRODUCT(("TFRLFH2OFCL"=[2]OUT_TransportEnergyCons!$A$3:$A$1000)*1,("Var_Fin"=[2]OUT_TransportEnergyCons!$B$3:$B$1000)*1,ISNUMBER(SEARCH("h2",[2]OUT_TransportEnergyCons!$C$3:$C$1000))*1,[2]OUT_TransportEnergyCons!I$3:I$1000)</f>
        <v>0</v>
      </c>
      <c r="L1647" s="1" cm="1">
        <f t="array" ref="L1647">SUMPRODUCT(("TFRLFH2OFCL"=[2]OUT_TransportEnergyCons!$A$3:$A$1000)*1,("Var_Fin"=[2]OUT_TransportEnergyCons!$B$3:$B$1000)*1,ISNUMBER(SEARCH("h2",[2]OUT_TransportEnergyCons!$C$3:$C$1000))*1,[2]OUT_TransportEnergyCons!J$3:J$1000)</f>
        <v>0</v>
      </c>
      <c r="N1647" s="1"/>
    </row>
    <row r="1648" spans="2:14" x14ac:dyDescent="0.35">
      <c r="B1648" t="str">
        <f t="shared" si="1731"/>
        <v>SPS1</v>
      </c>
      <c r="C1648" t="str">
        <f t="shared" si="1732"/>
        <v>CH</v>
      </c>
      <c r="D1648" t="s">
        <v>1659</v>
      </c>
      <c r="E1648" t="str">
        <f t="shared" si="1738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SUMPRODUCT(("TPSHPH2OEXT"=[2]OUT_TransportEnergyCons!$A$3:$A$1000)*1,("Var_Fin"=[2]OUT_TransportEnergyCons!$B$3:$B$1000)*1,ISNUMBER(SEARCH("h2",[2]OUT_TransportEnergyCons!$C$3:$C$1000))*1,[2]OUT_TransportEnergyCons!H$3:H$1000)+[2]Transport_Aviation_Intl!F$14</f>
        <v>3.3556538339264051E-5</v>
      </c>
      <c r="K1648" s="1" cm="1">
        <f t="array" ref="K1648">SUMPRODUCT(("TPSHPH2OEXT"=[2]OUT_TransportEnergyCons!$A$3:$A$1000)*1,("Var_Fin"=[2]OUT_TransportEnergyCons!$B$3:$B$1000)*1,ISNUMBER(SEARCH("h2",[2]OUT_TransportEnergyCons!$C$3:$C$1000))*1,[2]OUT_TransportEnergyCons!I$3:I$1000)+[2]Transport_Aviation_Intl!G$14</f>
        <v>9.005668035082838E-2</v>
      </c>
      <c r="L1648" s="1" cm="1">
        <f t="array" ref="L1648">SUMPRODUCT(("TPSHPH2OEXT"=[2]OUT_TransportEnergyCons!$A$3:$A$1000)*1,("Var_Fin"=[2]OUT_TransportEnergyCons!$B$3:$B$1000)*1,ISNUMBER(SEARCH("h2",[2]OUT_TransportEnergyCons!$C$3:$C$1000))*1,[2]OUT_TransportEnergyCons!J$3:J$1000)+[2]Transport_Aviation_Intl!H$14</f>
        <v>9.0057263634128831E-2</v>
      </c>
      <c r="N1648" s="1"/>
    </row>
    <row r="1649" spans="2:14" x14ac:dyDescent="0.35">
      <c r="B1649" t="str">
        <f t="shared" si="1731"/>
        <v>SPS1</v>
      </c>
      <c r="C1649" t="str">
        <f t="shared" si="1732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739">G1654</f>
        <v>0.69710776583038736</v>
      </c>
      <c r="H1649" s="1">
        <f t="shared" si="1739"/>
        <v>6.0054928567409849E-2</v>
      </c>
      <c r="I1649" s="1">
        <f t="shared" si="1739"/>
        <v>5.9601476447950767E-2</v>
      </c>
      <c r="J1649" s="1">
        <f t="shared" si="1739"/>
        <v>3.9191896347197663E-3</v>
      </c>
      <c r="K1649" s="1">
        <f t="shared" si="1739"/>
        <v>0.12752019177835733</v>
      </c>
      <c r="L1649" s="1">
        <f t="shared" ref="L1649" si="1740">L1654</f>
        <v>0</v>
      </c>
      <c r="N1649" s="1"/>
    </row>
    <row r="1650" spans="2:14" x14ac:dyDescent="0.35">
      <c r="B1650" t="str">
        <f t="shared" si="1731"/>
        <v>SPS1</v>
      </c>
      <c r="C1650" t="str">
        <f t="shared" si="1732"/>
        <v>CH</v>
      </c>
      <c r="D1650" t="s">
        <v>1661</v>
      </c>
      <c r="E1650" t="str">
        <f t="shared" ref="E1650:E1662" si="1741">E1649</f>
        <v>PJ/yr.</v>
      </c>
      <c r="F1650" s="1">
        <f>F1649-F1651</f>
        <v>1.6634748446610594</v>
      </c>
      <c r="G1650" s="1">
        <f t="shared" ref="G1650:K1650" si="1742">G1649-G1651</f>
        <v>0.65894105078533749</v>
      </c>
      <c r="H1650" s="1">
        <f t="shared" si="1742"/>
        <v>5.6766721257933202E-2</v>
      </c>
      <c r="I1650" s="1">
        <f t="shared" si="1742"/>
        <v>5.4384484597368429E-2</v>
      </c>
      <c r="J1650" s="1">
        <f t="shared" si="1742"/>
        <v>3.6221385704359151E-3</v>
      </c>
      <c r="K1650" s="1">
        <f t="shared" si="1742"/>
        <v>6.5950117580740264E-2</v>
      </c>
      <c r="L1650" s="1">
        <f t="shared" ref="L1650" si="1743">L1649-L1651</f>
        <v>0</v>
      </c>
      <c r="N1650" s="1"/>
    </row>
    <row r="1651" spans="2:14" x14ac:dyDescent="0.35">
      <c r="B1651" t="str">
        <f t="shared" si="1731"/>
        <v>SPS1</v>
      </c>
      <c r="C1651" t="str">
        <f t="shared" si="1732"/>
        <v>CH</v>
      </c>
      <c r="D1651" t="s">
        <v>1662</v>
      </c>
      <c r="E1651" t="str">
        <f t="shared" si="1741"/>
        <v>PJ/yr.</v>
      </c>
      <c r="F1651" s="1">
        <f>SUM(F1652:F1653)</f>
        <v>9.6332919067298531E-2</v>
      </c>
      <c r="G1651" s="1">
        <f t="shared" ref="G1651:K1651" si="1744">SUM(G1652:G1653)</f>
        <v>3.8166715045049877E-2</v>
      </c>
      <c r="H1651" s="1">
        <f t="shared" si="1744"/>
        <v>3.2882073094766444E-3</v>
      </c>
      <c r="I1651" s="1">
        <f t="shared" si="1744"/>
        <v>5.2169918505823414E-3</v>
      </c>
      <c r="J1651" s="1">
        <f t="shared" si="1744"/>
        <v>2.970510642838513E-4</v>
      </c>
      <c r="K1651" s="1">
        <f t="shared" si="1744"/>
        <v>6.1570074197617064E-2</v>
      </c>
      <c r="L1651" s="1">
        <f t="shared" ref="L1651" si="1745">SUM(L1652:L1653)</f>
        <v>0</v>
      </c>
      <c r="N1651" s="1"/>
    </row>
    <row r="1652" spans="2:14" x14ac:dyDescent="0.35">
      <c r="B1652" t="str">
        <f t="shared" si="1731"/>
        <v>SPS1</v>
      </c>
      <c r="C1652" t="str">
        <f t="shared" si="1732"/>
        <v>CH</v>
      </c>
      <c r="D1652" t="s">
        <v>1663</v>
      </c>
      <c r="E1652" t="str">
        <f t="shared" si="1741"/>
        <v>PJ/yr.</v>
      </c>
      <c r="F1652" s="1">
        <f>[1]Transport!B$25/SUM([1]Transport!B$21,[1]Transport!B$25)*F1649*(F$35+F$600)/(F$35+F$600+F$39)</f>
        <v>9.6332919067298531E-2</v>
      </c>
      <c r="G1652" s="1">
        <f>[1]Transport!C$25/SUM([1]Transport!C$21,[1]Transport!C$25)*G1649*(G$35+G$600)/(G$35+G$600+G$39)</f>
        <v>3.8166715045049877E-2</v>
      </c>
      <c r="H1652" s="1">
        <f>[1]Transport!D$25/SUM([1]Transport!D$21,[1]Transport!D$25)*H1649*(H$35+H$600)/(H$35+H$600+H$39)</f>
        <v>3.2882073094766444E-3</v>
      </c>
      <c r="I1652" s="1">
        <f>[1]Transport!E$25/SUM([1]Transport!E$21,[1]Transport!E$25)*I1649*(I$35+I$600)/(I$35+I$600+I$39)</f>
        <v>5.2169918505823414E-3</v>
      </c>
      <c r="J1652" s="1">
        <f>[2]Transport!F$25/SUM([2]Transport!F$21,[2]Transport!F$25)*J1649*(J$35+J$600)/(J$35+J$600+J$39)</f>
        <v>2.970510642838513E-4</v>
      </c>
      <c r="K1652" s="1">
        <f>[2]Transport!G$25/SUM([2]Transport!G$21,[2]Transport!G$25)*K1649*(K$35+K$600)/(K$35+K$600+K$39)</f>
        <v>2.6269362171308156E-2</v>
      </c>
      <c r="L1652" s="1">
        <f>[2]Transport!H$25/SUM([2]Transport!H$21,[2]Transport!H$25)*L1649*(L$35+L$600)/(L$35+L$600+L$39)</f>
        <v>0</v>
      </c>
      <c r="N1652" s="1"/>
    </row>
    <row r="1653" spans="2:14" x14ac:dyDescent="0.35">
      <c r="B1653" t="str">
        <f t="shared" si="1731"/>
        <v>SPS1</v>
      </c>
      <c r="C1653" t="str">
        <f t="shared" si="1732"/>
        <v>CH</v>
      </c>
      <c r="D1653" t="s">
        <v>1664</v>
      </c>
      <c r="E1653" t="str">
        <f t="shared" si="1741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(J$39+J$719)/([2]Transport!F$21+[2]Transport!F$25)*J1649</f>
        <v>0</v>
      </c>
      <c r="K1653" s="1">
        <f>(K$39+K$719)/([2]Transport!G$21+[2]Transport!G$25)*K1649</f>
        <v>3.5300712026308904E-2</v>
      </c>
      <c r="L1653" s="1">
        <f>(L$39+L$719)/([2]Transport!H$21+[2]Transport!H$25)*L1649</f>
        <v>0</v>
      </c>
      <c r="N1653" s="1"/>
    </row>
    <row r="1654" spans="2:14" x14ac:dyDescent="0.35">
      <c r="B1654" t="str">
        <f t="shared" si="1731"/>
        <v>SPS1</v>
      </c>
      <c r="C1654" t="str">
        <f t="shared" si="1732"/>
        <v>CH</v>
      </c>
      <c r="D1654" t="s">
        <v>1665</v>
      </c>
      <c r="E1654" t="str">
        <f t="shared" si="1741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0.69710776583038736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6.0054928567409849E-2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5.9601476447950767E-2</v>
      </c>
      <c r="J1654" s="1" cm="1">
        <f t="array" ref="J1654">SUMPRODUCT(("TPSHPGSLEXT"=[2]OUT_TransportEnergyCons!$A$3:$A$1000)*1,("Var_Fin"=[2]OUT_TransportEnergyCons!$B$3:$B$1000)*1,ISNUMBER(SEARCH("GSL",[2]OUT_TransportEnergyCons!$C$3:$C$1000))*1,[2]OUT_TransportEnergyCons!H$3:H$1000)</f>
        <v>3.9191896347197663E-3</v>
      </c>
      <c r="K1654" s="1" cm="1">
        <f t="array" ref="K1654">SUMPRODUCT(("TPSHPGSLEXT"=[2]OUT_TransportEnergyCons!$A$3:$A$1000)*1,("Var_Fin"=[2]OUT_TransportEnergyCons!$B$3:$B$1000)*1,ISNUMBER(SEARCH("GSL",[2]OUT_TransportEnergyCons!$C$3:$C$1000))*1,[2]OUT_TransportEnergyCons!I$3:I$1000)</f>
        <v>0.12752019177835733</v>
      </c>
      <c r="L1654" s="1" cm="1">
        <f t="array" ref="L1654">SUMPRODUCT(("TPSHPGSLEXT"=[2]OUT_TransportEnergyCons!$A$3:$A$1000)*1,("Var_Fin"=[2]OUT_TransportEnergyCons!$B$3:$B$1000)*1,ISNUMBER(SEARCH("GSL",[2]OUT_TransportEnergyCons!$C$3:$C$1000))*1,[2]OUT_TransportEnergyCons!J$3:J$1000)</f>
        <v>0</v>
      </c>
      <c r="N1654" s="1"/>
    </row>
    <row r="1655" spans="2:14" x14ac:dyDescent="0.35">
      <c r="B1655" t="str">
        <f t="shared" si="1731"/>
        <v>SPS1</v>
      </c>
      <c r="C1655" t="str">
        <f t="shared" si="1732"/>
        <v>CH</v>
      </c>
      <c r="D1655" t="s">
        <v>1666</v>
      </c>
      <c r="E1655" t="str">
        <f t="shared" si="1741"/>
        <v>PJ/yr.</v>
      </c>
      <c r="F1655" s="1">
        <f>[1]TRA_FuelByFleet!F$99</f>
        <v>17.776396661937351</v>
      </c>
      <c r="G1655" s="1">
        <f>[1]TRA_FuelByFleet!G$99</f>
        <v>17.660545177461064</v>
      </c>
      <c r="H1655" s="1">
        <f>[1]TRA_FuelByFleet!H$99</f>
        <v>17.010712491903483</v>
      </c>
      <c r="I1655" s="1">
        <f>[1]TRA_FuelByFleet!I$99</f>
        <v>13.301195816739526</v>
      </c>
      <c r="J1655" s="1">
        <f>[2]TRA_FuelByFleet!J$99</f>
        <v>13.34880866613015</v>
      </c>
      <c r="K1655" s="1">
        <f>[2]TRA_FuelByFleet!K$99</f>
        <v>7.4172542116503566</v>
      </c>
      <c r="L1655" s="1">
        <f>[2]TRA_FuelByFleet!L$99</f>
        <v>2.0428876000201535</v>
      </c>
      <c r="N1655" s="1"/>
    </row>
    <row r="1656" spans="2:14" x14ac:dyDescent="0.35">
      <c r="B1656" t="str">
        <f t="shared" si="1731"/>
        <v>SPS1</v>
      </c>
      <c r="C1656" t="str">
        <f t="shared" si="1732"/>
        <v>CH</v>
      </c>
      <c r="D1656" t="s">
        <v>1667</v>
      </c>
      <c r="E1656" t="str">
        <f t="shared" si="1741"/>
        <v>PJ/yr.</v>
      </c>
      <c r="F1656" s="1">
        <f>F1655-F1657</f>
        <v>17.347280520602677</v>
      </c>
      <c r="G1656" s="1">
        <f t="shared" ref="G1656:K1656" si="1746">G1655-G1657</f>
        <v>17.20011231275031</v>
      </c>
      <c r="H1656" s="1">
        <f t="shared" si="1746"/>
        <v>16.250579180207438</v>
      </c>
      <c r="I1656" s="1">
        <f t="shared" si="1746"/>
        <v>12.631848695661729</v>
      </c>
      <c r="J1656" s="1">
        <f t="shared" si="1746"/>
        <v>12.211368237606452</v>
      </c>
      <c r="K1656" s="1">
        <f t="shared" si="1746"/>
        <v>6.1576585018301504</v>
      </c>
      <c r="L1656" s="1">
        <f t="shared" ref="L1656" si="1747">L1655-L1657</f>
        <v>1.0119806043415887</v>
      </c>
      <c r="N1656" s="1"/>
    </row>
    <row r="1657" spans="2:14" x14ac:dyDescent="0.35">
      <c r="B1657" t="str">
        <f t="shared" si="1731"/>
        <v>SPS1</v>
      </c>
      <c r="C1657" t="str">
        <f t="shared" si="1732"/>
        <v>CH</v>
      </c>
      <c r="D1657" t="s">
        <v>1668</v>
      </c>
      <c r="E1657" t="str">
        <f t="shared" si="1741"/>
        <v>PJ/yr.</v>
      </c>
      <c r="F1657" s="1">
        <f>SUM(F1658:F1659)</f>
        <v>0.42911614133467285</v>
      </c>
      <c r="G1657" s="1">
        <f t="shared" ref="G1657:K1657" si="1748">SUM(G1658:G1659)</f>
        <v>0.46043286471075512</v>
      </c>
      <c r="H1657" s="1">
        <f t="shared" si="1748"/>
        <v>0.76013331169604514</v>
      </c>
      <c r="I1657" s="1">
        <f t="shared" si="1748"/>
        <v>0.66934712107779692</v>
      </c>
      <c r="J1657" s="1">
        <f t="shared" si="1748"/>
        <v>1.1374404285236974</v>
      </c>
      <c r="K1657" s="1">
        <f t="shared" si="1748"/>
        <v>1.259595709820206</v>
      </c>
      <c r="L1657" s="1">
        <f t="shared" ref="L1657" si="1749">SUM(L1658:L1659)</f>
        <v>1.0309069956785648</v>
      </c>
      <c r="N1657" s="1"/>
    </row>
    <row r="1658" spans="2:14" x14ac:dyDescent="0.35">
      <c r="B1658" t="str">
        <f t="shared" si="1731"/>
        <v>SPS1</v>
      </c>
      <c r="C1658" t="str">
        <f t="shared" si="1732"/>
        <v>CH</v>
      </c>
      <c r="D1658" t="s">
        <v>1669</v>
      </c>
      <c r="E1658" t="str">
        <f t="shared" si="1741"/>
        <v>PJ/yr.</v>
      </c>
      <c r="F1658" s="1">
        <f>[1]Transport!B$26/SUM([1]Transport!B$22,[1]Transport!B$26)*F1655*(F$34+F$582)/(F$34+F$582+F$38)</f>
        <v>0.42911614133467285</v>
      </c>
      <c r="G1658" s="1">
        <f>[1]Transport!C$26/SUM([1]Transport!C$22,[1]Transport!C$26)*G1655*(G$34+G$582)/(G$34+G$582+G$38)</f>
        <v>0.46043286471075512</v>
      </c>
      <c r="H1658" s="1">
        <f>[1]Transport!D$26/SUM([1]Transport!D$22,[1]Transport!D$26)*H1655*(H$34+H$582)/(H$34+H$582+H$38)</f>
        <v>0.76013331169604514</v>
      </c>
      <c r="I1658" s="1">
        <f>[1]Transport!E$26/SUM([1]Transport!E$22,[1]Transport!E$26)*I1655*(I$34+I$582)/(I$34+I$582+I$38)</f>
        <v>0.66934712107779692</v>
      </c>
      <c r="J1658" s="1">
        <f>[2]Transport!F$26/SUM([2]Transport!F$22,[2]Transport!F$26)*J1655*(J$34+J$582)/(J$34+J$582+J$38)</f>
        <v>1.1374404285236974</v>
      </c>
      <c r="K1658" s="1">
        <f>[2]Transport!G$26/SUM([2]Transport!G$22,[2]Transport!G$26)*K1655*(K$34+K$582)/(K$34+K$582+K$38)</f>
        <v>1.259595709820206</v>
      </c>
      <c r="L1658" s="1">
        <f>[2]Transport!H$26/SUM([2]Transport!H$22,[2]Transport!H$26)*L1655*(L$34+L$582)/(L$34+L$582+L$38)</f>
        <v>1.0309069956785648</v>
      </c>
      <c r="N1658" s="1"/>
    </row>
    <row r="1659" spans="2:14" x14ac:dyDescent="0.3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[2]Transport!F$26/SUM([2]Transport!F$22,[2]Transport!F$26)*J1655-J1658</f>
        <v>0</v>
      </c>
      <c r="K1659" s="1">
        <f>[2]Transport!G$26/SUM([2]Transport!G$22,[2]Transport!G$26)*K1655-K1658</f>
        <v>0</v>
      </c>
      <c r="L1659" s="1">
        <f>[2]Transport!H$26/SUM([2]Transport!H$22,[2]Transport!H$26)*L1655-L1658</f>
        <v>0</v>
      </c>
      <c r="N1659" s="1"/>
    </row>
    <row r="1660" spans="2:14" x14ac:dyDescent="0.3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SUMPRODUCT(("TPRLPDSLEXT"=[2]OUT_TransportEnergyCons!$A$3:$A$1000)*1,("Var_Fin"=[2]OUT_TransportEnergyCons!$B$3:$B$1000)*1,ISNUMBER(SEARCH("DSL",[2]OUT_TransportEnergyCons!$C$3:$C$1000))*1,[2]OUT_TransportEnergyCons!H$3:H$1000)</f>
        <v>0</v>
      </c>
      <c r="K1660" s="1" cm="1">
        <f t="array" ref="K1660">SUMPRODUCT(("TPRLPDSLEXT"=[2]OUT_TransportEnergyCons!$A$3:$A$1000)*1,("Var_Fin"=[2]OUT_TransportEnergyCons!$B$3:$B$1000)*1,ISNUMBER(SEARCH("DSL",[2]OUT_TransportEnergyCons!$C$3:$C$1000))*1,[2]OUT_TransportEnergyCons!I$3:I$1000)</f>
        <v>0</v>
      </c>
      <c r="L1660" s="1" cm="1">
        <f t="array" ref="L1660">SUMPRODUCT(("TPRLPDSLEXT"=[2]OUT_TransportEnergyCons!$A$3:$A$1000)*1,("Var_Fin"=[2]OUT_TransportEnergyCons!$B$3:$B$1000)*1,ISNUMBER(SEARCH("DSL",[2]OUT_TransportEnergyCons!$C$3:$C$1000))*1,[2]OUT_TransportEnergyCons!J$3:J$1000)</f>
        <v>0</v>
      </c>
      <c r="N1660" s="1"/>
    </row>
    <row r="1661" spans="2:14" x14ac:dyDescent="0.35">
      <c r="B1661" t="str">
        <f t="shared" si="1731"/>
        <v>SPS1</v>
      </c>
      <c r="C1661" t="str">
        <f t="shared" si="1732"/>
        <v>CH</v>
      </c>
      <c r="D1661" t="s">
        <v>1672</v>
      </c>
      <c r="E1661" t="str">
        <f t="shared" si="1741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0.3959988556026412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0.27944352419467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1.1665279179039792E-2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5.0323164360419762E-3</v>
      </c>
      <c r="J1661" s="1" cm="1">
        <f t="array" ref="J1661">SUMPRODUCT(("TFRLFDSLEXT"=[2]OUT_TransportEnergyCons!$A$3:$A$1000)*1,("Var_Fin"=[2]OUT_TransportEnergyCons!$B$3:$B$1000)*1,ISNUMBER(SEARCH("DSL",[2]OUT_TransportEnergyCons!$C$3:$C$1000))*1,[2]OUT_TransportEnergyCons!H$3:H$1000)</f>
        <v>0</v>
      </c>
      <c r="K1661" s="1" cm="1">
        <f t="array" ref="K1661">SUMPRODUCT(("TFRLFDSLEXT"=[2]OUT_TransportEnergyCons!$A$3:$A$1000)*1,("Var_Fin"=[2]OUT_TransportEnergyCons!$B$3:$B$1000)*1,ISNUMBER(SEARCH("DSL",[2]OUT_TransportEnergyCons!$C$3:$C$1000))*1,[2]OUT_TransportEnergyCons!I$3:I$1000)</f>
        <v>0</v>
      </c>
      <c r="L1661" s="1" cm="1">
        <f t="array" ref="L1661">SUMPRODUCT(("TFRLFDSLEXT"=[2]OUT_TransportEnergyCons!$A$3:$A$1000)*1,("Var_Fin"=[2]OUT_TransportEnergyCons!$B$3:$B$1000)*1,ISNUMBER(SEARCH("DSL",[2]OUT_TransportEnergyCons!$C$3:$C$1000))*1,[2]OUT_TransportEnergyCons!J$3:J$1000)</f>
        <v>0</v>
      </c>
      <c r="N1661" s="1"/>
    </row>
    <row r="1662" spans="2:14" x14ac:dyDescent="0.35">
      <c r="B1662" t="str">
        <f t="shared" si="1731"/>
        <v>SPS1</v>
      </c>
      <c r="C1662" t="str">
        <f t="shared" si="1732"/>
        <v>CH</v>
      </c>
      <c r="D1662" t="s">
        <v>1673</v>
      </c>
      <c r="E1662" t="str">
        <f t="shared" si="1741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17.381101653266395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16.999047212724442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13.296163500303484</v>
      </c>
      <c r="J1662" s="1" cm="1">
        <f t="array" ref="J1662">SUMPRODUCT(("TPSHPDSLEXT"=[2]OUT_TransportEnergyCons!$A$3:$A$1000)*1,("Var_Fin"=[2]OUT_TransportEnergyCons!$B$3:$B$1000)*1,ISNUMBER(SEARCH("DSL",[2]OUT_TransportEnergyCons!$C$3:$C$1000))*1,[2]OUT_TransportEnergyCons!H$3:H$1000)</f>
        <v>13.34880866613015</v>
      </c>
      <c r="K1662" s="1" cm="1">
        <f t="array" ref="K1662">SUMPRODUCT(("TPSHPDSLEXT"=[2]OUT_TransportEnergyCons!$A$3:$A$1000)*1,("Var_Fin"=[2]OUT_TransportEnergyCons!$B$3:$B$1000)*1,ISNUMBER(SEARCH("DSL",[2]OUT_TransportEnergyCons!$C$3:$C$1000))*1,[2]OUT_TransportEnergyCons!I$3:I$1000)</f>
        <v>7.4172542116503566</v>
      </c>
      <c r="L1662" s="1" cm="1">
        <f t="array" ref="L1662">SUMPRODUCT(("TPSHPDSLEXT"=[2]OUT_TransportEnergyCons!$A$3:$A$1000)*1,("Var_Fin"=[2]OUT_TransportEnergyCons!$B$3:$B$1000)*1,ISNUMBER(SEARCH("DSL",[2]OUT_TransportEnergyCons!$C$3:$C$1000))*1,[2]OUT_TransportEnergyCons!J$3:J$1000)</f>
        <v>2.0428876000201535</v>
      </c>
      <c r="N1662" s="1"/>
    </row>
    <row r="1663" spans="2:14" x14ac:dyDescent="0.35">
      <c r="B1663" t="str">
        <f t="shared" ref="B1663:C1665" si="1750">B1657</f>
        <v>SPS1</v>
      </c>
      <c r="C1663" t="str">
        <f t="shared" si="1750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30.629968186942101</v>
      </c>
      <c r="G1663" s="1">
        <f>IF([1]Transport!C$23+[1]Transport_Aviation_Intl!C$11&lt;0,0,[1]Transport!C$23+[1]Transport_Aviation_Intl!C$11)</f>
        <v>59.878833890333205</v>
      </c>
      <c r="H1663" s="1">
        <f>IF([1]Transport!D$23+[1]Transport_Aviation_Intl!D$11&lt;0,0,[1]Transport!D$23+[1]Transport_Aviation_Intl!D$11)</f>
        <v>82.48616337191919</v>
      </c>
      <c r="I1663" s="1">
        <f>IF([1]Transport!E$23+[1]Transport_Aviation_Intl!E$11&lt;0,0,[1]Transport!E$23+[1]Transport_Aviation_Intl!E$11)</f>
        <v>80.917097380072363</v>
      </c>
      <c r="J1663" s="1">
        <f>IF([2]Transport!F$23+[2]Transport_Aviation_Intl!F$11&lt;0,0,[2]Transport!F$23+[2]Transport_Aviation_Intl!F$11)</f>
        <v>68.42333219237095</v>
      </c>
      <c r="K1663" s="1">
        <f>IF([2]Transport!G$23+[2]Transport_Aviation_Intl!G$11&lt;0,0,[2]Transport!G$23+[2]Transport_Aviation_Intl!G$11)</f>
        <v>54.629224362610898</v>
      </c>
      <c r="L1663" s="1">
        <f>IF([2]Transport!H$23+[2]Transport_Aviation_Intl!H$11&lt;0,0,[2]Transport!H$23+[2]Transport_Aviation_Intl!H$11)</f>
        <v>0</v>
      </c>
      <c r="N1663" s="1"/>
    </row>
    <row r="1664" spans="2:14" x14ac:dyDescent="0.35">
      <c r="B1664" t="str">
        <f t="shared" si="1750"/>
        <v>SPS1</v>
      </c>
      <c r="C1664" t="str">
        <f t="shared" si="1750"/>
        <v>CH</v>
      </c>
      <c r="D1664" t="s">
        <v>2480</v>
      </c>
      <c r="E1664" t="str">
        <f>E1658</f>
        <v>PJ/yr.</v>
      </c>
      <c r="F1664" s="1">
        <f t="shared" ref="F1664:K1664" si="1751">F36</f>
        <v>3.18368798889021E-5</v>
      </c>
      <c r="G1664" s="1">
        <f t="shared" si="1751"/>
        <v>1.16612611637865E-3</v>
      </c>
      <c r="H1664" s="1">
        <f t="shared" si="1751"/>
        <v>2.0389632265815898E-2</v>
      </c>
      <c r="I1664" s="1">
        <f t="shared" si="1751"/>
        <v>5.1518037090176705</v>
      </c>
      <c r="J1664" s="1">
        <f t="shared" si="1751"/>
        <v>5.1518037090176705</v>
      </c>
      <c r="K1664" s="1">
        <f t="shared" si="1751"/>
        <v>16.470091611264692</v>
      </c>
      <c r="L1664" s="1">
        <f t="shared" ref="L1664" si="1752">L36</f>
        <v>27.051529624268742</v>
      </c>
      <c r="N1664" s="1"/>
    </row>
    <row r="1665" spans="2:14" x14ac:dyDescent="0.35">
      <c r="B1665" t="str">
        <f t="shared" si="1750"/>
        <v>SPS1</v>
      </c>
      <c r="C1665" t="str">
        <f t="shared" si="1750"/>
        <v>CH</v>
      </c>
      <c r="D1665" t="s">
        <v>2481</v>
      </c>
      <c r="E1665" t="str">
        <f>E1659</f>
        <v>PJ/yr.</v>
      </c>
      <c r="F1665" s="1">
        <f t="shared" ref="F1665:K1665" si="1753">F40</f>
        <v>0</v>
      </c>
      <c r="G1665" s="1">
        <f t="shared" si="1753"/>
        <v>0</v>
      </c>
      <c r="H1665" s="1">
        <f t="shared" si="1753"/>
        <v>0</v>
      </c>
      <c r="I1665" s="1">
        <f t="shared" si="1753"/>
        <v>0</v>
      </c>
      <c r="J1665" s="1">
        <f t="shared" si="1753"/>
        <v>11.318287902247022</v>
      </c>
      <c r="K1665" s="1">
        <f t="shared" si="1753"/>
        <v>10.58143801300405</v>
      </c>
      <c r="L1665" s="1">
        <f t="shared" ref="L1665" si="1754">L40</f>
        <v>48.72210331607539</v>
      </c>
      <c r="N1665" s="1"/>
    </row>
    <row r="1666" spans="2:14" x14ac:dyDescent="0.35">
      <c r="B1666" s="2" t="str">
        <f>B1662</f>
        <v>SPS1</v>
      </c>
      <c r="C1666" s="2" t="str">
        <f>C1662</f>
        <v>CH</v>
      </c>
      <c r="D1666" s="2" t="s">
        <v>1674</v>
      </c>
      <c r="E1666" s="21" t="s">
        <v>292</v>
      </c>
      <c r="F1666" s="21" t="s">
        <v>292</v>
      </c>
      <c r="G1666" s="21" t="s">
        <v>292</v>
      </c>
      <c r="H1666" s="21" t="s">
        <v>292</v>
      </c>
      <c r="I1666" s="21" t="s">
        <v>292</v>
      </c>
      <c r="J1666" s="21" t="s">
        <v>292</v>
      </c>
      <c r="K1666" s="21" t="s">
        <v>292</v>
      </c>
      <c r="L1666" s="21" t="s">
        <v>292</v>
      </c>
      <c r="N1666" s="1"/>
    </row>
    <row r="1667" spans="2:14" x14ac:dyDescent="0.35">
      <c r="B1667" t="str">
        <f t="shared" ref="B1667:B1687" si="1755">B1666</f>
        <v>SPS1</v>
      </c>
      <c r="C1667" t="str">
        <f t="shared" si="1732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SUMPRODUCT(("TPRLPELCEXT"=[2]OUT_TransportEnergyCons!$A$3:$A$1000)*1,("var_fout"=[2]OUT_TransportEnergyCons!$B$3:$B$1000)*1,ISNUMBER(SEARCH("TPRLP",[2]OUT_TransportEnergyCons!$C$3:$C$1000))*1,[2]OUT_TransportEnergyCons!H$3:H$1000)</f>
        <v>0.23259804492562927</v>
      </c>
      <c r="K1667" s="1" cm="1">
        <f t="array" ref="K1667">SUMPRODUCT(("TPRLPELCEXT"=[2]OUT_TransportEnergyCons!$A$3:$A$1000)*1,("var_fout"=[2]OUT_TransportEnergyCons!$B$3:$B$1000)*1,ISNUMBER(SEARCH("TPRLP",[2]OUT_TransportEnergyCons!$C$3:$C$1000))*1,[2]OUT_TransportEnergyCons!I$3:I$1000)</f>
        <v>0.24502456607372844</v>
      </c>
      <c r="L1667" s="1" cm="1">
        <f t="array" ref="L1667">SUMPRODUCT(("TPRLPELCEXT"=[2]OUT_TransportEnergyCons!$A$3:$A$1000)*1,("var_fout"=[2]OUT_TransportEnergyCons!$B$3:$B$1000)*1,ISNUMBER(SEARCH("TPRLP",[2]OUT_TransportEnergyCons!$C$3:$C$1000))*1,[2]OUT_TransportEnergyCons!J$3:J$1000)</f>
        <v>0.26339941923987076</v>
      </c>
      <c r="N1667" s="1"/>
    </row>
    <row r="1668" spans="2:14" x14ac:dyDescent="0.35">
      <c r="B1668" t="str">
        <f t="shared" si="1755"/>
        <v>SPS1</v>
      </c>
      <c r="C1668" t="str">
        <f t="shared" si="1732"/>
        <v>CH</v>
      </c>
      <c r="D1668" t="s">
        <v>1676</v>
      </c>
      <c r="E1668" t="str">
        <f t="shared" ref="E1668:E1671" si="1756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2.5094987379160001E-2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2.6556501260762151E-2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2.9125486040344664E-2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3.1625136207197736E-2</v>
      </c>
      <c r="J1668" s="1" cm="1">
        <f t="array" ref="J1668">SUMPRODUCT(("TFRLFELCEXT"=[2]OUT_TransportEnergyCons!$A$3:$A$1000)*1,("var_fout"=[2]OUT_TransportEnergyCons!$B$3:$B$1000)*1,ISNUMBER(SEARCH("TfRLf",[2]OUT_TransportEnergyCons!$C$3:$C$1000))*1,[2]OUT_TransportEnergyCons!H$3:H$1000)</f>
        <v>3.3098683686005603E-2</v>
      </c>
      <c r="K1668" s="1" cm="1">
        <f t="array" ref="K1668">SUMPRODUCT(("TFRLFELCEXT"=[2]OUT_TransportEnergyCons!$A$3:$A$1000)*1,("var_fout"=[2]OUT_TransportEnergyCons!$B$3:$B$1000)*1,ISNUMBER(SEARCH("TfRLf",[2]OUT_TransportEnergyCons!$C$3:$C$1000))*1,[2]OUT_TransportEnergyCons!I$3:I$1000)</f>
        <v>3.3880427735809626E-2</v>
      </c>
      <c r="L1668" s="1" cm="1">
        <f t="array" ref="L1668">SUMPRODUCT(("TFRLFELCEXT"=[2]OUT_TransportEnergyCons!$A$3:$A$1000)*1,("var_fout"=[2]OUT_TransportEnergyCons!$B$3:$B$1000)*1,ISNUMBER(SEARCH("TfRLf",[2]OUT_TransportEnergyCons!$C$3:$C$1000))*1,[2]OUT_TransportEnergyCons!J$3:J$1000)</f>
        <v>3.642306226729488E-2</v>
      </c>
      <c r="N1668" s="1"/>
    </row>
    <row r="1669" spans="2:14" x14ac:dyDescent="0.35">
      <c r="B1669" t="str">
        <f t="shared" si="1755"/>
        <v>SPS1</v>
      </c>
      <c r="C1669" t="str">
        <f t="shared" si="1732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8.9447672425363403E-2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0.17018554365903499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2.9555630628087002</v>
      </c>
      <c r="J1669" s="1" cm="1">
        <f t="array" ref="J1669">SUMPRODUCT(("TPSHPELCEXT"=[2]OUT_TransportEnergyCons!$A$3:$A$1000)*1,("var_fout"=[2]OUT_TransportEnergyCons!$B$3:$B$1000)*1,ISNUMBER(SEARCH("TPSHP",[2]OUT_TransportEnergyCons!$C$3:$C$1000))*1,[2]OUT_TransportEnergyCons!H$3:H$1000)</f>
        <v>2.9557469573018502</v>
      </c>
      <c r="K1669" s="1" cm="1">
        <f t="array" ref="K1669">SUMPRODUCT(("TPSHPELCEXT"=[2]OUT_TransportEnergyCons!$A$3:$A$1000)*1,("var_fout"=[2]OUT_TransportEnergyCons!$B$3:$B$1000)*1,ISNUMBER(SEARCH("TPSHP",[2]OUT_TransportEnergyCons!$C$3:$C$1000))*1,[2]OUT_TransportEnergyCons!I$3:I$1000)</f>
        <v>8.5441625259685008</v>
      </c>
      <c r="L1669" s="1" cm="1">
        <f t="array" ref="L1669">SUMPRODUCT(("TPSHPELCEXT"=[2]OUT_TransportEnergyCons!$A$3:$A$1000)*1,("var_fout"=[2]OUT_TransportEnergyCons!$B$3:$B$1000)*1,ISNUMBER(SEARCH("TPSHP",[2]OUT_TransportEnergyCons!$C$3:$C$1000))*1,[2]OUT_TransportEnergyCons!J$3:J$1000)</f>
        <v>13.970970311210101</v>
      </c>
      <c r="N1669" s="1"/>
    </row>
    <row r="1670" spans="2:14" x14ac:dyDescent="0.35">
      <c r="B1670" t="str">
        <f t="shared" si="1755"/>
        <v>SPS1</v>
      </c>
      <c r="C1670" t="str">
        <f t="shared" si="1732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SUMPRODUCT(("TPRLPH2OFCL"=[2]OUT_TransportEnergyCons!$A$3:$A$1000)*1,("var_fout"=[2]OUT_TransportEnergyCons!$B$3:$B$1000)*1,ISNUMBER(SEARCH("TPRLP",[2]OUT_TransportEnergyCons!$C$3:$C$1000))*1,[2]OUT_TransportEnergyCons!H$3:H$1000)</f>
        <v>0</v>
      </c>
      <c r="K1670" s="1" cm="1">
        <f t="array" ref="K1670">SUMPRODUCT(("TPRLPH2OFCL"=[2]OUT_TransportEnergyCons!$A$3:$A$1000)*1,("var_fout"=[2]OUT_TransportEnergyCons!$B$3:$B$1000)*1,ISNUMBER(SEARCH("TPRLP",[2]OUT_TransportEnergyCons!$C$3:$C$1000))*1,[2]OUT_TransportEnergyCons!I$3:I$1000)</f>
        <v>2.2829629318520275E-7</v>
      </c>
      <c r="L1670" s="1" cm="1">
        <f t="array" ref="L1670">SUMPRODUCT(("TPRLPH2OFCL"=[2]OUT_TransportEnergyCons!$A$3:$A$1000)*1,("var_fout"=[2]OUT_TransportEnergyCons!$B$3:$B$1000)*1,ISNUMBER(SEARCH("TPRLP",[2]OUT_TransportEnergyCons!$C$3:$C$1000))*1,[2]OUT_TransportEnergyCons!J$3:J$1000)</f>
        <v>8.9605039155118776E-7</v>
      </c>
      <c r="N1670" s="1"/>
    </row>
    <row r="1671" spans="2:14" x14ac:dyDescent="0.35">
      <c r="B1671" t="str">
        <f t="shared" si="1755"/>
        <v>SPS1</v>
      </c>
      <c r="C1671" t="str">
        <f t="shared" si="1732"/>
        <v>CH</v>
      </c>
      <c r="D1671" t="s">
        <v>1679</v>
      </c>
      <c r="E1671" t="str">
        <f t="shared" si="1756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SUMPRODUCT(("TFRLFH2OFCL"=[2]OUT_TransportEnergyCons!$A$3:$A$1000)*1,("var_fout"=[2]OUT_TransportEnergyCons!$B$3:$B$1000)*1,ISNUMBER(SEARCH("TfRLf",[2]OUT_TransportEnergyCons!$C$3:$C$1000))*1,[2]OUT_TransportEnergyCons!H$3:H$1000)</f>
        <v>0</v>
      </c>
      <c r="K1671" s="1" cm="1">
        <f t="array" ref="K1671">SUMPRODUCT(("TFRLFH2OFCL"=[2]OUT_TransportEnergyCons!$A$3:$A$1000)*1,("var_fout"=[2]OUT_TransportEnergyCons!$B$3:$B$1000)*1,ISNUMBER(SEARCH("TfRLf",[2]OUT_TransportEnergyCons!$C$3:$C$1000))*1,[2]OUT_TransportEnergyCons!I$3:I$1000)</f>
        <v>0</v>
      </c>
      <c r="L1671" s="1" cm="1">
        <f t="array" ref="L1671">SUMPRODUCT(("TFRLFH2OFCL"=[2]OUT_TransportEnergyCons!$A$3:$A$1000)*1,("var_fout"=[2]OUT_TransportEnergyCons!$B$3:$B$1000)*1,ISNUMBER(SEARCH("TfRLf",[2]OUT_TransportEnergyCons!$C$3:$C$1000))*1,[2]OUT_TransportEnergyCons!J$3:J$1000)</f>
        <v>0</v>
      </c>
      <c r="N1671" s="1"/>
    </row>
    <row r="1672" spans="2:14" x14ac:dyDescent="0.35">
      <c r="B1672" t="str">
        <f t="shared" si="1755"/>
        <v>SPS1</v>
      </c>
      <c r="C1672" t="str">
        <f t="shared" si="1732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SUMPRODUCT(("TPSHPH2OEXT"=[2]OUT_TransportEnergyCons!$A$3:$A$1000)*1,("var_fout"=[2]OUT_TransportEnergyCons!$B$3:$B$1000)*1,ISNUMBER(SEARCH("TPSHP",[2]OUT_TransportEnergyCons!$C$3:$C$1000))*1,[2]OUT_TransportEnergyCons!H$3:H$1000)</f>
        <v>6.0182922021506502E-5</v>
      </c>
      <c r="K1672" s="1" cm="1">
        <f t="array" ref="K1672">SUMPRODUCT(("TPSHPH2OEXT"=[2]OUT_TransportEnergyCons!$A$3:$A$1000)*1,("var_fout"=[2]OUT_TransportEnergyCons!$B$3:$B$1000)*1,ISNUMBER(SEARCH("TPSHP",[2]OUT_TransportEnergyCons!$C$3:$C$1000))*1,[2]OUT_TransportEnergyCons!I$3:I$1000)</f>
        <v>0.16151469845529001</v>
      </c>
      <c r="L1672" s="1" cm="1">
        <f t="array" ref="L1672">SUMPRODUCT(("TPSHPH2OEXT"=[2]OUT_TransportEnergyCons!$A$3:$A$1000)*1,("var_fout"=[2]OUT_TransportEnergyCons!$B$3:$B$1000)*1,ISNUMBER(SEARCH("TPSHP",[2]OUT_TransportEnergyCons!$C$3:$C$1000))*1,[2]OUT_TransportEnergyCons!J$3:J$1000)</f>
        <v>0.16151574456121001</v>
      </c>
      <c r="N1672" s="1"/>
    </row>
    <row r="1673" spans="2:14" x14ac:dyDescent="0.35">
      <c r="B1673" t="str">
        <f t="shared" si="1755"/>
        <v>SPS1</v>
      </c>
      <c r="C1673" t="str">
        <f t="shared" si="1732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0.63186703180042403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5.44345240705707E-2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5.4023509506064701E-2</v>
      </c>
      <c r="J1673" s="1" cm="1">
        <f t="array" ref="J1673">SUMPRODUCT(("TPSHPGSLEXT"=[2]OUT_TransportEnergyCons!$A$3:$A$1000)*1,("var_fout"=[2]OUT_TransportEnergyCons!$B$3:$B$1000)*1,ISNUMBER(SEARCH("TPSHP",[2]OUT_TransportEnergyCons!$C$3:$C$1000))*1,[2]OUT_TransportEnergyCons!H$3:H$1000)</f>
        <v>3.55240156965329E-3</v>
      </c>
      <c r="K1673" s="1" cm="1">
        <f t="array" ref="K1673">SUMPRODUCT(("TPSHPGSLEXT"=[2]OUT_TransportEnergyCons!$A$3:$A$1000)*1,("var_fout"=[2]OUT_TransportEnergyCons!$B$3:$B$1000)*1,ISNUMBER(SEARCH("TPSHP",[2]OUT_TransportEnergyCons!$C$3:$C$1000))*1,[2]OUT_TransportEnergyCons!I$3:I$1000)</f>
        <v>0.115585866379828</v>
      </c>
      <c r="L1673" s="1" cm="1">
        <f t="array" ref="L1673">SUMPRODUCT(("TPSHPGSLEXT"=[2]OUT_TransportEnergyCons!$A$3:$A$1000)*1,("var_fout"=[2]OUT_TransportEnergyCons!$B$3:$B$1000)*1,ISNUMBER(SEARCH("TPSHP",[2]OUT_TransportEnergyCons!$C$3:$C$1000))*1,[2]OUT_TransportEnergyCons!J$3:J$1000)</f>
        <v>0</v>
      </c>
      <c r="N1673" s="1"/>
    </row>
    <row r="1674" spans="2:14" x14ac:dyDescent="0.35">
      <c r="B1674" t="str">
        <f t="shared" si="1755"/>
        <v>SPS1</v>
      </c>
      <c r="C1674" t="str">
        <f t="shared" si="1732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SUMPRODUCT(("TPRLPDSLEXT"=[2]OUT_TransportEnergyCons!$A$3:$A$1000)*1,("var_fout"=[2]OUT_TransportEnergyCons!$B$3:$B$1000)*1,ISNUMBER(SEARCH("TPRLP",[2]OUT_TransportEnergyCons!$C$3:$C$1000))*1,[2]OUT_TransportEnergyCons!H$3:H$1000)</f>
        <v>0</v>
      </c>
      <c r="K1674" s="1" cm="1">
        <f t="array" ref="K1674">SUMPRODUCT(("TPRLPDSLEXT"=[2]OUT_TransportEnergyCons!$A$3:$A$1000)*1,("var_fout"=[2]OUT_TransportEnergyCons!$B$3:$B$1000)*1,ISNUMBER(SEARCH("TPRLP",[2]OUT_TransportEnergyCons!$C$3:$C$1000))*1,[2]OUT_TransportEnergyCons!I$3:I$1000)</f>
        <v>0</v>
      </c>
      <c r="L1674" s="1" cm="1">
        <f t="array" ref="L1674">SUMPRODUCT(("TPRLPDSLEXT"=[2]OUT_TransportEnergyCons!$A$3:$A$1000)*1,("var_fout"=[2]OUT_TransportEnergyCons!$B$3:$B$1000)*1,ISNUMBER(SEARCH("TPRLP",[2]OUT_TransportEnergyCons!$C$3:$C$1000))*1,[2]OUT_TransportEnergyCons!J$3:J$1000)</f>
        <v>0</v>
      </c>
      <c r="N1674" s="1"/>
    </row>
    <row r="1675" spans="2:14" x14ac:dyDescent="0.35">
      <c r="B1675" t="str">
        <f t="shared" si="1755"/>
        <v>SPS1</v>
      </c>
      <c r="C1675" t="str">
        <f t="shared" si="1732"/>
        <v>CH</v>
      </c>
      <c r="D1675" t="s">
        <v>1683</v>
      </c>
      <c r="E1675" t="str">
        <f t="shared" ref="E1675" si="1757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1.6050126208400108E-3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1.1326052507447326E-3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4.7280238422628891E-5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2.0396350336963259E-5</v>
      </c>
      <c r="J1675" s="1" cm="1">
        <f t="array" ref="J1675">SUMPRODUCT(("TFRLFDSLEXT"=[2]OUT_TransportEnergyCons!$A$3:$A$1000)*1,("var_fout"=[2]OUT_TransportEnergyCons!$B$3:$B$1000)*1,ISNUMBER(SEARCH("TfRLf",[2]OUT_TransportEnergyCons!$C$3:$C$1000))*1,[2]OUT_TransportEnergyCons!H$3:H$1000)</f>
        <v>0</v>
      </c>
      <c r="K1675" s="1" cm="1">
        <f t="array" ref="K1675">SUMPRODUCT(("TFRLFDSLEXT"=[2]OUT_TransportEnergyCons!$A$3:$A$1000)*1,("var_fout"=[2]OUT_TransportEnergyCons!$B$3:$B$1000)*1,ISNUMBER(SEARCH("TfRLf",[2]OUT_TransportEnergyCons!$C$3:$C$1000))*1,[2]OUT_TransportEnergyCons!I$3:I$1000)</f>
        <v>0</v>
      </c>
      <c r="L1675" s="1" cm="1">
        <f t="array" ref="L1675">SUMPRODUCT(("TFRLFDSLEXT"=[2]OUT_TransportEnergyCons!$A$3:$A$1000)*1,("var_fout"=[2]OUT_TransportEnergyCons!$B$3:$B$1000)*1,ISNUMBER(SEARCH("TfRLf",[2]OUT_TransportEnergyCons!$C$3:$C$1000))*1,[2]OUT_TransportEnergyCons!J$3:J$1000)</f>
        <v>0</v>
      </c>
      <c r="N1675" s="1"/>
    </row>
    <row r="1676" spans="2:14" x14ac:dyDescent="0.35">
      <c r="B1676" t="str">
        <f t="shared" si="1755"/>
        <v>SPS1</v>
      </c>
      <c r="C1676" t="str">
        <f t="shared" si="1732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17.1772175096601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16.7996446516999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13.1401965793</v>
      </c>
      <c r="J1676" s="1" cm="1">
        <f t="array" ref="J1676">SUMPRODUCT(("TPSHPDSLEXT"=[2]OUT_TransportEnergyCons!$A$3:$A$1000)*1,("var_fout"=[2]OUT_TransportEnergyCons!$B$3:$B$1000)*1,ISNUMBER(SEARCH("TPSHP",[2]OUT_TransportEnergyCons!$C$3:$C$1000))*1,[2]OUT_TransportEnergyCons!H$3:H$1000)</f>
        <v>13.192224205757499</v>
      </c>
      <c r="K1676" s="1" cm="1">
        <f t="array" ref="K1676">SUMPRODUCT(("TPSHPDSLEXT"=[2]OUT_TransportEnergyCons!$A$3:$A$1000)*1,("var_fout"=[2]OUT_TransportEnergyCons!$B$3:$B$1000)*1,ISNUMBER(SEARCH("TPSHP",[2]OUT_TransportEnergyCons!$C$3:$C$1000))*1,[2]OUT_TransportEnergyCons!I$3:I$1000)</f>
        <v>7.3302481890735898</v>
      </c>
      <c r="L1676" s="1" cm="1">
        <f t="array" ref="L1676">SUMPRODUCT(("TPSHPDSLEXT"=[2]OUT_TransportEnergyCons!$A$3:$A$1000)*1,("var_fout"=[2]OUT_TransportEnergyCons!$B$3:$B$1000)*1,ISNUMBER(SEARCH("TPSHP",[2]OUT_TransportEnergyCons!$C$3:$C$1000))*1,[2]OUT_TransportEnergyCons!J$3:J$1000)</f>
        <v>2.0189240793456298</v>
      </c>
      <c r="N1676" s="1"/>
    </row>
    <row r="1677" spans="2:14" x14ac:dyDescent="0.35">
      <c r="B1677" s="2" t="str">
        <f t="shared" si="1755"/>
        <v>SPS1</v>
      </c>
      <c r="C1677" s="2" t="str">
        <f t="shared" si="1732"/>
        <v>CH</v>
      </c>
      <c r="D1677" s="2" t="s">
        <v>1685</v>
      </c>
      <c r="E1677" s="21" t="s">
        <v>292</v>
      </c>
      <c r="F1677" s="21" t="s">
        <v>292</v>
      </c>
      <c r="G1677" s="21" t="s">
        <v>292</v>
      </c>
      <c r="H1677" s="21" t="s">
        <v>292</v>
      </c>
      <c r="I1677" s="21" t="s">
        <v>292</v>
      </c>
      <c r="J1677" s="21" t="s">
        <v>292</v>
      </c>
      <c r="K1677" s="21" t="s">
        <v>292</v>
      </c>
      <c r="L1677" s="21" t="s">
        <v>292</v>
      </c>
      <c r="N1677" s="1"/>
    </row>
    <row r="1678" spans="2:14" x14ac:dyDescent="0.35">
      <c r="B1678" t="str">
        <f t="shared" si="1755"/>
        <v>SPS1</v>
      </c>
      <c r="C1678" t="str">
        <f t="shared" si="1732"/>
        <v>CH</v>
      </c>
      <c r="D1678" t="s">
        <v>1686</v>
      </c>
      <c r="E1678" t="s">
        <v>1229</v>
      </c>
      <c r="F1678" s="7">
        <f t="shared" ref="F1678:K1680" si="1758">IFERROR(F1667/F1642,"-")</f>
        <v>2.5309161094553195E-2</v>
      </c>
      <c r="G1678" s="7">
        <f t="shared" si="1758"/>
        <v>2.5301857215832019E-2</v>
      </c>
      <c r="H1678" s="7">
        <f t="shared" si="1758"/>
        <v>2.5290901397750198E-2</v>
      </c>
      <c r="I1678" s="7">
        <f t="shared" si="1758"/>
        <v>2.5272641700947188E-2</v>
      </c>
      <c r="J1678" s="7">
        <f t="shared" si="1758"/>
        <v>2.5254382004144305E-2</v>
      </c>
      <c r="K1678" s="7">
        <f t="shared" si="1758"/>
        <v>2.5236122307341312E-2</v>
      </c>
      <c r="L1678" s="7">
        <f t="shared" ref="L1678" si="1759">IFERROR(L1667/L1642,"-")</f>
        <v>2.5199602913735304E-2</v>
      </c>
      <c r="N1678" s="1"/>
    </row>
    <row r="1679" spans="2:14" x14ac:dyDescent="0.35">
      <c r="B1679" t="str">
        <f t="shared" si="1755"/>
        <v>SPS1</v>
      </c>
      <c r="C1679" t="str">
        <f t="shared" si="1732"/>
        <v>CH</v>
      </c>
      <c r="D1679" t="s">
        <v>1687</v>
      </c>
      <c r="E1679" t="s">
        <v>1229</v>
      </c>
      <c r="F1679" s="7">
        <f t="shared" si="1758"/>
        <v>1.6704032219401317E-2</v>
      </c>
      <c r="G1679" s="7">
        <f t="shared" si="1758"/>
        <v>1.6704032219401293E-2</v>
      </c>
      <c r="H1679" s="7">
        <f t="shared" si="1758"/>
        <v>1.6704032219401303E-2</v>
      </c>
      <c r="I1679" s="7">
        <f t="shared" si="1758"/>
        <v>1.6704032219401293E-2</v>
      </c>
      <c r="J1679" s="7">
        <f t="shared" si="1758"/>
        <v>1.6704032219401296E-2</v>
      </c>
      <c r="K1679" s="7">
        <f t="shared" si="1758"/>
        <v>1.67040322194013E-2</v>
      </c>
      <c r="L1679" s="7">
        <f t="shared" ref="L1679" si="1760">IFERROR(L1668/L1643,"-")</f>
        <v>1.67040322194013E-2</v>
      </c>
      <c r="N1679" s="1"/>
    </row>
    <row r="1680" spans="2:14" x14ac:dyDescent="0.35">
      <c r="B1680" t="str">
        <f t="shared" si="1755"/>
        <v>SPS1</v>
      </c>
      <c r="C1680" t="str">
        <f t="shared" si="1732"/>
        <v>CH</v>
      </c>
      <c r="D1680" t="s">
        <v>1688</v>
      </c>
      <c r="E1680" t="s">
        <v>240</v>
      </c>
      <c r="F1680" t="str">
        <f t="shared" si="1758"/>
        <v>-</v>
      </c>
      <c r="G1680">
        <f t="shared" si="1758"/>
        <v>2.4673913043478222</v>
      </c>
      <c r="H1680">
        <f t="shared" si="1758"/>
        <v>2.4673913043478208</v>
      </c>
      <c r="I1680">
        <f t="shared" si="1758"/>
        <v>2.4673913043478288</v>
      </c>
      <c r="J1680">
        <f t="shared" si="1758"/>
        <v>2.4672878180563562</v>
      </c>
      <c r="K1680">
        <f t="shared" si="1758"/>
        <v>2.434078757514031</v>
      </c>
      <c r="L1680">
        <f t="shared" ref="L1680" si="1761">IFERROR(L1669/L1644,"-")</f>
        <v>2.4469311811435333</v>
      </c>
      <c r="N1680" s="1"/>
    </row>
    <row r="1681" spans="2:14" x14ac:dyDescent="0.35">
      <c r="B1681" t="str">
        <f t="shared" si="1755"/>
        <v>SPS1</v>
      </c>
      <c r="C1681" t="str">
        <f t="shared" si="1732"/>
        <v>CH</v>
      </c>
      <c r="D1681" t="s">
        <v>1689</v>
      </c>
      <c r="E1681" t="s">
        <v>1229</v>
      </c>
      <c r="F1681" t="str">
        <f t="shared" ref="F1681:K1683" si="1762">IFERROR(F1670/F1646,"-")</f>
        <v>-</v>
      </c>
      <c r="G1681" t="str">
        <f t="shared" si="1762"/>
        <v>-</v>
      </c>
      <c r="H1681" t="str">
        <f t="shared" si="1762"/>
        <v>-</v>
      </c>
      <c r="I1681" t="str">
        <f t="shared" si="1762"/>
        <v>-</v>
      </c>
      <c r="J1681" t="str">
        <f t="shared" si="1762"/>
        <v>-</v>
      </c>
      <c r="K1681">
        <f t="shared" si="1762"/>
        <v>1.7941883805152225E-2</v>
      </c>
      <c r="L1681">
        <f t="shared" ref="L1681" si="1763">IFERROR(L1670/L1646,"-")</f>
        <v>1.9320077379362397E-2</v>
      </c>
      <c r="N1681" s="1"/>
    </row>
    <row r="1682" spans="2:14" x14ac:dyDescent="0.35">
      <c r="B1682" t="str">
        <f t="shared" si="1755"/>
        <v>SPS1</v>
      </c>
      <c r="C1682" t="str">
        <f t="shared" si="1732"/>
        <v>CH</v>
      </c>
      <c r="D1682" t="s">
        <v>1690</v>
      </c>
      <c r="E1682" t="s">
        <v>1229</v>
      </c>
      <c r="F1682" t="str">
        <f t="shared" si="1762"/>
        <v>-</v>
      </c>
      <c r="G1682" t="str">
        <f t="shared" si="1762"/>
        <v>-</v>
      </c>
      <c r="H1682" t="str">
        <f t="shared" si="1762"/>
        <v>-</v>
      </c>
      <c r="I1682" t="str">
        <f t="shared" si="1762"/>
        <v>-</v>
      </c>
      <c r="J1682" t="str">
        <f t="shared" si="1762"/>
        <v>-</v>
      </c>
      <c r="K1682" t="str">
        <f t="shared" si="1762"/>
        <v>-</v>
      </c>
      <c r="L1682" t="str">
        <f t="shared" ref="L1682" si="1764">IFERROR(L1671/L1647,"-")</f>
        <v>-</v>
      </c>
      <c r="N1682" s="1"/>
    </row>
    <row r="1683" spans="2:14" x14ac:dyDescent="0.35">
      <c r="B1683" t="str">
        <f t="shared" si="1755"/>
        <v>SPS1</v>
      </c>
      <c r="C1683" t="str">
        <f t="shared" si="1732"/>
        <v>CH</v>
      </c>
      <c r="D1683" t="s">
        <v>1691</v>
      </c>
      <c r="E1683" t="s">
        <v>240</v>
      </c>
      <c r="F1683" t="str">
        <f t="shared" si="1762"/>
        <v>-</v>
      </c>
      <c r="G1683" t="str">
        <f t="shared" si="1762"/>
        <v>-</v>
      </c>
      <c r="H1683" t="str">
        <f t="shared" si="1762"/>
        <v>-</v>
      </c>
      <c r="I1683" t="str">
        <f t="shared" si="1762"/>
        <v>-</v>
      </c>
      <c r="J1683">
        <f t="shared" si="1762"/>
        <v>1.7934782608695747</v>
      </c>
      <c r="K1683">
        <f t="shared" si="1762"/>
        <v>1.793478260869565</v>
      </c>
      <c r="L1683">
        <f t="shared" ref="L1683" si="1765">IFERROR(L1672/L1648,"-")</f>
        <v>1.793478260869573</v>
      </c>
      <c r="N1683" s="1"/>
    </row>
    <row r="1684" spans="2:14" x14ac:dyDescent="0.35">
      <c r="B1684" t="str">
        <f t="shared" si="1755"/>
        <v>SPS1</v>
      </c>
      <c r="C1684" t="str">
        <f t="shared" si="1732"/>
        <v>CH</v>
      </c>
      <c r="D1684" t="s">
        <v>1692</v>
      </c>
      <c r="E1684" t="s">
        <v>240</v>
      </c>
      <c r="F1684" s="4">
        <f t="shared" ref="F1684:K1684" si="1766">IFERROR(F1673/F1654,"-")</f>
        <v>0.90641226905247907</v>
      </c>
      <c r="G1684" s="4">
        <f t="shared" si="1766"/>
        <v>0.90641226905247674</v>
      </c>
      <c r="H1684" s="4">
        <f t="shared" si="1766"/>
        <v>0.90641226905248229</v>
      </c>
      <c r="I1684" s="4">
        <f t="shared" si="1766"/>
        <v>0.90641226905247496</v>
      </c>
      <c r="J1684" s="4">
        <f t="shared" si="1766"/>
        <v>0.90641226905247652</v>
      </c>
      <c r="K1684" s="4">
        <f t="shared" si="1766"/>
        <v>0.90641226905247785</v>
      </c>
      <c r="L1684" s="4" t="str">
        <f t="shared" ref="L1684" si="1767">IFERROR(L1673/L1654,"-")</f>
        <v>-</v>
      </c>
      <c r="N1684" s="1"/>
    </row>
    <row r="1685" spans="2:14" x14ac:dyDescent="0.35">
      <c r="B1685" t="str">
        <f t="shared" si="1755"/>
        <v>SPS1</v>
      </c>
      <c r="C1685" t="str">
        <f t="shared" si="1732"/>
        <v>CH</v>
      </c>
      <c r="D1685" t="s">
        <v>1693</v>
      </c>
      <c r="E1685" t="s">
        <v>1229</v>
      </c>
      <c r="F1685" t="str">
        <f t="shared" ref="F1685:K1687" si="1768">IFERROR(F1674/F1660,"-")</f>
        <v>-</v>
      </c>
      <c r="G1685" t="str">
        <f t="shared" si="1768"/>
        <v>-</v>
      </c>
      <c r="H1685" t="str">
        <f t="shared" si="1768"/>
        <v>-</v>
      </c>
      <c r="I1685" t="str">
        <f t="shared" si="1768"/>
        <v>-</v>
      </c>
      <c r="J1685" t="str">
        <f t="shared" si="1768"/>
        <v>-</v>
      </c>
      <c r="K1685" t="str">
        <f t="shared" si="1768"/>
        <v>-</v>
      </c>
      <c r="L1685" t="str">
        <f t="shared" ref="L1685" si="1769">IFERROR(L1674/L1660,"-")</f>
        <v>-</v>
      </c>
      <c r="N1685" s="1"/>
    </row>
    <row r="1686" spans="2:14" x14ac:dyDescent="0.35">
      <c r="B1686" t="str">
        <f t="shared" si="1755"/>
        <v>SPS1</v>
      </c>
      <c r="C1686" t="str">
        <f t="shared" si="1732"/>
        <v>CH</v>
      </c>
      <c r="D1686" t="s">
        <v>1694</v>
      </c>
      <c r="E1686" t="s">
        <v>1229</v>
      </c>
      <c r="F1686" s="1">
        <f t="shared" si="1768"/>
        <v>4.0530738867855095E-3</v>
      </c>
      <c r="G1686" s="1">
        <f t="shared" si="1768"/>
        <v>4.0530738867855121E-3</v>
      </c>
      <c r="H1686">
        <f t="shared" si="1768"/>
        <v>4.0530738867855095E-3</v>
      </c>
      <c r="I1686">
        <f t="shared" si="1768"/>
        <v>4.0530738867855104E-3</v>
      </c>
      <c r="J1686" t="str">
        <f t="shared" si="1768"/>
        <v>-</v>
      </c>
      <c r="K1686" t="str">
        <f t="shared" si="1768"/>
        <v>-</v>
      </c>
      <c r="L1686" t="str">
        <f t="shared" ref="L1686" si="1770">IFERROR(L1675/L1661,"-")</f>
        <v>-</v>
      </c>
      <c r="N1686" s="1"/>
    </row>
    <row r="1687" spans="2:14" x14ac:dyDescent="0.35">
      <c r="B1687" t="str">
        <f t="shared" si="1755"/>
        <v>SPS1</v>
      </c>
      <c r="C1687" t="str">
        <f t="shared" si="1732"/>
        <v>CH</v>
      </c>
      <c r="D1687" t="s">
        <v>1695</v>
      </c>
      <c r="E1687" t="s">
        <v>240</v>
      </c>
      <c r="F1687" s="4">
        <f t="shared" si="1768"/>
        <v>0.98826978015125178</v>
      </c>
      <c r="G1687" s="4">
        <f t="shared" si="1768"/>
        <v>0.98826978015124956</v>
      </c>
      <c r="H1687" s="4">
        <f t="shared" si="1768"/>
        <v>0.98826978015124978</v>
      </c>
      <c r="I1687" s="4">
        <f t="shared" si="1768"/>
        <v>0.98826978015125011</v>
      </c>
      <c r="J1687" s="4">
        <f t="shared" si="1768"/>
        <v>0.98826978015124667</v>
      </c>
      <c r="K1687" s="4">
        <f t="shared" si="1768"/>
        <v>0.98826978015124445</v>
      </c>
      <c r="L1687" s="4">
        <f t="shared" ref="L1687" si="1771">IFERROR(L1676/L1662,"-")</f>
        <v>0.988269780151249</v>
      </c>
      <c r="N1687" s="1"/>
    </row>
    <row r="1688" spans="2:14" x14ac:dyDescent="0.3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34.791239925424662</v>
      </c>
      <c r="G1688" s="3">
        <f t="shared" ref="G1688:K1688" si="1772">SUM(G1689:G1691,G1694:G1696,-G1701)</f>
        <v>32.425184415641013</v>
      </c>
      <c r="H1688" s="3">
        <f t="shared" si="1772"/>
        <v>30.148604276131366</v>
      </c>
      <c r="I1688" s="3">
        <f t="shared" si="1772"/>
        <v>20.853702526844884</v>
      </c>
      <c r="J1688" s="3">
        <f t="shared" si="1772"/>
        <v>14.589488385696981</v>
      </c>
      <c r="K1688" s="3">
        <f t="shared" si="1772"/>
        <v>8.2502301142863139</v>
      </c>
      <c r="L1688" s="3">
        <f t="shared" ref="L1688" si="1773">SUM(L1689:L1691,L1694:L1696,-L1701)</f>
        <v>6.6141139211423845E-7</v>
      </c>
      <c r="N1688" s="1"/>
    </row>
    <row r="1689" spans="2:14" x14ac:dyDescent="0.35">
      <c r="B1689" t="str">
        <f>B1688</f>
        <v>SPS1</v>
      </c>
      <c r="C1689" t="str">
        <f t="shared" ref="C1689" si="1774">C1688</f>
        <v>CH</v>
      </c>
      <c r="D1689" t="s">
        <v>1702</v>
      </c>
      <c r="E1689" t="str">
        <f>E1688</f>
        <v>Mt/yr.</v>
      </c>
      <c r="F1689" s="1">
        <f>[1]Summary!B53+[1]Summary!B59</f>
        <v>2.6390782885561186</v>
      </c>
      <c r="G1689" s="1">
        <f>[1]Summary!C53+[1]Summary!C59</f>
        <v>2.3501419505059524</v>
      </c>
      <c r="H1689" s="1">
        <f>[1]Summary!D53+[1]Summary!D59</f>
        <v>2.3519227038231567</v>
      </c>
      <c r="I1689" s="1">
        <f>[1]Summary!E53+[1]Summary!E59</f>
        <v>2.3549342218346063</v>
      </c>
      <c r="J1689" s="1">
        <f>[2]Summary!F53+[2]Summary!F59</f>
        <v>2.2419134222608665</v>
      </c>
      <c r="K1689" s="1">
        <f>[2]Summary!G53+[2]Summary!G59</f>
        <v>0.92034004038822692</v>
      </c>
      <c r="L1689" s="1">
        <f>[2]Summary!H53+[2]Summary!H59</f>
        <v>-2.5415193456398555</v>
      </c>
      <c r="N1689" s="1"/>
    </row>
    <row r="1690" spans="2:14" x14ac:dyDescent="0.35">
      <c r="B1690" t="str">
        <f t="shared" ref="B1690:B1701" si="1775">B1689</f>
        <v>SPS1</v>
      </c>
      <c r="C1690" t="str">
        <f t="shared" ref="C1690:C1701" si="1776">C1689</f>
        <v>CH</v>
      </c>
      <c r="D1690" t="s">
        <v>1703</v>
      </c>
      <c r="E1690" t="str">
        <f t="shared" ref="E1690:E1701" si="1777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[2]Summary!F54+[2]Summary!F61</f>
        <v>0</v>
      </c>
      <c r="K1690" s="1">
        <f>[2]Summary!G54+[2]Summary!G61+[2]Summary!G62</f>
        <v>0</v>
      </c>
      <c r="L1690" s="1">
        <f>[2]Summary!H54+[2]Summary!H61+[2]Summary!H62</f>
        <v>-1.4210538791761611E-5</v>
      </c>
      <c r="N1690" s="1"/>
    </row>
    <row r="1691" spans="2:14" x14ac:dyDescent="0.35">
      <c r="B1691" t="str">
        <f t="shared" si="1775"/>
        <v>SPS1</v>
      </c>
      <c r="C1691" t="str">
        <f t="shared" si="1776"/>
        <v>CH</v>
      </c>
      <c r="D1691" t="s">
        <v>1704</v>
      </c>
      <c r="E1691" t="str">
        <f t="shared" si="1777"/>
        <v>Mt/yr.</v>
      </c>
      <c r="F1691" s="1">
        <f>[1]Summary!B55+[1]Summary!B60</f>
        <v>6.5106771036570681</v>
      </c>
      <c r="G1691" s="1">
        <f>[1]Summary!C55+[1]Summary!C60</f>
        <v>6.2606756884573871</v>
      </c>
      <c r="H1691" s="1">
        <f>[1]Summary!D55+[1]Summary!D60</f>
        <v>5.7153641632444092</v>
      </c>
      <c r="I1691" s="1">
        <f>[1]Summary!E55+[1]Summary!E60</f>
        <v>4.881655352714974</v>
      </c>
      <c r="J1691" s="1">
        <f>[2]Summary!F55+[2]Summary!F60</f>
        <v>4.0971177142300865</v>
      </c>
      <c r="K1691" s="1">
        <f>[2]Summary!G55+[2]Summary!G60</f>
        <v>3.2679846655885356</v>
      </c>
      <c r="L1691" s="1">
        <f>[2]Summary!H55+[2]Summary!H60</f>
        <v>1.4123588235917024</v>
      </c>
      <c r="N1691" s="1"/>
    </row>
    <row r="1692" spans="2:14" x14ac:dyDescent="0.35">
      <c r="B1692" t="str">
        <f t="shared" si="1775"/>
        <v>SPS1</v>
      </c>
      <c r="C1692" t="str">
        <f t="shared" si="1776"/>
        <v>CH</v>
      </c>
      <c r="D1692" t="s">
        <v>1714</v>
      </c>
      <c r="E1692" t="str">
        <f t="shared" si="1777"/>
        <v>Mt/yr.</v>
      </c>
      <c r="F1692" s="1">
        <f>F1691-F1693</f>
        <v>4.4213303031724287</v>
      </c>
      <c r="G1692" s="1">
        <f t="shared" ref="G1692:K1692" si="1778">G1691-G1693</f>
        <v>4.1496625185833071</v>
      </c>
      <c r="H1692" s="1">
        <f t="shared" si="1778"/>
        <v>3.6130946921831493</v>
      </c>
      <c r="I1692" s="1">
        <f t="shared" si="1778"/>
        <v>2.7879959197518041</v>
      </c>
      <c r="J1692" s="1">
        <f t="shared" si="1778"/>
        <v>2.0115821896723269</v>
      </c>
      <c r="K1692" s="1">
        <f t="shared" si="1778"/>
        <v>1.1906422917525861</v>
      </c>
      <c r="L1692" s="1">
        <f t="shared" ref="L1692" si="1779">L1691-L1693</f>
        <v>0.30519203318585553</v>
      </c>
      <c r="N1692" s="1"/>
    </row>
    <row r="1693" spans="2:14" x14ac:dyDescent="0.35">
      <c r="B1693" t="str">
        <f t="shared" si="1775"/>
        <v>SPS1</v>
      </c>
      <c r="C1693" t="str">
        <f t="shared" si="1776"/>
        <v>CH</v>
      </c>
      <c r="D1693" t="s">
        <v>1713</v>
      </c>
      <c r="E1693" t="str">
        <f t="shared" si="1777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2.0936594329631699</v>
      </c>
      <c r="J1693" s="1" cm="1">
        <f t="array" ref="J1693">SUMPRODUCT(ISNUMBER(SEARCH("processco2",[2]OUT_CO2_emissions!$D$3:$D$1000))*1,("var_fout"=[2]OUT_CO2_emissions!$C$3:$C$1000)*1,("CO2"=[2]OUT_CO2_emissions!$B$3:$B$1000)*1,[2]OUT_CO2_emissions!I$3:I$1000)/1000</f>
        <v>2.0855355245577596</v>
      </c>
      <c r="K1693" s="1" cm="1">
        <f t="array" ref="K1693">SUMPRODUCT(ISNUMBER(SEARCH("processco2",[2]OUT_CO2_emissions!$D$3:$D$1000))*1,("var_fout"=[2]OUT_CO2_emissions!$C$3:$C$1000)*1,("CO2"=[2]OUT_CO2_emissions!$B$3:$B$1000)*1,[2]OUT_CO2_emissions!J$3:J$1000)/1000</f>
        <v>2.0773423738359496</v>
      </c>
      <c r="L1693" s="1" cm="1">
        <f t="array" ref="L1693">SUMPRODUCT(ISNUMBER(SEARCH("processco2",[2]OUT_CO2_emissions!$D$3:$D$1000))*1,("var_fout"=[2]OUT_CO2_emissions!$C$3:$C$1000)*1,("CO2"=[2]OUT_CO2_emissions!$B$3:$B$1000)*1,[2]OUT_CO2_emissions!K$3:K$1000)/1000</f>
        <v>1.1071667904058469</v>
      </c>
      <c r="N1693" s="1"/>
    </row>
    <row r="1694" spans="2:14" x14ac:dyDescent="0.35">
      <c r="B1694" t="str">
        <f t="shared" si="1775"/>
        <v>SPS1</v>
      </c>
      <c r="C1694" t="str">
        <f t="shared" si="1776"/>
        <v>CH</v>
      </c>
      <c r="D1694" t="s">
        <v>1705</v>
      </c>
      <c r="E1694" t="str">
        <f t="shared" si="1777"/>
        <v>Mt/yr.</v>
      </c>
      <c r="F1694" s="1">
        <f>[1]Summary!B56</f>
        <v>3.8057509330913097</v>
      </c>
      <c r="G1694" s="1">
        <f>[1]Summary!C56</f>
        <v>3.4442045735770996</v>
      </c>
      <c r="H1694" s="1">
        <f>[1]Summary!D56</f>
        <v>3.3593344913381098</v>
      </c>
      <c r="I1694" s="1">
        <f>[1]Summary!E56</f>
        <v>2.2581440813512401</v>
      </c>
      <c r="J1694" s="1">
        <f>[2]Summary!F56</f>
        <v>1.6436772605005441</v>
      </c>
      <c r="K1694" s="1">
        <f>[2]Summary!G56</f>
        <v>0.95175094616642297</v>
      </c>
      <c r="L1694" s="1">
        <f>[2]Summary!H56</f>
        <v>0.29173546569857006</v>
      </c>
      <c r="N1694" s="1"/>
    </row>
    <row r="1695" spans="2:14" x14ac:dyDescent="0.35">
      <c r="B1695" t="str">
        <f t="shared" si="1775"/>
        <v>SPS1</v>
      </c>
      <c r="C1695" t="str">
        <f t="shared" si="1776"/>
        <v>CH</v>
      </c>
      <c r="D1695" t="s">
        <v>1706</v>
      </c>
      <c r="E1695" t="str">
        <f t="shared" si="1777"/>
        <v>Mt/yr.</v>
      </c>
      <c r="F1695" s="1">
        <f>[1]Summary!B57</f>
        <v>7.2100943208689579</v>
      </c>
      <c r="G1695" s="1">
        <f>[1]Summary!C57</f>
        <v>6.4609055842147072</v>
      </c>
      <c r="H1695" s="1">
        <f>[1]Summary!D57</f>
        <v>6.3445985769164741</v>
      </c>
      <c r="I1695" s="1">
        <f>[1]Summary!E57</f>
        <v>3.981587075854168</v>
      </c>
      <c r="J1695" s="1">
        <f>[2]Summary!F57</f>
        <v>2.7843424177113802</v>
      </c>
      <c r="K1695" s="1">
        <f>[2]Summary!G57</f>
        <v>1.5147893386956759</v>
      </c>
      <c r="L1695" s="1">
        <f>[2]Summary!H57</f>
        <v>0.67856637283023657</v>
      </c>
      <c r="N1695" s="1"/>
    </row>
    <row r="1696" spans="2:14" x14ac:dyDescent="0.35">
      <c r="B1696" t="str">
        <f t="shared" si="1775"/>
        <v>SPS1</v>
      </c>
      <c r="C1696" t="str">
        <f t="shared" si="1776"/>
        <v>CH</v>
      </c>
      <c r="D1696" t="s">
        <v>1707</v>
      </c>
      <c r="E1696" t="str">
        <f t="shared" si="1777"/>
        <v>Mt/yr.</v>
      </c>
      <c r="F1696" s="1">
        <f>[1]Summary!B58</f>
        <v>14.625639279251208</v>
      </c>
      <c r="G1696" s="1">
        <f>[1]Summary!C58</f>
        <v>13.909256618885863</v>
      </c>
      <c r="H1696" s="1">
        <f>[1]Summary!D58</f>
        <v>12.377384340809217</v>
      </c>
      <c r="I1696" s="1">
        <f>[1]Summary!E58</f>
        <v>7.3773817950898968</v>
      </c>
      <c r="J1696" s="1">
        <f>[2]Summary!F58</f>
        <v>3.8224375709941043</v>
      </c>
      <c r="K1696" s="1">
        <f>[2]Summary!G58</f>
        <v>1.5953684050107781</v>
      </c>
      <c r="L1696" s="1">
        <f>[2]Summary!H58</f>
        <v>0.15888243949857134</v>
      </c>
      <c r="N1696" s="1"/>
    </row>
    <row r="1697" spans="2:14" x14ac:dyDescent="0.35">
      <c r="B1697" t="str">
        <f t="shared" si="1775"/>
        <v>SPS1</v>
      </c>
      <c r="C1697" t="str">
        <f t="shared" si="1776"/>
        <v>CH</v>
      </c>
      <c r="D1697" t="s">
        <v>1708</v>
      </c>
      <c r="E1697" t="str">
        <f t="shared" si="1777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-[2]Summary!F59</f>
        <v>0</v>
      </c>
      <c r="K1697" s="1">
        <f>-[2]Summary!G59</f>
        <v>1.5413608279196787</v>
      </c>
      <c r="L1697" s="1">
        <f>-[2]Summary!H59</f>
        <v>5.0944430301456318</v>
      </c>
      <c r="N1697" s="1"/>
    </row>
    <row r="1698" spans="2:14" x14ac:dyDescent="0.35">
      <c r="B1698" t="str">
        <f t="shared" si="1775"/>
        <v>SPS1</v>
      </c>
      <c r="C1698" t="str">
        <f t="shared" si="1776"/>
        <v>CH</v>
      </c>
      <c r="D1698" t="s">
        <v>1709</v>
      </c>
      <c r="E1698" t="str">
        <f t="shared" si="1777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-[2]Summary!F60</f>
        <v>0</v>
      </c>
      <c r="K1698" s="1">
        <f>-[2]Summary!G60</f>
        <v>0.31217689085554451</v>
      </c>
      <c r="L1698" s="1">
        <f>-[2]Summary!H60</f>
        <v>1.8193823894315611</v>
      </c>
      <c r="N1698" s="1"/>
    </row>
    <row r="1699" spans="2:14" x14ac:dyDescent="0.35">
      <c r="B1699" t="str">
        <f t="shared" si="1775"/>
        <v>SPS1</v>
      </c>
      <c r="C1699" t="str">
        <f t="shared" si="1776"/>
        <v>CH</v>
      </c>
      <c r="D1699" t="s">
        <v>1710</v>
      </c>
      <c r="E1699" t="str">
        <f t="shared" si="1777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-[2]Summary!F61</f>
        <v>0</v>
      </c>
      <c r="K1699" s="1">
        <f>-[2]Summary!G61</f>
        <v>0</v>
      </c>
      <c r="L1699" s="1">
        <f>-[2]Summary!H61</f>
        <v>1.4210538791761611E-5</v>
      </c>
      <c r="N1699" s="1"/>
    </row>
    <row r="1700" spans="2:14" x14ac:dyDescent="0.35">
      <c r="B1700" t="str">
        <f t="shared" si="1775"/>
        <v>SPS1</v>
      </c>
      <c r="C1700" t="str">
        <f t="shared" si="1776"/>
        <v>CH</v>
      </c>
      <c r="D1700" t="s">
        <v>1711</v>
      </c>
      <c r="E1700" t="str">
        <f t="shared" si="1777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-[2]Summary!F62</f>
        <v>0</v>
      </c>
      <c r="K1700" s="1">
        <f>-[2]Summary!G62</f>
        <v>0</v>
      </c>
      <c r="L1700" s="1">
        <f>-[2]Summary!H62</f>
        <v>0</v>
      </c>
      <c r="N1700" s="1"/>
    </row>
    <row r="1701" spans="2:14" x14ac:dyDescent="0.35">
      <c r="B1701" t="str">
        <f t="shared" si="1775"/>
        <v>SPS1</v>
      </c>
      <c r="C1701" t="str">
        <f t="shared" si="1776"/>
        <v>CH</v>
      </c>
      <c r="D1701" t="s">
        <v>1712</v>
      </c>
      <c r="E1701" t="str">
        <f t="shared" si="1777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-[2]Summary!F63</f>
        <v>0</v>
      </c>
      <c r="K1701" s="1">
        <f>-[2]Summary!G63</f>
        <v>3.2815633244499824E-6</v>
      </c>
      <c r="L1701" s="1">
        <f>-[2]Summary!H63</f>
        <v>8.8840290407978172E-6</v>
      </c>
      <c r="N1701" s="1"/>
    </row>
    <row r="1702" spans="2:14" x14ac:dyDescent="0.3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780">SUM(G1703:G1705)</f>
        <v>0</v>
      </c>
      <c r="H1702" s="3">
        <f t="shared" si="1780"/>
        <v>0</v>
      </c>
      <c r="I1702" s="3">
        <f t="shared" si="1780"/>
        <v>0</v>
      </c>
      <c r="J1702" s="3">
        <f t="shared" si="1780"/>
        <v>0</v>
      </c>
      <c r="K1702" s="3">
        <f t="shared" si="1780"/>
        <v>0</v>
      </c>
      <c r="L1702" s="3">
        <f t="shared" ref="L1702" si="1781">SUM(L1703:L1705)</f>
        <v>6.9138266985994079</v>
      </c>
      <c r="N1702" s="1"/>
    </row>
    <row r="1703" spans="2:14" x14ac:dyDescent="0.3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[2]Summary!B$77</f>
        <v>0</v>
      </c>
      <c r="K1703" s="1">
        <f>[2]Summary!B$77</f>
        <v>0</v>
      </c>
      <c r="L1703" s="1">
        <f>[2]Summary!C$77</f>
        <v>3.5118171545936945</v>
      </c>
      <c r="N1703" s="1"/>
    </row>
    <row r="1704" spans="2:14" x14ac:dyDescent="0.35">
      <c r="B1704" t="str">
        <f t="shared" ref="B1704:B1705" si="1782">B1703</f>
        <v>SPS1</v>
      </c>
      <c r="C1704" t="str">
        <f t="shared" ref="C1704:C1705" si="1783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[2]Summary!B$78</f>
        <v>0</v>
      </c>
      <c r="K1704" s="1">
        <f>[2]Summary!B$78</f>
        <v>0</v>
      </c>
      <c r="L1704" s="1">
        <f>[2]Summary!C$78</f>
        <v>1.2141596355248303</v>
      </c>
      <c r="N1704" s="1"/>
    </row>
    <row r="1705" spans="2:14" x14ac:dyDescent="0.35">
      <c r="B1705" t="str">
        <f t="shared" si="1782"/>
        <v>SPS1</v>
      </c>
      <c r="C1705" t="str">
        <f t="shared" si="1783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[2]Summary!B$79</f>
        <v>0</v>
      </c>
      <c r="K1705" s="1">
        <f>[2]Summary!B$79</f>
        <v>0</v>
      </c>
      <c r="L1705" s="1">
        <f>[2]Summary!C$79</f>
        <v>2.1878499084808838</v>
      </c>
      <c r="N1705" s="1"/>
    </row>
    <row r="1706" spans="2:14" x14ac:dyDescent="0.35">
      <c r="B1706" s="2" t="str">
        <f t="shared" ref="B1706:C1711" si="1784">B1705</f>
        <v>SPS1</v>
      </c>
      <c r="C1706" s="2" t="str">
        <f t="shared" si="1784"/>
        <v>CH</v>
      </c>
      <c r="D1706" s="2" t="s">
        <v>1720</v>
      </c>
      <c r="E1706" s="21" t="s">
        <v>292</v>
      </c>
      <c r="F1706" s="21" t="s">
        <v>292</v>
      </c>
      <c r="G1706" s="21" t="s">
        <v>292</v>
      </c>
      <c r="H1706" s="21" t="s">
        <v>292</v>
      </c>
      <c r="I1706" s="21" t="s">
        <v>292</v>
      </c>
      <c r="J1706" s="21" t="s">
        <v>292</v>
      </c>
      <c r="K1706" s="21" t="s">
        <v>292</v>
      </c>
      <c r="L1706" s="21" t="s">
        <v>292</v>
      </c>
      <c r="N1706" s="1"/>
    </row>
    <row r="1707" spans="2:14" x14ac:dyDescent="0.35">
      <c r="B1707" t="str">
        <f t="shared" si="1784"/>
        <v>SPS1</v>
      </c>
      <c r="C1707" t="str">
        <f t="shared" si="1784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785">SUM(G1708:G1709)</f>
        <v>0</v>
      </c>
      <c r="H1707" s="1">
        <f t="shared" si="1785"/>
        <v>0</v>
      </c>
      <c r="I1707" s="1">
        <f t="shared" si="1785"/>
        <v>0</v>
      </c>
      <c r="J1707" s="1">
        <f t="shared" si="1785"/>
        <v>0</v>
      </c>
      <c r="K1707" s="1">
        <f t="shared" si="1785"/>
        <v>2.6370140778159373E-5</v>
      </c>
      <c r="L1707" s="1">
        <f t="shared" ref="L1707" si="1786">SUM(L1708:L1709)</f>
        <v>6.4709228575686543E-5</v>
      </c>
      <c r="N1707" s="1"/>
    </row>
    <row r="1708" spans="2:14" x14ac:dyDescent="0.35">
      <c r="B1708" t="str">
        <f t="shared" si="1784"/>
        <v>SPS1</v>
      </c>
      <c r="C1708" t="str">
        <f t="shared" si="1784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SUMPRODUCT(("SUP_DAC"=[2]OUT_SyntheticFuels!$C$1:$C$1000)*1,("Var_Fin"=[2]OUT_SyntheticFuels!$B$1:$B$1000)*1,ISNUMBER(SEARCH("ELC",[2]OUT_SyntheticFuels!$A$1:$A$1000))*1,[2]OUT_SyntheticFuels!I$1:I$1000)</f>
        <v>0</v>
      </c>
      <c r="K1708" s="1" cm="1">
        <f t="array" ref="K1708">SUMPRODUCT(("SUP_DAC"=[2]OUT_SyntheticFuels!$C$1:$C$1000)*1,("Var_Fin"=[2]OUT_SyntheticFuels!$B$1:$B$1000)*1,ISNUMBER(SEARCH("ELC",[2]OUT_SyntheticFuels!$A$1:$A$1000))*1,[2]OUT_SyntheticFuels!J$1:J$1000)</f>
        <v>4.5504344765706374E-6</v>
      </c>
      <c r="L1708" s="1" cm="1">
        <f t="array" ref="L1708">SUMPRODUCT(("SUP_DAC"=[2]OUT_SyntheticFuels!$C$1:$C$1000)*1,("Var_Fin"=[2]OUT_SyntheticFuels!$B$1:$B$1000)*1,ISNUMBER(SEARCH("ELC",[2]OUT_SyntheticFuels!$A$1:$A$1000))*1,[2]OUT_SyntheticFuels!K$1:K$1000)</f>
        <v>8.084466427126017E-6</v>
      </c>
      <c r="N1708" s="1"/>
    </row>
    <row r="1709" spans="2:14" x14ac:dyDescent="0.35">
      <c r="B1709" t="str">
        <f t="shared" si="1784"/>
        <v>SPS1</v>
      </c>
      <c r="C1709" t="str">
        <f t="shared" si="1784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SUMPRODUCT(("SUP_DAC"=[2]OUT_SyntheticFuels!$C$1:$C$1000)*1,("Var_Fin"=[2]OUT_SyntheticFuels!$B$1:$B$1000)*1,ISNUMBER(SEARCH("HEAT",[2]OUT_SyntheticFuels!$A$1:$A$1000))*1,[2]OUT_SyntheticFuels!I$1:I$1000)</f>
        <v>0</v>
      </c>
      <c r="K1709" s="1" cm="1">
        <f t="array" ref="K1709">SUMPRODUCT(("SUP_DAC"=[2]OUT_SyntheticFuels!$C$1:$C$1000)*1,("Var_Fin"=[2]OUT_SyntheticFuels!$B$1:$B$1000)*1,ISNUMBER(SEARCH("HEAT",[2]OUT_SyntheticFuels!$A$1:$A$1000))*1,[2]OUT_SyntheticFuels!J$1:J$1000)</f>
        <v>2.1819706301588737E-5</v>
      </c>
      <c r="L1709" s="1" cm="1">
        <f t="array" ref="L1709">SUMPRODUCT(("SUP_DAC"=[2]OUT_SyntheticFuels!$C$1:$C$1000)*1,("Var_Fin"=[2]OUT_SyntheticFuels!$B$1:$B$1000)*1,ISNUMBER(SEARCH("HEAT",[2]OUT_SyntheticFuels!$A$1:$A$1000))*1,[2]OUT_SyntheticFuels!K$1:K$1000)</f>
        <v>5.6624762148560522E-5</v>
      </c>
      <c r="N1709" s="1"/>
    </row>
    <row r="1710" spans="2:14" x14ac:dyDescent="0.35">
      <c r="B1710" t="str">
        <f t="shared" si="1784"/>
        <v>SPS1</v>
      </c>
      <c r="C1710" t="str">
        <f t="shared" si="1784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787">G1701</f>
        <v>0</v>
      </c>
      <c r="H1710" s="1">
        <f t="shared" si="1787"/>
        <v>0</v>
      </c>
      <c r="I1710" s="1">
        <f t="shared" si="1787"/>
        <v>0</v>
      </c>
      <c r="J1710" s="1">
        <f t="shared" si="1787"/>
        <v>0</v>
      </c>
      <c r="K1710" s="1">
        <f t="shared" si="1787"/>
        <v>3.2815633244499824E-6</v>
      </c>
      <c r="L1710" s="1">
        <f t="shared" ref="L1710" si="1788">L1701</f>
        <v>8.8840290407978172E-6</v>
      </c>
      <c r="N1710" s="1"/>
    </row>
    <row r="1711" spans="2:14" x14ac:dyDescent="0.35">
      <c r="B1711" s="2" t="str">
        <f t="shared" si="1784"/>
        <v>SPS1</v>
      </c>
      <c r="C1711" s="2" t="str">
        <f t="shared" si="1784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966.15861054738957</v>
      </c>
      <c r="G1711" s="3">
        <f t="shared" ref="G1711:K1711" si="1789">SUM(G1712:G1713,G1730,G1739:G1740,G1741,G1742,G1747,G1750,,G1755:G1758,G1751)</f>
        <v>964.3480976237156</v>
      </c>
      <c r="H1711" s="3">
        <f t="shared" si="1789"/>
        <v>916.44483351942245</v>
      </c>
      <c r="I1711" s="3">
        <f t="shared" si="1789"/>
        <v>892.21411499393776</v>
      </c>
      <c r="J1711" s="3">
        <f t="shared" si="1789"/>
        <v>786.50638153375621</v>
      </c>
      <c r="K1711" s="3">
        <f t="shared" si="1789"/>
        <v>779.9377453156203</v>
      </c>
      <c r="L1711" s="3">
        <f t="shared" ref="L1711" si="1790">SUM(L1712:L1713,L1730,L1739:L1740,L1741,L1742,L1747,L1750,,L1755:L1758,L1751)</f>
        <v>733.54396820489808</v>
      </c>
      <c r="N1711" s="1"/>
    </row>
    <row r="1712" spans="2:14" x14ac:dyDescent="0.35">
      <c r="B1712" t="str">
        <f>B1711</f>
        <v>SPS1</v>
      </c>
      <c r="C1712" t="str">
        <f t="shared" ref="C1712" si="1791">C1711</f>
        <v>CH</v>
      </c>
      <c r="D1712" t="s">
        <v>1738</v>
      </c>
      <c r="E1712" t="str">
        <f>E1711</f>
        <v>PJ/yr.</v>
      </c>
      <c r="F1712" s="1">
        <f t="shared" ref="F1712:K1722" si="1792">F21</f>
        <v>3.6601882141811259</v>
      </c>
      <c r="G1712" s="1">
        <f t="shared" si="1792"/>
        <v>3.5647660482432162</v>
      </c>
      <c r="H1712" s="1">
        <f t="shared" si="1792"/>
        <v>0.15596099168927152</v>
      </c>
      <c r="I1712" s="1">
        <f t="shared" si="1792"/>
        <v>4.6208376640515239E-3</v>
      </c>
      <c r="J1712" s="1">
        <f t="shared" si="1792"/>
        <v>2.2535582696409798E-3</v>
      </c>
      <c r="K1712" s="1">
        <f t="shared" si="1792"/>
        <v>2.5928858867473818E-4</v>
      </c>
      <c r="L1712" s="1">
        <f t="shared" ref="L1712" si="1793">L21</f>
        <v>0</v>
      </c>
      <c r="N1712" s="1"/>
    </row>
    <row r="1713" spans="2:14" x14ac:dyDescent="0.35">
      <c r="B1713" t="str">
        <f t="shared" ref="B1713:B1765" si="1794">B1712</f>
        <v>SPS1</v>
      </c>
      <c r="C1713" t="str">
        <f t="shared" ref="C1713:C1765" si="1795">C1712</f>
        <v>CH</v>
      </c>
      <c r="D1713" t="s">
        <v>1739</v>
      </c>
      <c r="E1713" t="str">
        <f t="shared" ref="E1713:E1741" si="1796">E1712</f>
        <v>PJ/yr.</v>
      </c>
      <c r="F1713" s="1">
        <f t="shared" si="1792"/>
        <v>311.19204139929144</v>
      </c>
      <c r="G1713" s="1">
        <f t="shared" si="1792"/>
        <v>286.59565245584537</v>
      </c>
      <c r="H1713" s="1">
        <f t="shared" si="1792"/>
        <v>260.17311711540322</v>
      </c>
      <c r="I1713" s="1">
        <f t="shared" si="1792"/>
        <v>158.41676724599998</v>
      </c>
      <c r="J1713" s="1">
        <f t="shared" si="1792"/>
        <v>106.45379886735832</v>
      </c>
      <c r="K1713" s="1">
        <f t="shared" si="1792"/>
        <v>66.186767900318173</v>
      </c>
      <c r="L1713" s="1">
        <f t="shared" ref="L1713" si="1797">L22</f>
        <v>78.497247165782625</v>
      </c>
      <c r="N1713" s="1"/>
    </row>
    <row r="1714" spans="2:14" x14ac:dyDescent="0.35">
      <c r="B1714" t="str">
        <f t="shared" si="1794"/>
        <v>SPS1</v>
      </c>
      <c r="C1714" t="str">
        <f t="shared" si="1795"/>
        <v>CH</v>
      </c>
      <c r="D1714" t="s">
        <v>1740</v>
      </c>
      <c r="E1714" t="str">
        <f t="shared" si="1796"/>
        <v>PJ/yr.</v>
      </c>
      <c r="F1714" s="1">
        <f t="shared" si="1792"/>
        <v>305.33109084662027</v>
      </c>
      <c r="G1714" s="1">
        <f t="shared" si="1792"/>
        <v>280.7364963933216</v>
      </c>
      <c r="H1714" s="1">
        <f t="shared" si="1792"/>
        <v>254.31385051000939</v>
      </c>
      <c r="I1714" s="1">
        <f t="shared" si="1792"/>
        <v>148.06345464879749</v>
      </c>
      <c r="J1714" s="1">
        <f t="shared" si="1792"/>
        <v>85.425737658087868</v>
      </c>
      <c r="K1714" s="1">
        <f t="shared" si="1792"/>
        <v>34.734027654282507</v>
      </c>
      <c r="L1714" s="1">
        <f t="shared" ref="L1714" si="1798">L23</f>
        <v>0</v>
      </c>
      <c r="N1714" s="1"/>
    </row>
    <row r="1715" spans="2:14" x14ac:dyDescent="0.35">
      <c r="B1715" t="str">
        <f t="shared" si="1794"/>
        <v>SPS1</v>
      </c>
      <c r="C1715" t="str">
        <f t="shared" si="1795"/>
        <v>CH</v>
      </c>
      <c r="D1715" t="s">
        <v>1741</v>
      </c>
      <c r="E1715" t="str">
        <f t="shared" si="1796"/>
        <v>PJ/yr.</v>
      </c>
      <c r="F1715" s="1">
        <f t="shared" si="1792"/>
        <v>102.14686482660032</v>
      </c>
      <c r="G1715" s="1">
        <f t="shared" si="1792"/>
        <v>88.232629849963274</v>
      </c>
      <c r="H1715" s="1">
        <f t="shared" si="1792"/>
        <v>86.025824283526873</v>
      </c>
      <c r="I1715" s="1">
        <f t="shared" si="1792"/>
        <v>47.723315078576853</v>
      </c>
      <c r="J1715" s="1">
        <f t="shared" si="1792"/>
        <v>33.37714861271521</v>
      </c>
      <c r="K1715" s="1">
        <f t="shared" si="1792"/>
        <v>14.881553656745623</v>
      </c>
      <c r="L1715" s="1">
        <f t="shared" ref="L1715" si="1799">L24</f>
        <v>0</v>
      </c>
      <c r="N1715" s="1"/>
    </row>
    <row r="1716" spans="2:14" x14ac:dyDescent="0.35">
      <c r="B1716" t="str">
        <f t="shared" si="1794"/>
        <v>SPS1</v>
      </c>
      <c r="C1716" t="str">
        <f t="shared" si="1795"/>
        <v>CH</v>
      </c>
      <c r="D1716" t="s">
        <v>1742</v>
      </c>
      <c r="E1716" t="str">
        <f t="shared" si="1796"/>
        <v>PJ/yr.</v>
      </c>
      <c r="F1716" s="1">
        <f t="shared" si="1792"/>
        <v>2.7765248325854821</v>
      </c>
      <c r="G1716" s="1">
        <f t="shared" si="1792"/>
        <v>2.7643673663297474</v>
      </c>
      <c r="H1716" s="1">
        <f t="shared" si="1792"/>
        <v>4.8276246552936893E-2</v>
      </c>
      <c r="I1716" s="1">
        <f t="shared" si="1792"/>
        <v>4.6215869532633732E-3</v>
      </c>
      <c r="J1716" s="1">
        <f t="shared" si="1792"/>
        <v>3.2822558842233339E-3</v>
      </c>
      <c r="K1716" s="1">
        <f t="shared" si="1792"/>
        <v>2.6092289433621584E-4</v>
      </c>
      <c r="L1716" s="1">
        <f t="shared" ref="L1716" si="1800">L25</f>
        <v>0</v>
      </c>
      <c r="N1716" s="1"/>
    </row>
    <row r="1717" spans="2:14" x14ac:dyDescent="0.35">
      <c r="B1717" t="str">
        <f t="shared" si="1794"/>
        <v>SPS1</v>
      </c>
      <c r="C1717" t="str">
        <f t="shared" si="1795"/>
        <v>CH</v>
      </c>
      <c r="D1717" t="s">
        <v>1743</v>
      </c>
      <c r="E1717" t="str">
        <f t="shared" si="1796"/>
        <v>PJ/yr.</v>
      </c>
      <c r="F1717" s="1">
        <f t="shared" si="1792"/>
        <v>121.89424816293706</v>
      </c>
      <c r="G1717" s="1">
        <f t="shared" si="1792"/>
        <v>112.68574983712354</v>
      </c>
      <c r="H1717" s="1">
        <f t="shared" si="1792"/>
        <v>95.48232651826433</v>
      </c>
      <c r="I1717" s="1">
        <f t="shared" si="1792"/>
        <v>56.806864888603791</v>
      </c>
      <c r="J1717" s="1">
        <f t="shared" si="1792"/>
        <v>32.383459577704294</v>
      </c>
      <c r="K1717" s="1">
        <f t="shared" si="1792"/>
        <v>14.542963617114063</v>
      </c>
      <c r="L1717" s="1">
        <f t="shared" ref="L1717" si="1801">L26</f>
        <v>0</v>
      </c>
      <c r="N1717" s="1"/>
    </row>
    <row r="1718" spans="2:14" x14ac:dyDescent="0.35">
      <c r="B1718" t="str">
        <f t="shared" si="1794"/>
        <v>SPS1</v>
      </c>
      <c r="C1718" t="str">
        <f t="shared" si="1795"/>
        <v>CH</v>
      </c>
      <c r="D1718" t="s">
        <v>1744</v>
      </c>
      <c r="E1718" t="str">
        <f t="shared" si="1796"/>
        <v>PJ/yr.</v>
      </c>
      <c r="F1718" s="1">
        <f t="shared" si="1792"/>
        <v>77.404073620847043</v>
      </c>
      <c r="G1718" s="1">
        <f t="shared" si="1792"/>
        <v>75.649647193300396</v>
      </c>
      <c r="H1718" s="1">
        <f t="shared" si="1792"/>
        <v>70.929145538586567</v>
      </c>
      <c r="I1718" s="1">
        <f t="shared" si="1792"/>
        <v>41.082883194158065</v>
      </c>
      <c r="J1718" s="1">
        <f t="shared" si="1792"/>
        <v>17.074841040667547</v>
      </c>
      <c r="K1718" s="1">
        <f t="shared" si="1792"/>
        <v>3.1825326523143311</v>
      </c>
      <c r="L1718" s="1">
        <f t="shared" ref="L1718" si="1802">L27</f>
        <v>0</v>
      </c>
      <c r="N1718" s="1"/>
    </row>
    <row r="1719" spans="2:14" x14ac:dyDescent="0.35">
      <c r="B1719" t="str">
        <f t="shared" si="1794"/>
        <v>SPS1</v>
      </c>
      <c r="C1719" t="str">
        <f t="shared" si="1795"/>
        <v>CH</v>
      </c>
      <c r="D1719" t="s">
        <v>1745</v>
      </c>
      <c r="E1719" t="str">
        <f t="shared" si="1796"/>
        <v>PJ/yr.</v>
      </c>
      <c r="F1719" s="1">
        <f t="shared" si="1792"/>
        <v>1.1093794036503803</v>
      </c>
      <c r="G1719" s="1">
        <f t="shared" si="1792"/>
        <v>1.4041021466046504</v>
      </c>
      <c r="H1719" s="1">
        <f t="shared" si="1792"/>
        <v>1.8282779230786981</v>
      </c>
      <c r="I1719" s="1">
        <f t="shared" si="1792"/>
        <v>2.4457699005055282</v>
      </c>
      <c r="J1719" s="1">
        <f t="shared" si="1792"/>
        <v>2.5870061711165926</v>
      </c>
      <c r="K1719" s="1">
        <f t="shared" si="1792"/>
        <v>2.1267168052141514</v>
      </c>
      <c r="L1719" s="1">
        <f t="shared" ref="L1719" si="1803">L28</f>
        <v>0</v>
      </c>
      <c r="N1719" s="1"/>
    </row>
    <row r="1720" spans="2:14" x14ac:dyDescent="0.35">
      <c r="B1720" t="str">
        <f t="shared" si="1794"/>
        <v>SPS1</v>
      </c>
      <c r="C1720" t="str">
        <f t="shared" si="1795"/>
        <v>CH</v>
      </c>
      <c r="D1720" t="s">
        <v>1746</v>
      </c>
      <c r="E1720" t="str">
        <f t="shared" si="1796"/>
        <v>PJ/yr.</v>
      </c>
      <c r="F1720" s="1">
        <f t="shared" si="1792"/>
        <v>5.8609505526711647</v>
      </c>
      <c r="G1720" s="1">
        <f t="shared" si="1792"/>
        <v>5.859156062523784</v>
      </c>
      <c r="H1720" s="1">
        <f t="shared" si="1792"/>
        <v>5.8592666053938247</v>
      </c>
      <c r="I1720" s="1">
        <f t="shared" si="1792"/>
        <v>10.353312597202482</v>
      </c>
      <c r="J1720" s="1">
        <f t="shared" si="1792"/>
        <v>21.028061209270447</v>
      </c>
      <c r="K1720" s="1">
        <f t="shared" si="1792"/>
        <v>31.452740246035663</v>
      </c>
      <c r="L1720" s="1">
        <f t="shared" ref="L1720" si="1804">L29</f>
        <v>78.497247165782625</v>
      </c>
      <c r="N1720" s="1"/>
    </row>
    <row r="1721" spans="2:14" x14ac:dyDescent="0.35">
      <c r="B1721" t="str">
        <f t="shared" si="1794"/>
        <v>SPS1</v>
      </c>
      <c r="C1721" t="str">
        <f t="shared" si="1795"/>
        <v>CH</v>
      </c>
      <c r="D1721" t="s">
        <v>1747</v>
      </c>
      <c r="E1721" t="str">
        <f t="shared" si="1796"/>
        <v>PJ/yr.</v>
      </c>
      <c r="F1721" s="1">
        <f t="shared" si="1792"/>
        <v>2.8760568952153025</v>
      </c>
      <c r="G1721" s="1">
        <f t="shared" si="1792"/>
        <v>1.8135911085892917</v>
      </c>
      <c r="H1721" s="1">
        <f t="shared" si="1792"/>
        <v>3.2681377156991562</v>
      </c>
      <c r="I1721" s="1">
        <f t="shared" si="1792"/>
        <v>3.2465039351268459</v>
      </c>
      <c r="J1721" s="1">
        <f t="shared" si="1792"/>
        <v>3.1577695411135842</v>
      </c>
      <c r="K1721" s="1">
        <f t="shared" si="1792"/>
        <v>3.1436814307978374</v>
      </c>
      <c r="L1721" s="1">
        <f t="shared" ref="L1721" si="1805">L30</f>
        <v>2.6309265232634687</v>
      </c>
      <c r="N1721" s="1"/>
    </row>
    <row r="1722" spans="2:14" x14ac:dyDescent="0.35">
      <c r="B1722" t="str">
        <f t="shared" si="1794"/>
        <v>SPS1</v>
      </c>
      <c r="C1722" t="str">
        <f t="shared" si="1795"/>
        <v>CH</v>
      </c>
      <c r="D1722" t="s">
        <v>1748</v>
      </c>
      <c r="E1722" t="str">
        <f t="shared" si="1796"/>
        <v>PJ/yr.</v>
      </c>
      <c r="F1722" s="1">
        <f t="shared" si="1792"/>
        <v>2.9848618205759734</v>
      </c>
      <c r="G1722" s="1">
        <f t="shared" si="1792"/>
        <v>4.0443988278181138</v>
      </c>
      <c r="H1722" s="1">
        <f t="shared" si="1792"/>
        <v>2.570739257428853</v>
      </c>
      <c r="I1722" s="1">
        <f t="shared" si="1792"/>
        <v>1.9550049530579647</v>
      </c>
      <c r="J1722" s="1">
        <f t="shared" si="1792"/>
        <v>1.4002000568921704</v>
      </c>
      <c r="K1722" s="1">
        <f t="shared" si="1792"/>
        <v>1.2575291909690842</v>
      </c>
      <c r="L1722" s="1">
        <f t="shared" ref="L1722" si="1806">L31</f>
        <v>9.2687702175031209E-2</v>
      </c>
      <c r="N1722" s="1"/>
    </row>
    <row r="1723" spans="2:14" x14ac:dyDescent="0.35">
      <c r="B1723" t="str">
        <f t="shared" si="1794"/>
        <v>SPS1</v>
      </c>
      <c r="C1723" t="str">
        <f t="shared" si="1795"/>
        <v>CH</v>
      </c>
      <c r="D1723" t="s">
        <v>1749</v>
      </c>
      <c r="E1723" t="str">
        <f t="shared" si="1796"/>
        <v>PJ/yr.</v>
      </c>
      <c r="F1723" s="1">
        <f t="shared" ref="F1723:K1725" si="1807">F33</f>
        <v>5.8609505526711647</v>
      </c>
      <c r="G1723" s="1">
        <f t="shared" si="1807"/>
        <v>5.859156062523784</v>
      </c>
      <c r="H1723" s="1">
        <f t="shared" si="1807"/>
        <v>5.8592666053938247</v>
      </c>
      <c r="I1723" s="1">
        <f t="shared" si="1807"/>
        <v>10.353312597202482</v>
      </c>
      <c r="J1723" s="1">
        <f t="shared" si="1807"/>
        <v>9.7097733070234256</v>
      </c>
      <c r="K1723" s="1">
        <f t="shared" si="1807"/>
        <v>20.871302233031614</v>
      </c>
      <c r="L1723" s="1">
        <f t="shared" ref="L1723" si="1808">L33</f>
        <v>29.775143849707241</v>
      </c>
      <c r="N1723" s="1"/>
    </row>
    <row r="1724" spans="2:14" x14ac:dyDescent="0.35">
      <c r="B1724" t="str">
        <f t="shared" si="1794"/>
        <v>SPS1</v>
      </c>
      <c r="C1724" t="str">
        <f t="shared" si="1795"/>
        <v>CH</v>
      </c>
      <c r="D1724" t="s">
        <v>1750</v>
      </c>
      <c r="E1724" t="str">
        <f t="shared" si="1796"/>
        <v>PJ/yr.</v>
      </c>
      <c r="F1724" s="1">
        <f t="shared" si="1807"/>
        <v>2.8760568952153025</v>
      </c>
      <c r="G1724" s="1">
        <f t="shared" si="1807"/>
        <v>1.8135911085892917</v>
      </c>
      <c r="H1724" s="1">
        <f t="shared" si="1807"/>
        <v>3.2681377156991562</v>
      </c>
      <c r="I1724" s="1">
        <f t="shared" si="1807"/>
        <v>3.2465039351268459</v>
      </c>
      <c r="J1724" s="1">
        <f t="shared" si="1807"/>
        <v>3.1577695411135842</v>
      </c>
      <c r="K1724" s="1">
        <f t="shared" si="1807"/>
        <v>3.1436814307978374</v>
      </c>
      <c r="L1724" s="1">
        <f t="shared" ref="L1724" si="1809">L34</f>
        <v>2.6309265232634687</v>
      </c>
      <c r="N1724" s="1"/>
    </row>
    <row r="1725" spans="2:14" x14ac:dyDescent="0.35">
      <c r="B1725" t="str">
        <f t="shared" si="1794"/>
        <v>SPS1</v>
      </c>
      <c r="C1725" t="str">
        <f t="shared" si="1795"/>
        <v>CH</v>
      </c>
      <c r="D1725" t="s">
        <v>1751</v>
      </c>
      <c r="E1725" t="str">
        <f t="shared" si="1796"/>
        <v>PJ/yr.</v>
      </c>
      <c r="F1725" s="1">
        <f t="shared" si="1807"/>
        <v>2.9848618205759734</v>
      </c>
      <c r="G1725" s="1">
        <f t="shared" si="1807"/>
        <v>4.0443988278181138</v>
      </c>
      <c r="H1725" s="1">
        <f t="shared" si="1807"/>
        <v>2.570739257428853</v>
      </c>
      <c r="I1725" s="1">
        <f t="shared" si="1807"/>
        <v>1.9550049530579647</v>
      </c>
      <c r="J1725" s="1">
        <f t="shared" si="1807"/>
        <v>1.4002000568921704</v>
      </c>
      <c r="K1725" s="1">
        <f t="shared" si="1807"/>
        <v>1.2575291909690842</v>
      </c>
      <c r="L1725" s="1">
        <f t="shared" ref="L1725" si="1810">L35</f>
        <v>9.2687702175031209E-2</v>
      </c>
      <c r="N1725" s="1"/>
    </row>
    <row r="1726" spans="2:14" x14ac:dyDescent="0.35">
      <c r="B1726" t="str">
        <f t="shared" si="1794"/>
        <v>SPS1</v>
      </c>
      <c r="C1726" t="str">
        <f t="shared" si="1795"/>
        <v>CH</v>
      </c>
      <c r="D1726" t="s">
        <v>1752</v>
      </c>
      <c r="E1726" t="str">
        <f t="shared" si="1796"/>
        <v>PJ/yr.</v>
      </c>
      <c r="F1726" s="1">
        <f t="shared" ref="F1726:K1739" si="1811">F37</f>
        <v>0</v>
      </c>
      <c r="G1726" s="1">
        <f t="shared" si="1811"/>
        <v>0</v>
      </c>
      <c r="H1726" s="1">
        <f t="shared" si="1811"/>
        <v>0</v>
      </c>
      <c r="I1726" s="1">
        <f t="shared" si="1811"/>
        <v>0</v>
      </c>
      <c r="J1726" s="1">
        <f t="shared" si="1811"/>
        <v>11.318287902247022</v>
      </c>
      <c r="K1726" s="1">
        <f t="shared" si="1811"/>
        <v>10.58143801300405</v>
      </c>
      <c r="L1726" s="1">
        <f t="shared" ref="L1726" si="1812">L37</f>
        <v>48.72210331607539</v>
      </c>
      <c r="N1726" s="1"/>
    </row>
    <row r="1727" spans="2:14" x14ac:dyDescent="0.35">
      <c r="B1727" t="str">
        <f t="shared" si="1794"/>
        <v>SPS1</v>
      </c>
      <c r="C1727" t="str">
        <f t="shared" si="1795"/>
        <v>CH</v>
      </c>
      <c r="D1727" t="s">
        <v>1753</v>
      </c>
      <c r="E1727" t="str">
        <f t="shared" si="1796"/>
        <v>PJ/yr.</v>
      </c>
      <c r="F1727" s="1">
        <f t="shared" si="1811"/>
        <v>0</v>
      </c>
      <c r="G1727" s="1">
        <f t="shared" si="1811"/>
        <v>0</v>
      </c>
      <c r="H1727" s="1">
        <f t="shared" si="1811"/>
        <v>0</v>
      </c>
      <c r="I1727" s="1">
        <f t="shared" si="1811"/>
        <v>0</v>
      </c>
      <c r="J1727" s="1">
        <f t="shared" si="1811"/>
        <v>0</v>
      </c>
      <c r="K1727" s="1">
        <f t="shared" si="1811"/>
        <v>0</v>
      </c>
      <c r="L1727" s="1">
        <f t="shared" ref="L1727" si="1813">L38</f>
        <v>0</v>
      </c>
      <c r="N1727" s="1"/>
    </row>
    <row r="1728" spans="2:14" x14ac:dyDescent="0.35">
      <c r="B1728" t="str">
        <f t="shared" si="1794"/>
        <v>SPS1</v>
      </c>
      <c r="C1728" t="str">
        <f t="shared" si="1795"/>
        <v>CH</v>
      </c>
      <c r="D1728" t="s">
        <v>1754</v>
      </c>
      <c r="E1728" t="str">
        <f t="shared" si="1796"/>
        <v>PJ/yr.</v>
      </c>
      <c r="F1728" s="1">
        <f t="shared" si="1811"/>
        <v>0</v>
      </c>
      <c r="G1728" s="1">
        <f t="shared" si="1811"/>
        <v>0</v>
      </c>
      <c r="H1728" s="1">
        <f t="shared" si="1811"/>
        <v>0</v>
      </c>
      <c r="I1728" s="1">
        <f t="shared" si="1811"/>
        <v>0</v>
      </c>
      <c r="J1728" s="1">
        <f t="shared" si="1811"/>
        <v>0</v>
      </c>
      <c r="K1728" s="1">
        <f t="shared" si="1811"/>
        <v>0</v>
      </c>
      <c r="L1728" s="1">
        <f t="shared" ref="L1728" si="1814">L39</f>
        <v>0</v>
      </c>
      <c r="N1728" s="1"/>
    </row>
    <row r="1729" spans="2:14" x14ac:dyDescent="0.35">
      <c r="B1729" t="str">
        <f t="shared" si="1794"/>
        <v>SPS1</v>
      </c>
      <c r="C1729" t="str">
        <f t="shared" si="1795"/>
        <v>CH</v>
      </c>
      <c r="D1729" t="s">
        <v>1755</v>
      </c>
      <c r="E1729" t="str">
        <f t="shared" si="1796"/>
        <v>PJ/yr.</v>
      </c>
      <c r="F1729" s="1">
        <f t="shared" si="1811"/>
        <v>0</v>
      </c>
      <c r="G1729" s="1">
        <f t="shared" si="1811"/>
        <v>0</v>
      </c>
      <c r="H1729" s="1">
        <f t="shared" si="1811"/>
        <v>0</v>
      </c>
      <c r="I1729" s="1">
        <f t="shared" si="1811"/>
        <v>0</v>
      </c>
      <c r="J1729" s="1">
        <f t="shared" si="1811"/>
        <v>11.318287902247022</v>
      </c>
      <c r="K1729" s="1">
        <f t="shared" si="1811"/>
        <v>10.58143801300405</v>
      </c>
      <c r="L1729" s="1">
        <f t="shared" ref="L1729" si="1815">L40</f>
        <v>48.72210331607539</v>
      </c>
      <c r="N1729" s="1"/>
    </row>
    <row r="1730" spans="2:14" x14ac:dyDescent="0.35">
      <c r="B1730" t="str">
        <f t="shared" si="1794"/>
        <v>SPS1</v>
      </c>
      <c r="C1730" t="str">
        <f t="shared" si="1795"/>
        <v>CH</v>
      </c>
      <c r="D1730" t="s">
        <v>1756</v>
      </c>
      <c r="E1730" t="str">
        <f t="shared" si="1796"/>
        <v>PJ/yr.</v>
      </c>
      <c r="F1730" s="1">
        <f t="shared" si="1811"/>
        <v>118.81618615236589</v>
      </c>
      <c r="G1730" s="1">
        <f t="shared" si="1811"/>
        <v>106.72179597074525</v>
      </c>
      <c r="H1730" s="1">
        <f t="shared" si="1811"/>
        <v>106.23083898984014</v>
      </c>
      <c r="I1730" s="1">
        <f t="shared" si="1811"/>
        <v>79.110953288860841</v>
      </c>
      <c r="J1730" s="1">
        <f t="shared" si="1811"/>
        <v>54.102615533742096</v>
      </c>
      <c r="K1730" s="1">
        <f t="shared" si="1811"/>
        <v>15.887667311077065</v>
      </c>
      <c r="L1730" s="1">
        <f t="shared" ref="L1730" si="1816">L41</f>
        <v>1.4205634316708096</v>
      </c>
      <c r="N1730" s="1"/>
    </row>
    <row r="1731" spans="2:14" x14ac:dyDescent="0.35">
      <c r="B1731" t="str">
        <f t="shared" si="1794"/>
        <v>SPS1</v>
      </c>
      <c r="C1731" t="str">
        <f t="shared" si="1795"/>
        <v>CH</v>
      </c>
      <c r="D1731" t="s">
        <v>1757</v>
      </c>
      <c r="E1731" t="str">
        <f t="shared" si="1796"/>
        <v>PJ/yr.</v>
      </c>
      <c r="F1731" s="1">
        <f t="shared" si="1811"/>
        <v>118.81618615236589</v>
      </c>
      <c r="G1731" s="1">
        <f t="shared" si="1811"/>
        <v>106.72001471923431</v>
      </c>
      <c r="H1731" s="1">
        <f t="shared" si="1811"/>
        <v>106.22916669823748</v>
      </c>
      <c r="I1731" s="1">
        <f t="shared" si="1811"/>
        <v>78.583730394163766</v>
      </c>
      <c r="J1731" s="1">
        <f t="shared" si="1811"/>
        <v>52.826233381902355</v>
      </c>
      <c r="K1731" s="1">
        <f t="shared" si="1811"/>
        <v>14.454587504755274</v>
      </c>
      <c r="L1731" s="1">
        <f t="shared" ref="L1731" si="1817">L42</f>
        <v>0</v>
      </c>
      <c r="N1731" s="1"/>
    </row>
    <row r="1732" spans="2:14" x14ac:dyDescent="0.35">
      <c r="B1732" t="str">
        <f t="shared" si="1794"/>
        <v>SPS1</v>
      </c>
      <c r="C1732" t="str">
        <f t="shared" si="1795"/>
        <v>CH</v>
      </c>
      <c r="D1732" t="s">
        <v>1758</v>
      </c>
      <c r="E1732" t="str">
        <f t="shared" si="1796"/>
        <v>PJ/yr.</v>
      </c>
      <c r="F1732" s="1">
        <f t="shared" si="1811"/>
        <v>118.81618615236589</v>
      </c>
      <c r="G1732" s="1">
        <f t="shared" si="1811"/>
        <v>106.72001471923431</v>
      </c>
      <c r="H1732" s="1">
        <f t="shared" si="1811"/>
        <v>106.22916669823748</v>
      </c>
      <c r="I1732" s="1">
        <f t="shared" si="1811"/>
        <v>78.53998988218585</v>
      </c>
      <c r="J1732" s="1">
        <f t="shared" si="1811"/>
        <v>52.82409856135979</v>
      </c>
      <c r="K1732" s="1">
        <f t="shared" si="1811"/>
        <v>14.453056363863764</v>
      </c>
      <c r="L1732" s="1">
        <f t="shared" ref="L1732" si="1818">L43</f>
        <v>0</v>
      </c>
      <c r="N1732" s="1"/>
    </row>
    <row r="1733" spans="2:14" x14ac:dyDescent="0.35">
      <c r="B1733" t="str">
        <f t="shared" si="1794"/>
        <v>SPS1</v>
      </c>
      <c r="C1733" t="str">
        <f t="shared" si="1795"/>
        <v>CH</v>
      </c>
      <c r="D1733" t="s">
        <v>1759</v>
      </c>
      <c r="E1733" t="str">
        <f t="shared" si="1796"/>
        <v>PJ/yr.</v>
      </c>
      <c r="F1733" s="1">
        <f t="shared" si="1811"/>
        <v>0</v>
      </c>
      <c r="G1733" s="1">
        <f t="shared" si="1811"/>
        <v>0</v>
      </c>
      <c r="H1733" s="1">
        <f t="shared" si="1811"/>
        <v>0</v>
      </c>
      <c r="I1733" s="1">
        <f t="shared" si="1811"/>
        <v>4.3740511977914093E-2</v>
      </c>
      <c r="J1733" s="1">
        <f t="shared" si="1811"/>
        <v>2.1348205425635309E-3</v>
      </c>
      <c r="K1733" s="1">
        <f t="shared" si="1811"/>
        <v>1.5311408915099089E-3</v>
      </c>
      <c r="L1733" s="1">
        <f t="shared" ref="L1733" si="1819">L44</f>
        <v>0</v>
      </c>
      <c r="N1733" s="1"/>
    </row>
    <row r="1734" spans="2:14" x14ac:dyDescent="0.35">
      <c r="B1734" t="str">
        <f t="shared" si="1794"/>
        <v>SPS1</v>
      </c>
      <c r="C1734" t="str">
        <f t="shared" si="1795"/>
        <v>CH</v>
      </c>
      <c r="D1734" t="s">
        <v>1760</v>
      </c>
      <c r="E1734" t="str">
        <f t="shared" si="1796"/>
        <v>PJ/yr.</v>
      </c>
      <c r="F1734" s="1">
        <f t="shared" si="1811"/>
        <v>0</v>
      </c>
      <c r="G1734" s="1">
        <f t="shared" si="1811"/>
        <v>1.7812515109373096E-3</v>
      </c>
      <c r="H1734" s="1">
        <f t="shared" si="1811"/>
        <v>1.6722916026538155E-3</v>
      </c>
      <c r="I1734" s="1">
        <f t="shared" si="1811"/>
        <v>0.5272228946970724</v>
      </c>
      <c r="J1734" s="1">
        <f t="shared" si="1811"/>
        <v>1.2763821518397382</v>
      </c>
      <c r="K1734" s="1">
        <f t="shared" si="1811"/>
        <v>1.4330798063217909</v>
      </c>
      <c r="L1734" s="1">
        <f t="shared" ref="L1734" si="1820">L45</f>
        <v>1.4205634316708096</v>
      </c>
      <c r="N1734" s="1"/>
    </row>
    <row r="1735" spans="2:14" x14ac:dyDescent="0.35">
      <c r="B1735" t="str">
        <f t="shared" si="1794"/>
        <v>SPS1</v>
      </c>
      <c r="C1735" t="str">
        <f t="shared" si="1795"/>
        <v>CH</v>
      </c>
      <c r="D1735" t="s">
        <v>1761</v>
      </c>
      <c r="E1735" t="str">
        <f t="shared" si="1796"/>
        <v>PJ/yr.</v>
      </c>
      <c r="F1735" s="1">
        <f t="shared" si="1811"/>
        <v>0</v>
      </c>
      <c r="G1735" s="1">
        <f t="shared" si="1811"/>
        <v>1.7812515109373096E-3</v>
      </c>
      <c r="H1735" s="1">
        <f t="shared" si="1811"/>
        <v>1.6722916026538155E-3</v>
      </c>
      <c r="I1735" s="1">
        <f t="shared" si="1811"/>
        <v>0.5272228946970724</v>
      </c>
      <c r="J1735" s="1">
        <f t="shared" si="1811"/>
        <v>0.5272228946970724</v>
      </c>
      <c r="K1735" s="1">
        <f t="shared" si="1811"/>
        <v>1.2763821518397382</v>
      </c>
      <c r="L1735" s="1">
        <f t="shared" ref="L1735" si="1821">L46</f>
        <v>1.4205634316708096</v>
      </c>
      <c r="N1735" s="1"/>
    </row>
    <row r="1736" spans="2:14" x14ac:dyDescent="0.35">
      <c r="B1736" t="str">
        <f t="shared" si="1794"/>
        <v>SPS1</v>
      </c>
      <c r="C1736" t="str">
        <f t="shared" si="1795"/>
        <v>CH</v>
      </c>
      <c r="D1736" t="s">
        <v>1762</v>
      </c>
      <c r="E1736" t="str">
        <f t="shared" si="1796"/>
        <v>PJ/yr.</v>
      </c>
      <c r="F1736" s="1">
        <f t="shared" si="1811"/>
        <v>0</v>
      </c>
      <c r="G1736" s="1">
        <f t="shared" si="1811"/>
        <v>1.7812515109373096E-3</v>
      </c>
      <c r="H1736" s="1">
        <f t="shared" si="1811"/>
        <v>1.6722916026538155E-3</v>
      </c>
      <c r="I1736" s="1">
        <f t="shared" si="1811"/>
        <v>0.5272228946970724</v>
      </c>
      <c r="J1736" s="1">
        <f t="shared" si="1811"/>
        <v>0.5272228946970724</v>
      </c>
      <c r="K1736" s="1">
        <f t="shared" si="1811"/>
        <v>1.2763821518397382</v>
      </c>
      <c r="L1736" s="1">
        <f t="shared" ref="L1736" si="1822">L47</f>
        <v>1.4205634316708096</v>
      </c>
      <c r="N1736" s="1"/>
    </row>
    <row r="1737" spans="2:14" x14ac:dyDescent="0.35">
      <c r="B1737" t="str">
        <f t="shared" si="1794"/>
        <v>SPS1</v>
      </c>
      <c r="C1737" t="str">
        <f t="shared" si="1795"/>
        <v>CH</v>
      </c>
      <c r="D1737" t="s">
        <v>1763</v>
      </c>
      <c r="E1737" t="str">
        <f t="shared" si="1796"/>
        <v>PJ/yr.</v>
      </c>
      <c r="F1737" s="1">
        <f t="shared" si="1811"/>
        <v>0</v>
      </c>
      <c r="G1737" s="1">
        <f t="shared" si="1811"/>
        <v>0</v>
      </c>
      <c r="H1737" s="1">
        <f t="shared" si="1811"/>
        <v>0</v>
      </c>
      <c r="I1737" s="1">
        <f t="shared" si="1811"/>
        <v>0</v>
      </c>
      <c r="J1737" s="1">
        <f t="shared" si="1811"/>
        <v>0.74915925714266585</v>
      </c>
      <c r="K1737" s="1">
        <f t="shared" si="1811"/>
        <v>0.15669765448205264</v>
      </c>
      <c r="L1737" s="1">
        <f t="shared" ref="L1737" si="1823">L48</f>
        <v>0</v>
      </c>
      <c r="N1737" s="1"/>
    </row>
    <row r="1738" spans="2:14" x14ac:dyDescent="0.35">
      <c r="B1738" t="str">
        <f t="shared" si="1794"/>
        <v>SPS1</v>
      </c>
      <c r="C1738" t="str">
        <f t="shared" si="1795"/>
        <v>CH</v>
      </c>
      <c r="D1738" t="s">
        <v>1764</v>
      </c>
      <c r="E1738" t="str">
        <f t="shared" si="1796"/>
        <v>PJ/yr.</v>
      </c>
      <c r="F1738" s="1">
        <f t="shared" si="1811"/>
        <v>0</v>
      </c>
      <c r="G1738" s="1">
        <f t="shared" si="1811"/>
        <v>0</v>
      </c>
      <c r="H1738" s="1">
        <f t="shared" si="1811"/>
        <v>0</v>
      </c>
      <c r="I1738" s="1">
        <f t="shared" si="1811"/>
        <v>0</v>
      </c>
      <c r="J1738" s="1">
        <f t="shared" si="1811"/>
        <v>0.74915925714266585</v>
      </c>
      <c r="K1738" s="1">
        <f t="shared" si="1811"/>
        <v>0.15669765448205264</v>
      </c>
      <c r="L1738" s="1">
        <f t="shared" ref="L1738" si="1824">L49</f>
        <v>0</v>
      </c>
      <c r="N1738" s="1"/>
    </row>
    <row r="1739" spans="2:14" x14ac:dyDescent="0.35">
      <c r="B1739" t="str">
        <f t="shared" si="1794"/>
        <v>SPS1</v>
      </c>
      <c r="C1739" t="str">
        <f t="shared" si="1795"/>
        <v>CH</v>
      </c>
      <c r="D1739" t="s">
        <v>1765</v>
      </c>
      <c r="E1739" t="str">
        <f t="shared" si="1796"/>
        <v>PJ/yr.</v>
      </c>
      <c r="F1739" s="1">
        <f t="shared" si="1811"/>
        <v>250.9487170795704</v>
      </c>
      <c r="G1739" s="1">
        <f t="shared" si="1811"/>
        <v>253.29674232384011</v>
      </c>
      <c r="H1739" s="1">
        <f t="shared" si="1811"/>
        <v>233.18388719099895</v>
      </c>
      <c r="I1739" s="1">
        <f t="shared" si="1811"/>
        <v>211.82169140682569</v>
      </c>
      <c r="J1739" s="1">
        <f t="shared" si="1811"/>
        <v>190.4978221908591</v>
      </c>
      <c r="K1739" s="1">
        <f t="shared" si="1811"/>
        <v>190.48508938193655</v>
      </c>
      <c r="L1739" s="1">
        <f t="shared" ref="L1739" si="1825">L50</f>
        <v>102.30469192810477</v>
      </c>
      <c r="N1739" s="1"/>
    </row>
    <row r="1740" spans="2:14" x14ac:dyDescent="0.35">
      <c r="B1740" t="str">
        <f t="shared" si="1794"/>
        <v>SPS1</v>
      </c>
      <c r="C1740" t="str">
        <f t="shared" si="1795"/>
        <v>CH</v>
      </c>
      <c r="D1740" t="s">
        <v>1766</v>
      </c>
      <c r="E1740" t="str">
        <f t="shared" si="1796"/>
        <v>PJ/yr.</v>
      </c>
      <c r="F1740" s="1">
        <f t="shared" ref="F1740:K1740" si="1826">-F58+F51</f>
        <v>-20.010090782514297</v>
      </c>
      <c r="G1740" s="1">
        <f t="shared" si="1826"/>
        <v>15.400165557285618</v>
      </c>
      <c r="H1740" s="1">
        <f t="shared" si="1826"/>
        <v>-21.503695917221677</v>
      </c>
      <c r="I1740" s="1">
        <f t="shared" si="1826"/>
        <v>-1.9997777203666089</v>
      </c>
      <c r="J1740" s="1">
        <f t="shared" si="1826"/>
        <v>16.982194014283884</v>
      </c>
      <c r="K1740" s="1">
        <f t="shared" si="1826"/>
        <v>-1.9999996841329306</v>
      </c>
      <c r="L1740" s="1">
        <f t="shared" ref="L1740" si="1827">-L58+L51</f>
        <v>-2.0000000700891221</v>
      </c>
      <c r="N1740" s="1"/>
    </row>
    <row r="1741" spans="2:14" x14ac:dyDescent="0.35">
      <c r="B1741" t="str">
        <f t="shared" si="1794"/>
        <v>SPS1</v>
      </c>
      <c r="C1741" t="str">
        <f t="shared" si="1795"/>
        <v>CH</v>
      </c>
      <c r="D1741" t="s">
        <v>1767</v>
      </c>
      <c r="E1741" t="str">
        <f t="shared" si="1796"/>
        <v>PJ/yr.</v>
      </c>
      <c r="F1741" s="1">
        <f t="shared" ref="F1741:K1741" si="1828">F56</f>
        <v>0</v>
      </c>
      <c r="G1741" s="1">
        <f t="shared" si="1828"/>
        <v>0</v>
      </c>
      <c r="H1741" s="1">
        <f t="shared" si="1828"/>
        <v>0</v>
      </c>
      <c r="I1741" s="1">
        <f t="shared" si="1828"/>
        <v>0</v>
      </c>
      <c r="J1741" s="1">
        <f t="shared" si="1828"/>
        <v>0</v>
      </c>
      <c r="K1741" s="1">
        <f t="shared" si="1828"/>
        <v>0</v>
      </c>
      <c r="L1741" s="1">
        <f t="shared" ref="L1741" si="1829">L56</f>
        <v>0</v>
      </c>
      <c r="N1741" s="1"/>
    </row>
    <row r="1742" spans="2:14" x14ac:dyDescent="0.35">
      <c r="B1742" t="str">
        <f t="shared" si="1794"/>
        <v>SPS1</v>
      </c>
      <c r="C1742" t="str">
        <f t="shared" si="1795"/>
        <v>CH</v>
      </c>
      <c r="D1742" t="s">
        <v>1769</v>
      </c>
      <c r="E1742" t="str">
        <f t="shared" ref="E1742:K1751" si="1830">E3</f>
        <v>PJ/yr.</v>
      </c>
      <c r="F1742" s="1">
        <f t="shared" si="1830"/>
        <v>46.334115216000257</v>
      </c>
      <c r="G1742" s="1">
        <f t="shared" si="1830"/>
        <v>50.490587884073356</v>
      </c>
      <c r="H1742" s="1">
        <f t="shared" si="1830"/>
        <v>53.544916746486351</v>
      </c>
      <c r="I1742" s="1">
        <f t="shared" si="1830"/>
        <v>53.546451685739477</v>
      </c>
      <c r="J1742" s="1">
        <f t="shared" si="1830"/>
        <v>53.533503363728187</v>
      </c>
      <c r="K1742" s="1">
        <f t="shared" si="1830"/>
        <v>53.533511276656583</v>
      </c>
      <c r="L1742" s="1">
        <f t="shared" ref="L1742" si="1831">L3</f>
        <v>53.53351533873127</v>
      </c>
      <c r="N1742" s="1"/>
    </row>
    <row r="1743" spans="2:14" x14ac:dyDescent="0.35">
      <c r="B1743" t="str">
        <f t="shared" si="1794"/>
        <v>SPS1</v>
      </c>
      <c r="C1743" t="str">
        <f t="shared" si="1795"/>
        <v>CH</v>
      </c>
      <c r="D1743" t="s">
        <v>1770</v>
      </c>
      <c r="E1743" t="str">
        <f t="shared" si="1830"/>
        <v>PJ/yr.</v>
      </c>
      <c r="F1743" s="1">
        <f t="shared" si="1830"/>
        <v>11.111976141568594</v>
      </c>
      <c r="G1743" s="1">
        <f t="shared" si="1830"/>
        <v>11.952923578006255</v>
      </c>
      <c r="H1743" s="1">
        <f t="shared" si="1830"/>
        <v>13.357213022457403</v>
      </c>
      <c r="I1743" s="1">
        <f t="shared" si="1830"/>
        <v>15.656186912610261</v>
      </c>
      <c r="J1743" s="1">
        <f t="shared" si="1830"/>
        <v>16.424570315265452</v>
      </c>
      <c r="K1743" s="1">
        <f t="shared" si="1830"/>
        <v>17.113643085642458</v>
      </c>
      <c r="L1743" s="1">
        <f t="shared" ref="L1743" si="1832">L4</f>
        <v>18.429672360527391</v>
      </c>
      <c r="N1743" s="1"/>
    </row>
    <row r="1744" spans="2:14" x14ac:dyDescent="0.35">
      <c r="B1744" t="str">
        <f t="shared" si="1794"/>
        <v>SPS1</v>
      </c>
      <c r="C1744" t="str">
        <f t="shared" si="1795"/>
        <v>CH</v>
      </c>
      <c r="D1744" t="s">
        <v>1771</v>
      </c>
      <c r="E1744" t="str">
        <f t="shared" si="1830"/>
        <v>PJ/yr.</v>
      </c>
      <c r="F1744" s="1">
        <f t="shared" si="1830"/>
        <v>7.5117708343997647</v>
      </c>
      <c r="G1744" s="1">
        <f t="shared" si="1830"/>
        <v>7.5431833211157198</v>
      </c>
      <c r="H1744" s="1">
        <f t="shared" si="1830"/>
        <v>7.5903684650464012</v>
      </c>
      <c r="I1744" s="1">
        <f t="shared" si="1830"/>
        <v>7.6690331077722877</v>
      </c>
      <c r="J1744" s="1">
        <f t="shared" si="1830"/>
        <v>7.6690271300403188</v>
      </c>
      <c r="K1744" s="1">
        <f t="shared" si="1830"/>
        <v>7.6690272116527298</v>
      </c>
      <c r="L1744" s="1">
        <f t="shared" ref="L1744" si="1833">L5</f>
        <v>7.6690277106077609</v>
      </c>
      <c r="N1744" s="1"/>
    </row>
    <row r="1745" spans="2:14" x14ac:dyDescent="0.35">
      <c r="B1745" t="str">
        <f t="shared" si="1794"/>
        <v>SPS1</v>
      </c>
      <c r="C1745" t="str">
        <f t="shared" si="1795"/>
        <v>CH</v>
      </c>
      <c r="D1745" t="s">
        <v>1772</v>
      </c>
      <c r="E1745" t="str">
        <f t="shared" si="1830"/>
        <v>PJ/yr.</v>
      </c>
      <c r="F1745" s="1">
        <f t="shared" si="1830"/>
        <v>3.1683463948340496</v>
      </c>
      <c r="G1745" s="1">
        <f t="shared" si="1830"/>
        <v>3.4957144759587795</v>
      </c>
      <c r="H1745" s="1">
        <f t="shared" si="1830"/>
        <v>3.9868298124432071</v>
      </c>
      <c r="I1745" s="1">
        <f t="shared" si="1830"/>
        <v>4.805389453080994</v>
      </c>
      <c r="J1745" s="1">
        <f t="shared" si="1830"/>
        <v>4.8053862902790394</v>
      </c>
      <c r="K1745" s="1">
        <f t="shared" si="1830"/>
        <v>4.8053862695841012</v>
      </c>
      <c r="L1745" s="1">
        <f t="shared" ref="L1745" si="1834">L6</f>
        <v>4.8053860791299483</v>
      </c>
      <c r="N1745" s="1"/>
    </row>
    <row r="1746" spans="2:14" x14ac:dyDescent="0.35">
      <c r="B1746" t="str">
        <f t="shared" si="1794"/>
        <v>SPS1</v>
      </c>
      <c r="C1746" t="str">
        <f t="shared" si="1795"/>
        <v>CH</v>
      </c>
      <c r="D1746" t="s">
        <v>1773</v>
      </c>
      <c r="E1746" t="str">
        <f t="shared" si="1830"/>
        <v>PJ/yr.</v>
      </c>
      <c r="F1746" s="1">
        <f t="shared" si="1830"/>
        <v>24.542021845197844</v>
      </c>
      <c r="G1746" s="1">
        <f t="shared" si="1830"/>
        <v>27.498766508992603</v>
      </c>
      <c r="H1746" s="1">
        <f t="shared" si="1830"/>
        <v>28.610505446539335</v>
      </c>
      <c r="I1746" s="1">
        <f t="shared" si="1830"/>
        <v>25.415842212275933</v>
      </c>
      <c r="J1746" s="1">
        <f t="shared" si="1830"/>
        <v>24.63451962814338</v>
      </c>
      <c r="K1746" s="1">
        <f t="shared" si="1830"/>
        <v>23.945454709777298</v>
      </c>
      <c r="L1746" s="1">
        <f t="shared" ref="L1746" si="1835">L7</f>
        <v>22.629429188466169</v>
      </c>
      <c r="N1746" s="1"/>
    </row>
    <row r="1747" spans="2:14" x14ac:dyDescent="0.35">
      <c r="B1747" t="str">
        <f t="shared" si="1794"/>
        <v>SPS1</v>
      </c>
      <c r="C1747" t="str">
        <f t="shared" si="1795"/>
        <v>CH</v>
      </c>
      <c r="D1747" t="s">
        <v>1774</v>
      </c>
      <c r="E1747" t="str">
        <f t="shared" si="1830"/>
        <v>PJ/yr.</v>
      </c>
      <c r="F1747" s="1">
        <f t="shared" si="1830"/>
        <v>70.032086744262159</v>
      </c>
      <c r="G1747" s="1">
        <f t="shared" si="1830"/>
        <v>71.224290096672604</v>
      </c>
      <c r="H1747" s="1">
        <f t="shared" si="1830"/>
        <v>71.066649647055769</v>
      </c>
      <c r="I1747" s="1">
        <f t="shared" si="1830"/>
        <v>74.271072997039468</v>
      </c>
      <c r="J1747" s="1">
        <f t="shared" si="1830"/>
        <v>72.247743178266461</v>
      </c>
      <c r="K1747" s="1">
        <f t="shared" si="1830"/>
        <v>79.195696991397796</v>
      </c>
      <c r="L1747" s="1">
        <f t="shared" ref="L1747" si="1836">L8</f>
        <v>83.827962758576518</v>
      </c>
      <c r="N1747" s="1"/>
    </row>
    <row r="1748" spans="2:14" x14ac:dyDescent="0.35">
      <c r="B1748" t="str">
        <f t="shared" si="1794"/>
        <v>SPS1</v>
      </c>
      <c r="C1748" t="str">
        <f t="shared" si="1795"/>
        <v>CH</v>
      </c>
      <c r="D1748" t="s">
        <v>1775</v>
      </c>
      <c r="E1748" t="str">
        <f t="shared" si="1830"/>
        <v>PJ/yr.</v>
      </c>
      <c r="F1748" s="1">
        <f t="shared" si="1830"/>
        <v>35.931415647284581</v>
      </c>
      <c r="G1748" s="1">
        <f t="shared" si="1830"/>
        <v>36.121600754240653</v>
      </c>
      <c r="H1748" s="1">
        <f t="shared" si="1830"/>
        <v>35.963639011507908</v>
      </c>
      <c r="I1748" s="1">
        <f t="shared" si="1830"/>
        <v>37.032765660388442</v>
      </c>
      <c r="J1748" s="1">
        <f t="shared" si="1830"/>
        <v>34.937585841478423</v>
      </c>
      <c r="K1748" s="1">
        <f t="shared" si="1830"/>
        <v>38.082488924625189</v>
      </c>
      <c r="L1748" s="1">
        <f t="shared" ref="L1748" si="1837">L9</f>
        <v>39.221621170918688</v>
      </c>
      <c r="N1748" s="1"/>
    </row>
    <row r="1749" spans="2:14" x14ac:dyDescent="0.35">
      <c r="B1749" t="str">
        <f t="shared" si="1794"/>
        <v>SPS1</v>
      </c>
      <c r="C1749" t="str">
        <f t="shared" si="1795"/>
        <v>CH</v>
      </c>
      <c r="D1749" t="s">
        <v>1776</v>
      </c>
      <c r="E1749" t="str">
        <f t="shared" si="1830"/>
        <v>PJ/yr.</v>
      </c>
      <c r="F1749" s="1">
        <f t="shared" si="1830"/>
        <v>34.100671096977578</v>
      </c>
      <c r="G1749" s="1">
        <f t="shared" si="1830"/>
        <v>35.102689342431958</v>
      </c>
      <c r="H1749" s="1">
        <f t="shared" si="1830"/>
        <v>35.103010635547861</v>
      </c>
      <c r="I1749" s="1">
        <f t="shared" si="1830"/>
        <v>37.238307336651026</v>
      </c>
      <c r="J1749" s="1">
        <f t="shared" si="1830"/>
        <v>37.310157336788031</v>
      </c>
      <c r="K1749" s="1">
        <f t="shared" si="1830"/>
        <v>41.113208066772614</v>
      </c>
      <c r="L1749" s="1">
        <f t="shared" ref="L1749" si="1838">L10</f>
        <v>44.606341587657838</v>
      </c>
      <c r="N1749" s="1"/>
    </row>
    <row r="1750" spans="2:14" x14ac:dyDescent="0.35">
      <c r="B1750" t="str">
        <f t="shared" si="1794"/>
        <v>SPS1</v>
      </c>
      <c r="C1750" t="str">
        <f t="shared" si="1795"/>
        <v>CH</v>
      </c>
      <c r="D1750" t="s">
        <v>1777</v>
      </c>
      <c r="E1750" t="str">
        <f t="shared" si="1830"/>
        <v>PJ/yr.</v>
      </c>
      <c r="F1750" s="1">
        <f t="shared" si="1830"/>
        <v>3.7982918878914633</v>
      </c>
      <c r="G1750" s="1">
        <f t="shared" si="1830"/>
        <v>12.540359083790694</v>
      </c>
      <c r="H1750" s="1">
        <f t="shared" si="1830"/>
        <v>12.540421416964007</v>
      </c>
      <c r="I1750" s="1">
        <f t="shared" si="1830"/>
        <v>12.540431121177249</v>
      </c>
      <c r="J1750" s="1">
        <f t="shared" si="1830"/>
        <v>12.540430762020369</v>
      </c>
      <c r="K1750" s="1">
        <f t="shared" si="1830"/>
        <v>14.632483806504945</v>
      </c>
      <c r="L1750" s="1">
        <f t="shared" ref="L1750" si="1839">L11</f>
        <v>14.632491929063768</v>
      </c>
      <c r="N1750" s="1"/>
    </row>
    <row r="1751" spans="2:14" x14ac:dyDescent="0.35">
      <c r="B1751" t="str">
        <f t="shared" si="1794"/>
        <v>SPS1</v>
      </c>
      <c r="C1751" t="str">
        <f t="shared" si="1795"/>
        <v>CH</v>
      </c>
      <c r="D1751" t="s">
        <v>1778</v>
      </c>
      <c r="E1751" t="str">
        <f t="shared" si="1830"/>
        <v>PJ/yr.</v>
      </c>
      <c r="F1751" s="1">
        <f t="shared" si="1830"/>
        <v>149.43060968985017</v>
      </c>
      <c r="G1751" s="1">
        <f t="shared" si="1830"/>
        <v>125.65124522840297</v>
      </c>
      <c r="H1751" s="1">
        <f t="shared" si="1830"/>
        <v>137.72924305395776</v>
      </c>
      <c r="I1751" s="1">
        <f t="shared" si="1830"/>
        <v>191.68914738393363</v>
      </c>
      <c r="J1751" s="1">
        <f t="shared" si="1830"/>
        <v>152.50297506255069</v>
      </c>
      <c r="K1751" s="1">
        <f t="shared" si="1830"/>
        <v>154.88647956261917</v>
      </c>
      <c r="L1751" s="1">
        <f t="shared" ref="L1751" si="1840">L12</f>
        <v>158.90458366536896</v>
      </c>
      <c r="N1751" s="1"/>
    </row>
    <row r="1752" spans="2:14" x14ac:dyDescent="0.35">
      <c r="B1752" t="str">
        <f t="shared" si="1794"/>
        <v>SPS1</v>
      </c>
      <c r="C1752" t="str">
        <f t="shared" si="1795"/>
        <v>CH</v>
      </c>
      <c r="D1752" t="s">
        <v>1779</v>
      </c>
      <c r="E1752" t="str">
        <f t="shared" ref="E1752:K1758" si="1841">E13</f>
        <v>PJ/yr.</v>
      </c>
      <c r="F1752" s="1">
        <f t="shared" si="1841"/>
        <v>66.745681606063101</v>
      </c>
      <c r="G1752" s="1">
        <f t="shared" si="1841"/>
        <v>49.798777987808691</v>
      </c>
      <c r="H1752" s="1">
        <f t="shared" si="1841"/>
        <v>68.970400584037336</v>
      </c>
      <c r="I1752" s="1">
        <f t="shared" si="1841"/>
        <v>70.970232393460137</v>
      </c>
      <c r="J1752" s="1">
        <f t="shared" si="1841"/>
        <v>71.44644713286462</v>
      </c>
      <c r="K1752" s="1">
        <f t="shared" si="1841"/>
        <v>73.932924658636495</v>
      </c>
      <c r="L1752" s="1">
        <f t="shared" ref="L1752" si="1842">L13</f>
        <v>74.836056776230464</v>
      </c>
      <c r="N1752" s="1"/>
    </row>
    <row r="1753" spans="2:14" x14ac:dyDescent="0.35">
      <c r="B1753" t="str">
        <f t="shared" si="1794"/>
        <v>SPS1</v>
      </c>
      <c r="C1753" t="str">
        <f t="shared" si="1795"/>
        <v>CH</v>
      </c>
      <c r="D1753" t="s">
        <v>1780</v>
      </c>
      <c r="E1753" t="str">
        <f t="shared" si="1841"/>
        <v>PJ/yr.</v>
      </c>
      <c r="F1753" s="1">
        <f t="shared" si="1841"/>
        <v>66.632430866657671</v>
      </c>
      <c r="G1753" s="1">
        <f t="shared" si="1841"/>
        <v>55.764055694378619</v>
      </c>
      <c r="H1753" s="1">
        <f t="shared" si="1841"/>
        <v>65.677217745587797</v>
      </c>
      <c r="I1753" s="1">
        <f t="shared" si="1841"/>
        <v>64.853740316850036</v>
      </c>
      <c r="J1753" s="1">
        <f t="shared" si="1841"/>
        <v>65.039957519478904</v>
      </c>
      <c r="K1753" s="1">
        <f t="shared" si="1841"/>
        <v>64.381689547413231</v>
      </c>
      <c r="L1753" s="1">
        <f t="shared" ref="L1753" si="1843">L14</f>
        <v>67.134973788047233</v>
      </c>
      <c r="N1753" s="1"/>
    </row>
    <row r="1754" spans="2:14" x14ac:dyDescent="0.35">
      <c r="B1754" t="str">
        <f t="shared" si="1794"/>
        <v>SPS1</v>
      </c>
      <c r="C1754" t="str">
        <f t="shared" si="1795"/>
        <v>CH</v>
      </c>
      <c r="D1754" t="s">
        <v>1781</v>
      </c>
      <c r="E1754" t="str">
        <f t="shared" si="1841"/>
        <v>PJ/yr.</v>
      </c>
      <c r="F1754" s="1">
        <f t="shared" si="1841"/>
        <v>16.052497217129396</v>
      </c>
      <c r="G1754" s="1">
        <f t="shared" si="1841"/>
        <v>20.088411546215649</v>
      </c>
      <c r="H1754" s="1">
        <f t="shared" si="1841"/>
        <v>3.0816247243326447</v>
      </c>
      <c r="I1754" s="1">
        <f t="shared" si="1841"/>
        <v>55.865174673623464</v>
      </c>
      <c r="J1754" s="1">
        <f t="shared" si="1841"/>
        <v>16.016570410207162</v>
      </c>
      <c r="K1754" s="1">
        <f t="shared" si="1841"/>
        <v>16.571865356569432</v>
      </c>
      <c r="L1754" s="1">
        <f t="shared" ref="L1754" si="1844">L15</f>
        <v>16.93355310109126</v>
      </c>
      <c r="N1754" s="1"/>
    </row>
    <row r="1755" spans="2:14" x14ac:dyDescent="0.35">
      <c r="B1755" t="str">
        <f t="shared" si="1794"/>
        <v>SPS1</v>
      </c>
      <c r="C1755" t="str">
        <f t="shared" si="1795"/>
        <v>CH</v>
      </c>
      <c r="D1755" t="s">
        <v>1782</v>
      </c>
      <c r="E1755" t="str">
        <f t="shared" si="1841"/>
        <v>PJ/yr.</v>
      </c>
      <c r="F1755" s="1">
        <f t="shared" si="1841"/>
        <v>12.557136404926036</v>
      </c>
      <c r="G1755" s="1">
        <f t="shared" si="1841"/>
        <v>16.525178250020552</v>
      </c>
      <c r="H1755" s="1">
        <f t="shared" si="1841"/>
        <v>30.421478522021395</v>
      </c>
      <c r="I1755" s="1">
        <f t="shared" si="1841"/>
        <v>56.344572823422311</v>
      </c>
      <c r="J1755" s="1">
        <f t="shared" si="1841"/>
        <v>59.545466727115873</v>
      </c>
      <c r="K1755" s="1">
        <f t="shared" si="1841"/>
        <v>122.30163088293489</v>
      </c>
      <c r="L1755" s="1">
        <f t="shared" ref="L1755" si="1845">L16</f>
        <v>148.23225676488994</v>
      </c>
      <c r="N1755" s="1"/>
    </row>
    <row r="1756" spans="2:14" x14ac:dyDescent="0.35">
      <c r="B1756" t="str">
        <f t="shared" si="1794"/>
        <v>SPS1</v>
      </c>
      <c r="C1756" t="str">
        <f t="shared" si="1795"/>
        <v>CH</v>
      </c>
      <c r="D1756" t="s">
        <v>1783</v>
      </c>
      <c r="E1756" t="str">
        <f t="shared" si="1841"/>
        <v>PJ/yr.</v>
      </c>
      <c r="F1756" s="1">
        <f t="shared" si="1841"/>
        <v>0.52448853879067292</v>
      </c>
      <c r="G1756" s="1">
        <f t="shared" si="1841"/>
        <v>0.54536871651479635</v>
      </c>
      <c r="H1756" s="1">
        <f t="shared" si="1841"/>
        <v>0.50324133458982423</v>
      </c>
      <c r="I1756" s="1">
        <f t="shared" si="1841"/>
        <v>2.0507563360817489</v>
      </c>
      <c r="J1756" s="1">
        <f t="shared" si="1841"/>
        <v>0.88236223827003468</v>
      </c>
      <c r="K1756" s="1">
        <f t="shared" si="1841"/>
        <v>0.88262132360875489</v>
      </c>
      <c r="L1756" s="1">
        <f t="shared" ref="L1756" si="1846">L17</f>
        <v>0.88263802244293388</v>
      </c>
      <c r="N1756" s="1"/>
    </row>
    <row r="1757" spans="2:14" x14ac:dyDescent="0.35">
      <c r="B1757" t="str">
        <f t="shared" si="1794"/>
        <v>SPS1</v>
      </c>
      <c r="C1757" t="str">
        <f t="shared" si="1795"/>
        <v>CH</v>
      </c>
      <c r="D1757" t="s">
        <v>1784</v>
      </c>
      <c r="E1757" t="str">
        <f t="shared" si="1841"/>
        <v>PJ/yr.</v>
      </c>
      <c r="F1757" s="1">
        <f t="shared" si="1841"/>
        <v>18.874840002774317</v>
      </c>
      <c r="G1757" s="1">
        <f t="shared" si="1841"/>
        <v>21.791946008281279</v>
      </c>
      <c r="H1757" s="1">
        <f t="shared" si="1841"/>
        <v>32.398774427637392</v>
      </c>
      <c r="I1757" s="1">
        <f t="shared" si="1841"/>
        <v>54.41742758755997</v>
      </c>
      <c r="J1757" s="1">
        <f t="shared" si="1841"/>
        <v>67.215216037291484</v>
      </c>
      <c r="K1757" s="1">
        <f t="shared" si="1841"/>
        <v>83.936062439106948</v>
      </c>
      <c r="L1757" s="1">
        <f t="shared" ref="L1757" si="1847">L18</f>
        <v>93.248149936457978</v>
      </c>
      <c r="N1757" s="1"/>
    </row>
    <row r="1758" spans="2:14" x14ac:dyDescent="0.35">
      <c r="B1758" t="str">
        <f t="shared" si="1794"/>
        <v>SPS1</v>
      </c>
      <c r="C1758" t="str">
        <f t="shared" si="1795"/>
        <v>CH</v>
      </c>
      <c r="D1758" t="s">
        <v>1785</v>
      </c>
      <c r="E1758" t="str">
        <f t="shared" si="1841"/>
        <v>PJ/yr.</v>
      </c>
      <c r="F1758" s="1">
        <f t="shared" si="1841"/>
        <v>0</v>
      </c>
      <c r="G1758" s="1">
        <f t="shared" si="1841"/>
        <v>0</v>
      </c>
      <c r="H1758" s="1">
        <f t="shared" si="1841"/>
        <v>0</v>
      </c>
      <c r="I1758" s="1">
        <f t="shared" si="1841"/>
        <v>0</v>
      </c>
      <c r="J1758" s="1">
        <f t="shared" si="1841"/>
        <v>0</v>
      </c>
      <c r="K1758" s="1">
        <f t="shared" si="1841"/>
        <v>9.4748350035984332E-3</v>
      </c>
      <c r="L1758" s="1">
        <f t="shared" ref="L1758" si="1848">L19</f>
        <v>5.9867333897605401E-2</v>
      </c>
      <c r="N1758" s="1"/>
    </row>
    <row r="1759" spans="2:14" x14ac:dyDescent="0.35">
      <c r="B1759" s="9" t="str">
        <f t="shared" si="1794"/>
        <v>SPS1</v>
      </c>
      <c r="C1759" s="2" t="str">
        <f t="shared" si="1795"/>
        <v>CH</v>
      </c>
      <c r="D1759" s="2" t="s">
        <v>1788</v>
      </c>
      <c r="E1759" s="2" t="s">
        <v>1857</v>
      </c>
      <c r="F1759" s="3">
        <f t="shared" ref="F1759:K1759" si="1849">SUM(F1760,F1762,F1766,F1770,F1786,F1793,F1801,F1803,F1811,F1815,F1809)</f>
        <v>22.548961512890049</v>
      </c>
      <c r="G1759" s="3">
        <f t="shared" si="1849"/>
        <v>24.552804935690613</v>
      </c>
      <c r="H1759" s="3">
        <f t="shared" si="1849"/>
        <v>29.951038680327613</v>
      </c>
      <c r="I1759" s="3">
        <f t="shared" si="1849"/>
        <v>36.167968050560745</v>
      </c>
      <c r="J1759" s="3">
        <f t="shared" si="1849"/>
        <v>37.442852222738061</v>
      </c>
      <c r="K1759" s="3">
        <f t="shared" si="1849"/>
        <v>56.951625924784466</v>
      </c>
      <c r="L1759" s="3">
        <f t="shared" ref="L1759" si="1850">SUM(L1760,L1762,L1766,L1770,L1786,L1793,L1801,L1803,L1811,L1815,L1809)</f>
        <v>63.633402630594844</v>
      </c>
      <c r="N1759" s="1"/>
    </row>
    <row r="1760" spans="2:14" x14ac:dyDescent="0.35">
      <c r="B1760" s="5" t="str">
        <f t="shared" si="1794"/>
        <v>SPS1</v>
      </c>
      <c r="C1760" s="5" t="str">
        <f t="shared" si="1795"/>
        <v>CH</v>
      </c>
      <c r="D1760" t="s">
        <v>1790</v>
      </c>
      <c r="E1760" t="str">
        <f>E1759</f>
        <v>GWe/yr.</v>
      </c>
      <c r="F1760" s="1">
        <f>+F1761</f>
        <v>3.0805574440748962</v>
      </c>
      <c r="G1760" s="1">
        <f t="shared" ref="G1760:L1760" si="1851">+G1761</f>
        <v>3.0805512918717244</v>
      </c>
      <c r="H1760" s="1">
        <f t="shared" si="1851"/>
        <v>2.8402357421350652</v>
      </c>
      <c r="I1760" s="1">
        <f t="shared" si="1851"/>
        <v>2.6090378441108784</v>
      </c>
      <c r="J1760" s="1">
        <f t="shared" si="1851"/>
        <v>2.3634304347363404</v>
      </c>
      <c r="K1760" s="1">
        <f t="shared" si="1851"/>
        <v>2.3634304562513426</v>
      </c>
      <c r="L1760" s="1">
        <f t="shared" si="1851"/>
        <v>1.3501646407914953</v>
      </c>
      <c r="N1760" s="1"/>
    </row>
    <row r="1761" spans="2:14" x14ac:dyDescent="0.35">
      <c r="B1761" s="5" t="str">
        <f t="shared" si="1794"/>
        <v>SPS1</v>
      </c>
      <c r="C1761" s="5" t="str">
        <f t="shared" si="1795"/>
        <v>CH</v>
      </c>
      <c r="D1761" t="s">
        <v>1791</v>
      </c>
      <c r="E1761" t="str">
        <f t="shared" ref="E1761:E1822" si="1852">E1760</f>
        <v>GWe/yr.</v>
      </c>
      <c r="F1761" s="1">
        <f>'[1]Electricity and CHPs_CAP'!B$14</f>
        <v>3.0805574440748962</v>
      </c>
      <c r="G1761" s="1">
        <f>'[1]Electricity and CHPs_CAP'!C$14</f>
        <v>3.0805512918717244</v>
      </c>
      <c r="H1761" s="1">
        <f>'[1]Electricity and CHPs_CAP'!D$14</f>
        <v>2.8402357421350652</v>
      </c>
      <c r="I1761" s="1">
        <f>'[1]Electricity and CHPs_CAP'!E$14</f>
        <v>2.6090378441108784</v>
      </c>
      <c r="J1761" s="1">
        <f>'[2]Electricity and CHPs_CAP'!F$14</f>
        <v>2.3634304347363404</v>
      </c>
      <c r="K1761" s="1">
        <f>'[2]Electricity and CHPs_CAP'!G$14</f>
        <v>2.3634304562513426</v>
      </c>
      <c r="L1761" s="1">
        <f>'[2]Electricity and CHPs_CAP'!H$14</f>
        <v>1.3501646407914953</v>
      </c>
      <c r="N1761" s="1"/>
    </row>
    <row r="1762" spans="2:14" x14ac:dyDescent="0.35">
      <c r="B1762" s="5" t="str">
        <f t="shared" si="1794"/>
        <v>SPS1</v>
      </c>
      <c r="C1762" s="5" t="str">
        <f t="shared" si="1795"/>
        <v>CH</v>
      </c>
      <c r="D1762" t="s">
        <v>1792</v>
      </c>
      <c r="E1762" t="str">
        <f t="shared" si="1852"/>
        <v>GWe/yr.</v>
      </c>
      <c r="F1762" s="1">
        <f>SUM(F1763:F1765)</f>
        <v>15.403610001059999</v>
      </c>
      <c r="G1762" s="1">
        <f t="shared" ref="G1762:K1762" si="1853">SUM(G1763:G1765)</f>
        <v>16.199600522620472</v>
      </c>
      <c r="H1762" s="1">
        <f t="shared" si="1853"/>
        <v>16.668988426576931</v>
      </c>
      <c r="I1762" s="1">
        <f t="shared" si="1853"/>
        <v>16.691456701891749</v>
      </c>
      <c r="J1762" s="1">
        <f t="shared" si="1853"/>
        <v>16.80388586051183</v>
      </c>
      <c r="K1762" s="1">
        <f t="shared" si="1853"/>
        <v>16.972311479543375</v>
      </c>
      <c r="L1762" s="1">
        <f t="shared" ref="L1762" si="1854">SUM(L1763:L1765)</f>
        <v>17.45229625419795</v>
      </c>
      <c r="N1762" s="1"/>
    </row>
    <row r="1763" spans="2:14" x14ac:dyDescent="0.35">
      <c r="B1763" s="5" t="str">
        <f t="shared" si="1794"/>
        <v>SPS1</v>
      </c>
      <c r="C1763" s="5" t="str">
        <f t="shared" si="1795"/>
        <v>CH</v>
      </c>
      <c r="D1763" t="s">
        <v>1793</v>
      </c>
      <c r="E1763" t="str">
        <f t="shared" si="1852"/>
        <v>GWe/yr.</v>
      </c>
      <c r="F1763" s="1">
        <f>'[1]Electricity and CHPs_CAP'!B$15</f>
        <v>7.3394300010600002</v>
      </c>
      <c r="G1763" s="1">
        <f>'[1]Electricity and CHPs_CAP'!C$15</f>
        <v>7.4068633440738028</v>
      </c>
      <c r="H1763" s="1">
        <f>'[1]Electricity and CHPs_CAP'!D$15</f>
        <v>7.423698135618003</v>
      </c>
      <c r="I1763" s="1">
        <f>'[1]Electricity and CHPs_CAP'!E$15</f>
        <v>7.4237970576586196</v>
      </c>
      <c r="J1763" s="1">
        <f>'[2]Electricity and CHPs_CAP'!F$15</f>
        <v>7.4589840857090888</v>
      </c>
      <c r="K1763" s="1">
        <f>'[2]Electricity and CHPs_CAP'!G$15</f>
        <v>7.5971729297686732</v>
      </c>
      <c r="L1763" s="1">
        <f>'[2]Electricity and CHPs_CAP'!H$15</f>
        <v>7.727198967174175</v>
      </c>
      <c r="N1763" s="1"/>
    </row>
    <row r="1764" spans="2:14" x14ac:dyDescent="0.35">
      <c r="B1764" s="5" t="str">
        <f t="shared" si="1794"/>
        <v>SPS1</v>
      </c>
      <c r="C1764" s="5" t="str">
        <f t="shared" si="1795"/>
        <v>CH</v>
      </c>
      <c r="D1764" t="s">
        <v>1794</v>
      </c>
      <c r="E1764" t="str">
        <f t="shared" si="1852"/>
        <v>GWe/yr.</v>
      </c>
      <c r="F1764" s="1">
        <f>'[1]Electricity and CHPs_CAP'!B$16</f>
        <v>4.7247299999999992</v>
      </c>
      <c r="G1764" s="1">
        <f>'[1]Electricity and CHPs_CAP'!C$16</f>
        <v>4.8168369740620012</v>
      </c>
      <c r="H1764" s="1">
        <f>'[1]Electricity and CHPs_CAP'!D$16</f>
        <v>4.8809690325953117</v>
      </c>
      <c r="I1764" s="1">
        <f>'[1]Electricity and CHPs_CAP'!E$16</f>
        <v>4.9033383858695121</v>
      </c>
      <c r="J1764" s="1">
        <f>'[2]Electricity and CHPs_CAP'!F$16</f>
        <v>4.9852791408807677</v>
      </c>
      <c r="K1764" s="1">
        <f>'[2]Electricity and CHPs_CAP'!G$16</f>
        <v>5.0155158590742115</v>
      </c>
      <c r="L1764" s="1">
        <f>'[2]Electricity and CHPs_CAP'!H$16</f>
        <v>5.3654743940160623</v>
      </c>
      <c r="N1764" s="1"/>
    </row>
    <row r="1765" spans="2:14" x14ac:dyDescent="0.35">
      <c r="B1765" s="5" t="str">
        <f t="shared" si="1794"/>
        <v>SPS1</v>
      </c>
      <c r="C1765" s="5" t="str">
        <f t="shared" si="1795"/>
        <v>CH</v>
      </c>
      <c r="D1765" t="s">
        <v>1795</v>
      </c>
      <c r="E1765" t="str">
        <f t="shared" si="1852"/>
        <v>GWe/yr.</v>
      </c>
      <c r="F1765" s="1">
        <f>'[1]Electricity and CHPs_CAP'!B$17</f>
        <v>3.3394499999999998</v>
      </c>
      <c r="G1765" s="1">
        <f>'[1]Electricity and CHPs_CAP'!C$17</f>
        <v>3.9759002044846681</v>
      </c>
      <c r="H1765" s="1">
        <f>'[1]Electricity and CHPs_CAP'!D$17</f>
        <v>4.364321258363618</v>
      </c>
      <c r="I1765" s="1">
        <f>'[1]Electricity and CHPs_CAP'!E$17</f>
        <v>4.364321258363618</v>
      </c>
      <c r="J1765" s="1">
        <f>'[2]Electricity and CHPs_CAP'!F$17</f>
        <v>4.3596226339219717</v>
      </c>
      <c r="K1765" s="1">
        <f>'[2]Electricity and CHPs_CAP'!G$17</f>
        <v>4.3596226907004896</v>
      </c>
      <c r="L1765" s="1">
        <f>'[2]Electricity and CHPs_CAP'!H$17</f>
        <v>4.3596228930077139</v>
      </c>
      <c r="N1765" s="1"/>
    </row>
    <row r="1766" spans="2:14" x14ac:dyDescent="0.3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852"/>
        <v>GWe/yr.</v>
      </c>
      <c r="F1766" s="1">
        <f>SUM(F1767:F1769)</f>
        <v>0.10028766151657656</v>
      </c>
      <c r="G1766" s="1">
        <f t="shared" ref="G1766:K1766" si="1855">SUM(G1767:G1769)</f>
        <v>7.0358472978489323E-2</v>
      </c>
      <c r="H1766" s="1">
        <f t="shared" si="1855"/>
        <v>6.6866937342234048E-2</v>
      </c>
      <c r="I1766" s="1">
        <f t="shared" si="1855"/>
        <v>7.0218535131374021E-2</v>
      </c>
      <c r="J1766" s="1">
        <f t="shared" si="1855"/>
        <v>5.9584360488825719E-2</v>
      </c>
      <c r="K1766" s="1">
        <f t="shared" si="1855"/>
        <v>4.846894630207188E-2</v>
      </c>
      <c r="L1766" s="1">
        <f t="shared" ref="L1766" si="1856">SUM(L1767:L1769)</f>
        <v>6.7244866299724496E-4</v>
      </c>
      <c r="N1766" s="1"/>
    </row>
    <row r="1767" spans="2:14" x14ac:dyDescent="0.3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852"/>
        <v>GWe/yr.</v>
      </c>
      <c r="F1767" s="1">
        <f>'[1]Electricity and CHPs_CAP'!B$18</f>
        <v>8.1232829986476796E-2</v>
      </c>
      <c r="G1767" s="1">
        <f>'[1]Electricity and CHPs_CAP'!C$18</f>
        <v>3.5789385088572843E-2</v>
      </c>
      <c r="H1767" s="1">
        <f>'[1]Electricity and CHPs_CAP'!D$18</f>
        <v>3.26621325943348E-2</v>
      </c>
      <c r="I1767" s="1">
        <f>'[1]Electricity and CHPs_CAP'!E$18</f>
        <v>4.0101408809086622E-2</v>
      </c>
      <c r="J1767" s="1">
        <f>'[2]Electricity and CHPs_CAP'!F$18</f>
        <v>4.8365452854785412E-2</v>
      </c>
      <c r="K1767" s="1">
        <f>'[2]Electricity and CHPs_CAP'!G$18</f>
        <v>4.8344611746908968E-2</v>
      </c>
      <c r="L1767" s="1">
        <f>'[2]Electricity and CHPs_CAP'!H$18</f>
        <v>6.1973821693160278E-4</v>
      </c>
      <c r="N1767" s="1"/>
    </row>
    <row r="1768" spans="2:14" x14ac:dyDescent="0.35">
      <c r="B1768" s="5" t="str">
        <f t="shared" ref="B1768:C1769" si="1857">B1767</f>
        <v>SPS1</v>
      </c>
      <c r="C1768" s="5" t="str">
        <f t="shared" si="1857"/>
        <v>CH</v>
      </c>
      <c r="D1768" t="s">
        <v>1798</v>
      </c>
      <c r="E1768" t="str">
        <f t="shared" si="1852"/>
        <v>GWe/yr.</v>
      </c>
      <c r="F1768" s="1">
        <f>'[1]Electricity and CHPs_CAP'!B$28</f>
        <v>1.0757283737330673E-2</v>
      </c>
      <c r="G1768" s="1">
        <f>'[1]Electricity and CHPs_CAP'!C$28</f>
        <v>1.0406777987479129E-2</v>
      </c>
      <c r="H1768" s="1">
        <f>'[1]Electricity and CHPs_CAP'!D$28</f>
        <v>1.0067985908567135E-2</v>
      </c>
      <c r="I1768" s="1">
        <f>'[1]Electricity and CHPs_CAP'!E$28</f>
        <v>5.9965843477021719E-3</v>
      </c>
      <c r="J1768" s="1">
        <f>'[2]Electricity and CHPs_CAP'!F$28</f>
        <v>3.7161033721067396E-4</v>
      </c>
      <c r="K1768" s="1">
        <f>'[2]Electricity and CHPs_CAP'!G$28</f>
        <v>1.2433455516291562E-4</v>
      </c>
      <c r="L1768" s="1">
        <f>'[2]Electricity and CHPs_CAP'!H$28</f>
        <v>5.2710446065642209E-5</v>
      </c>
      <c r="N1768" s="1"/>
    </row>
    <row r="1769" spans="2:14" x14ac:dyDescent="0.35">
      <c r="B1769" s="5" t="str">
        <f t="shared" si="1857"/>
        <v>SPS1</v>
      </c>
      <c r="C1769" s="5" t="str">
        <f t="shared" si="1857"/>
        <v>CH</v>
      </c>
      <c r="D1769" t="s">
        <v>1799</v>
      </c>
      <c r="E1769" t="str">
        <f t="shared" si="1852"/>
        <v>GWe/yr.</v>
      </c>
      <c r="F1769" s="1">
        <f>'[1]Electricity and CHPs_CAP'!B$41</f>
        <v>8.2975477927690958E-3</v>
      </c>
      <c r="G1769" s="1">
        <f>'[1]Electricity and CHPs_CAP'!C$41</f>
        <v>2.416230990243735E-2</v>
      </c>
      <c r="H1769" s="1">
        <f>'[1]Electricity and CHPs_CAP'!D$41</f>
        <v>2.4136818839332119E-2</v>
      </c>
      <c r="I1769" s="1">
        <f>'[1]Electricity and CHPs_CAP'!E$41</f>
        <v>2.4120541974585231E-2</v>
      </c>
      <c r="J1769" s="1">
        <f>'[2]Electricity and CHPs_CAP'!F$41</f>
        <v>1.0847297296829634E-2</v>
      </c>
      <c r="K1769" s="1">
        <f>'[2]Electricity and CHPs_CAP'!G$41</f>
        <v>0</v>
      </c>
      <c r="L1769" s="1">
        <f>'[2]Electricity and CHPs_CAP'!H$41</f>
        <v>0</v>
      </c>
      <c r="N1769" s="1"/>
    </row>
    <row r="1770" spans="2:14" x14ac:dyDescent="0.3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852"/>
        <v>GWe/yr.</v>
      </c>
      <c r="F1770" s="1">
        <f>SUM(F1771:F1785)</f>
        <v>0.30895567489444198</v>
      </c>
      <c r="G1770" s="1">
        <f t="shared" ref="G1770:K1770" si="1858">SUM(G1771:G1785)</f>
        <v>0.18028555822438047</v>
      </c>
      <c r="H1770" s="1">
        <f t="shared" si="1858"/>
        <v>0.15703812084554403</v>
      </c>
      <c r="I1770" s="1">
        <f t="shared" si="1858"/>
        <v>0.10684029595597624</v>
      </c>
      <c r="J1770" s="1">
        <f t="shared" si="1858"/>
        <v>0.10911481781413064</v>
      </c>
      <c r="K1770" s="1">
        <f t="shared" si="1858"/>
        <v>0.10886610182692302</v>
      </c>
      <c r="L1770" s="1">
        <f t="shared" ref="L1770" si="1859">SUM(L1771:L1785)</f>
        <v>0.22232577505274725</v>
      </c>
      <c r="N1770" s="1"/>
    </row>
    <row r="1771" spans="2:14" x14ac:dyDescent="0.35">
      <c r="B1771" s="5" t="str">
        <f t="shared" ref="B1771:C1784" si="1860">B1770</f>
        <v>SPS1</v>
      </c>
      <c r="C1771" s="5" t="str">
        <f t="shared" si="1860"/>
        <v>CH</v>
      </c>
      <c r="D1771" t="s">
        <v>1801</v>
      </c>
      <c r="E1771" t="str">
        <f t="shared" si="1852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'[2]Electricity and CHPs_CAP'!F$21</f>
        <v>0</v>
      </c>
      <c r="K1771" s="1">
        <f>'[2]Electricity and CHPs_CAP'!G$21</f>
        <v>2.8845410669911799E-6</v>
      </c>
      <c r="L1771" s="1">
        <f>'[2]Electricity and CHPs_CAP'!H$21</f>
        <v>2.3702529270610328E-4</v>
      </c>
      <c r="N1771" s="1"/>
    </row>
    <row r="1772" spans="2:14" x14ac:dyDescent="0.35">
      <c r="B1772" s="5" t="str">
        <f t="shared" si="1860"/>
        <v>SPS1</v>
      </c>
      <c r="C1772" s="5" t="str">
        <f t="shared" si="1860"/>
        <v>CH</v>
      </c>
      <c r="D1772" t="s">
        <v>1802</v>
      </c>
      <c r="E1772" t="str">
        <f t="shared" si="1852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'[2]Electricity and CHPs_CAP'!F$22</f>
        <v>1.6018870632035999E-4</v>
      </c>
      <c r="K1772" s="1">
        <f>'[2]Electricity and CHPs_CAP'!G$22</f>
        <v>6.6688008042689562E-4</v>
      </c>
      <c r="L1772" s="1">
        <f>'[2]Electricity and CHPs_CAP'!H$22</f>
        <v>5.7981494908319955E-2</v>
      </c>
      <c r="N1772" s="1"/>
    </row>
    <row r="1773" spans="2:14" x14ac:dyDescent="0.35">
      <c r="B1773" s="5" t="str">
        <f t="shared" si="1860"/>
        <v>SPS1</v>
      </c>
      <c r="C1773" s="5" t="str">
        <f t="shared" si="1860"/>
        <v>CH</v>
      </c>
      <c r="D1773" t="s">
        <v>1803</v>
      </c>
      <c r="E1773" t="str">
        <f t="shared" si="1852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'[2]Electricity and CHPs_CAP'!F$23</f>
        <v>0</v>
      </c>
      <c r="K1773" s="1">
        <f>'[2]Electricity and CHPs_CAP'!G$23</f>
        <v>0</v>
      </c>
      <c r="L1773" s="1">
        <f>'[2]Electricity and CHPs_CAP'!H$23</f>
        <v>0</v>
      </c>
      <c r="N1773" s="1"/>
    </row>
    <row r="1774" spans="2:14" x14ac:dyDescent="0.35">
      <c r="B1774" s="5" t="str">
        <f t="shared" si="1860"/>
        <v>SPS1</v>
      </c>
      <c r="C1774" s="5" t="str">
        <f t="shared" si="1860"/>
        <v>CH</v>
      </c>
      <c r="D1774" t="s">
        <v>1804</v>
      </c>
      <c r="E1774" t="str">
        <f t="shared" si="1852"/>
        <v>GWe/yr.</v>
      </c>
      <c r="F1774" s="1">
        <f>IF('[1]Electricity and CHPs_CAP'!B$24&lt;0,0,'[1]Electricity and CHPs_CAP'!B$24)</f>
        <v>0.10832730174213549</v>
      </c>
      <c r="G1774" s="1">
        <f>IF('[1]Electricity and CHPs_CAP'!C$24&lt;0,0,'[1]Electricity and CHPs_CAP'!C$24)</f>
        <v>6.1850074897967927E-3</v>
      </c>
      <c r="H1774" s="1">
        <f>IF('[1]Electricity and CHPs_CAP'!D$24&lt;0,0,'[1]Electricity and CHPs_CAP'!D$24)</f>
        <v>6.1699499611585912E-3</v>
      </c>
      <c r="I1774" s="1">
        <f>IF('[1]Electricity and CHPs_CAP'!E$24&lt;0,0,'[1]Electricity and CHPs_CAP'!E$24)</f>
        <v>0</v>
      </c>
      <c r="J1774" s="1">
        <f>IF('[2]Electricity and CHPs_CAP'!F$24&lt;0,0,'[2]Electricity and CHPs_CAP'!F$24)</f>
        <v>0</v>
      </c>
      <c r="K1774" s="1">
        <f>IF('[2]Electricity and CHPs_CAP'!G$24&lt;0,0,'[2]Electricity and CHPs_CAP'!G$24)</f>
        <v>0</v>
      </c>
      <c r="L1774" s="1">
        <f>IF('[2]Electricity and CHPs_CAP'!H$24&lt;0,0,'[2]Electricity and CHPs_CAP'!H$24)</f>
        <v>0</v>
      </c>
      <c r="N1774" s="1"/>
    </row>
    <row r="1775" spans="2:14" x14ac:dyDescent="0.35">
      <c r="B1775" s="5" t="str">
        <f t="shared" si="1860"/>
        <v>SPS1</v>
      </c>
      <c r="C1775" s="5" t="str">
        <f t="shared" si="1860"/>
        <v>CH</v>
      </c>
      <c r="D1775" t="s">
        <v>1805</v>
      </c>
      <c r="E1775" t="str">
        <f t="shared" si="1852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'[2]Electricity and CHPs_CAP'!F$29</f>
        <v>0</v>
      </c>
      <c r="K1775" s="1">
        <f>'[2]Electricity and CHPs_CAP'!G$29</f>
        <v>0</v>
      </c>
      <c r="L1775" s="1">
        <f>'[2]Electricity and CHPs_CAP'!H$29</f>
        <v>0</v>
      </c>
      <c r="N1775" s="1"/>
    </row>
    <row r="1776" spans="2:14" x14ac:dyDescent="0.35">
      <c r="B1776" s="5" t="str">
        <f t="shared" si="1860"/>
        <v>SPS1</v>
      </c>
      <c r="C1776" s="5" t="str">
        <f t="shared" si="1860"/>
        <v>CH</v>
      </c>
      <c r="D1776" t="s">
        <v>1806</v>
      </c>
      <c r="E1776" t="str">
        <f t="shared" si="1852"/>
        <v>GWe/yr.</v>
      </c>
      <c r="F1776" s="1">
        <f>'[1]Electricity and CHPs_CAP'!B$39</f>
        <v>4.5701033344932203E-2</v>
      </c>
      <c r="G1776" s="1">
        <f>'[1]Electricity and CHPs_CAP'!C$39</f>
        <v>3.3830713134860552E-2</v>
      </c>
      <c r="H1776" s="1">
        <f>'[1]Electricity and CHPs_CAP'!D$39</f>
        <v>2.5276254932664131E-2</v>
      </c>
      <c r="I1776" s="1">
        <f>'[1]Electricity and CHPs_CAP'!E$39</f>
        <v>1.2310992878392848E-2</v>
      </c>
      <c r="J1776" s="1">
        <f>'[2]Electricity and CHPs_CAP'!F$39</f>
        <v>2.2729210814015903E-2</v>
      </c>
      <c r="K1776" s="1">
        <f>'[2]Electricity and CHPs_CAP'!G$39</f>
        <v>2.0730138648420417E-2</v>
      </c>
      <c r="L1776" s="1">
        <f>'[2]Electricity and CHPs_CAP'!H$39</f>
        <v>4.7835258431108432E-2</v>
      </c>
      <c r="N1776" s="1"/>
    </row>
    <row r="1777" spans="2:14" x14ac:dyDescent="0.35">
      <c r="B1777" s="5" t="str">
        <f t="shared" si="1860"/>
        <v>SPS1</v>
      </c>
      <c r="C1777" s="5" t="str">
        <f t="shared" si="1860"/>
        <v>CH</v>
      </c>
      <c r="D1777" t="s">
        <v>1807</v>
      </c>
      <c r="E1777" t="str">
        <f t="shared" si="1852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'[2]Electricity and CHPs_CAP'!F$40</f>
        <v>0</v>
      </c>
      <c r="K1777" s="1">
        <f>'[2]Electricity and CHPs_CAP'!G$40</f>
        <v>2.0389690269927E-3</v>
      </c>
      <c r="L1777" s="1">
        <f>'[2]Electricity and CHPs_CAP'!H$40</f>
        <v>3.1460678796899483E-2</v>
      </c>
      <c r="N1777" s="1"/>
    </row>
    <row r="1778" spans="2:14" x14ac:dyDescent="0.35">
      <c r="B1778" s="5" t="str">
        <f t="shared" si="1860"/>
        <v>SPS1</v>
      </c>
      <c r="C1778" s="5" t="str">
        <f t="shared" si="1860"/>
        <v>CH</v>
      </c>
      <c r="D1778" t="s">
        <v>1808</v>
      </c>
      <c r="E1778" t="str">
        <f t="shared" si="1852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0</v>
      </c>
      <c r="J1778" s="1">
        <f>'[2]Electricity and CHPs_CAP'!F$47</f>
        <v>1.4622845346432301E-4</v>
      </c>
      <c r="K1778" s="1">
        <f>'[2]Electricity and CHPs_CAP'!G$47</f>
        <v>1.466886684483198E-4</v>
      </c>
      <c r="L1778" s="1">
        <f>'[2]Electricity and CHPs_CAP'!H$47</f>
        <v>6.6149726314730479E-5</v>
      </c>
      <c r="N1778" s="1"/>
    </row>
    <row r="1779" spans="2:14" x14ac:dyDescent="0.35">
      <c r="B1779" s="5" t="str">
        <f t="shared" si="1860"/>
        <v>SPS1</v>
      </c>
      <c r="C1779" s="5" t="str">
        <f t="shared" si="1860"/>
        <v>CH</v>
      </c>
      <c r="D1779" t="s">
        <v>1809</v>
      </c>
      <c r="E1779" t="str">
        <f t="shared" si="1852"/>
        <v>GWe/yr.</v>
      </c>
      <c r="F1779" s="1">
        <f>'[1]Electricity and CHPs_CAP'!B$48</f>
        <v>4.186609550019503E-3</v>
      </c>
      <c r="G1779" s="1">
        <f>'[1]Electricity and CHPs_CAP'!C$48</f>
        <v>2.5028330250821723E-3</v>
      </c>
      <c r="H1779" s="1">
        <f>'[1]Electricity and CHPs_CAP'!D$48</f>
        <v>2.0891366071578588E-3</v>
      </c>
      <c r="I1779" s="1">
        <f>'[1]Electricity and CHPs_CAP'!E$48</f>
        <v>1.8233478151781575E-3</v>
      </c>
      <c r="J1779" s="1">
        <f>'[2]Electricity and CHPs_CAP'!F$48</f>
        <v>4.3333234901007803E-4</v>
      </c>
      <c r="K1779" s="1">
        <f>'[2]Electricity and CHPs_CAP'!G$48</f>
        <v>1.6206124955023908E-4</v>
      </c>
      <c r="L1779" s="1">
        <f>'[2]Electricity and CHPs_CAP'!H$48</f>
        <v>0</v>
      </c>
      <c r="N1779" s="1"/>
    </row>
    <row r="1780" spans="2:14" x14ac:dyDescent="0.35">
      <c r="B1780" s="5" t="str">
        <f t="shared" si="1860"/>
        <v>SPS1</v>
      </c>
      <c r="C1780" s="5" t="str">
        <f t="shared" si="1860"/>
        <v>CH</v>
      </c>
      <c r="D1780" t="s">
        <v>1810</v>
      </c>
      <c r="E1780" t="str">
        <f t="shared" si="1852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0</v>
      </c>
      <c r="J1780" s="1">
        <f>'[2]Electricity and CHPs_CAP'!F$49</f>
        <v>0</v>
      </c>
      <c r="K1780" s="1">
        <f>'[2]Electricity and CHPs_CAP'!G$49</f>
        <v>0</v>
      </c>
      <c r="L1780" s="1">
        <f>'[2]Electricity and CHPs_CAP'!H$49</f>
        <v>0</v>
      </c>
      <c r="N1780" s="1"/>
    </row>
    <row r="1781" spans="2:14" x14ac:dyDescent="0.35">
      <c r="B1781" s="5" t="str">
        <f t="shared" si="1860"/>
        <v>SPS1</v>
      </c>
      <c r="C1781" s="5" t="str">
        <f t="shared" si="1860"/>
        <v>CH</v>
      </c>
      <c r="D1781" t="s">
        <v>1811</v>
      </c>
      <c r="E1781" t="str">
        <f t="shared" si="1852"/>
        <v>GWe/yr.</v>
      </c>
      <c r="F1781" s="1">
        <f>'[1]Electricity and CHPs_CAP'!B$51</f>
        <v>1.2036453705936865E-2</v>
      </c>
      <c r="G1781" s="1">
        <f>'[1]Electricity and CHPs_CAP'!C$51</f>
        <v>4.8900488044276366E-3</v>
      </c>
      <c r="H1781" s="1">
        <f>'[1]Electricity and CHPs_CAP'!D$51</f>
        <v>4.8261182680332977E-3</v>
      </c>
      <c r="I1781" s="1">
        <f>'[1]Electricity and CHPs_CAP'!E$51</f>
        <v>3.4719353208816361E-3</v>
      </c>
      <c r="J1781" s="1">
        <f>'[2]Electricity and CHPs_CAP'!F$51</f>
        <v>7.192994386642776E-4</v>
      </c>
      <c r="K1781" s="1">
        <f>'[2]Electricity and CHPs_CAP'!G$51</f>
        <v>2.7966009416382457E-4</v>
      </c>
      <c r="L1781" s="1">
        <f>'[2]Electricity and CHPs_CAP'!H$51</f>
        <v>0</v>
      </c>
      <c r="N1781" s="1"/>
    </row>
    <row r="1782" spans="2:14" x14ac:dyDescent="0.35">
      <c r="B1782" s="5" t="str">
        <f t="shared" si="1860"/>
        <v>SPS1</v>
      </c>
      <c r="C1782" s="5" t="str">
        <f t="shared" si="1860"/>
        <v>CH</v>
      </c>
      <c r="D1782" t="s">
        <v>1812</v>
      </c>
      <c r="E1782" t="str">
        <f t="shared" si="1852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0</v>
      </c>
      <c r="J1782" s="1">
        <f>'[2]Electricity and CHPs_CAP'!F$52</f>
        <v>0</v>
      </c>
      <c r="K1782" s="1">
        <f>'[2]Electricity and CHPs_CAP'!G$52</f>
        <v>0</v>
      </c>
      <c r="L1782" s="1">
        <f>'[2]Electricity and CHPs_CAP'!H$52</f>
        <v>0</v>
      </c>
      <c r="N1782" s="1"/>
    </row>
    <row r="1783" spans="2:14" x14ac:dyDescent="0.35">
      <c r="B1783" s="5" t="str">
        <f t="shared" si="1860"/>
        <v>SPS1</v>
      </c>
      <c r="C1783" s="5" t="str">
        <f t="shared" si="1860"/>
        <v>CH</v>
      </c>
      <c r="D1783" t="s">
        <v>1813</v>
      </c>
      <c r="E1783" t="str">
        <f t="shared" si="1852"/>
        <v>GWe/yr.</v>
      </c>
      <c r="F1783" s="1">
        <f>'[1]Electricity and CHPs_CAP'!B$54</f>
        <v>7.3508874322882001E-2</v>
      </c>
      <c r="G1783" s="1">
        <f>'[1]Electricity and CHPs_CAP'!C$54</f>
        <v>8.4809279494260148E-2</v>
      </c>
      <c r="H1783" s="1">
        <f>'[1]Electricity and CHPs_CAP'!D$54</f>
        <v>8.4799500733820837E-2</v>
      </c>
      <c r="I1783" s="1">
        <f>'[1]Electricity and CHPs_CAP'!E$54</f>
        <v>8.49347801261357E-2</v>
      </c>
      <c r="J1783" s="1">
        <f>'[2]Electricity and CHPs_CAP'!F$54</f>
        <v>8.4745598994727764E-2</v>
      </c>
      <c r="K1783" s="1">
        <f>'[2]Electricity and CHPs_CAP'!G$54</f>
        <v>8.4745202058084834E-2</v>
      </c>
      <c r="L1783" s="1">
        <f>'[2]Electricity and CHPs_CAP'!H$54</f>
        <v>8.4745167897398541E-2</v>
      </c>
      <c r="N1783" s="1"/>
    </row>
    <row r="1784" spans="2:14" x14ac:dyDescent="0.35">
      <c r="B1784" s="5" t="str">
        <f t="shared" si="1860"/>
        <v>SPS1</v>
      </c>
      <c r="C1784" s="5" t="str">
        <f t="shared" si="1860"/>
        <v>CH</v>
      </c>
      <c r="D1784" t="s">
        <v>1814</v>
      </c>
      <c r="E1784" t="str">
        <f t="shared" si="1852"/>
        <v>GWe/yr.</v>
      </c>
      <c r="F1784" s="1">
        <f>'[1]Electricity and CHPs_CAP'!B$55</f>
        <v>6.5195402228535926E-2</v>
      </c>
      <c r="G1784" s="1">
        <f>'[1]Electricity and CHPs_CAP'!C$55</f>
        <v>4.8067676275953139E-2</v>
      </c>
      <c r="H1784" s="1">
        <f>'[1]Electricity and CHPs_CAP'!D$55</f>
        <v>3.3877160342709309E-2</v>
      </c>
      <c r="I1784" s="1">
        <f>'[1]Electricity and CHPs_CAP'!E$55</f>
        <v>4.2992398153878994E-3</v>
      </c>
      <c r="J1784" s="1">
        <f>'[2]Electricity and CHPs_CAP'!F$55</f>
        <v>1.8095905792793812E-4</v>
      </c>
      <c r="K1784" s="1">
        <f>'[2]Electricity and CHPs_CAP'!G$55</f>
        <v>9.3617459768800121E-5</v>
      </c>
      <c r="L1784" s="1">
        <f>'[2]Electricity and CHPs_CAP'!H$55</f>
        <v>0</v>
      </c>
      <c r="N1784" s="1"/>
    </row>
    <row r="1785" spans="2:14" x14ac:dyDescent="0.35">
      <c r="B1785" s="5" t="str">
        <f t="shared" ref="B1785:C1785" si="1861">B1784</f>
        <v>SPS1</v>
      </c>
      <c r="C1785" s="5" t="str">
        <f t="shared" si="1861"/>
        <v>CH</v>
      </c>
      <c r="D1785" t="s">
        <v>1815</v>
      </c>
      <c r="E1785" t="str">
        <f t="shared" si="1852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0</v>
      </c>
      <c r="J1785" s="1">
        <f>'[2]Electricity and CHPs_CAP'!F$58</f>
        <v>0</v>
      </c>
      <c r="K1785" s="1">
        <f>'[2]Electricity and CHPs_CAP'!G$58</f>
        <v>0</v>
      </c>
      <c r="L1785" s="1">
        <f>'[2]Electricity and CHPs_CAP'!H$58</f>
        <v>0</v>
      </c>
      <c r="N1785" s="1"/>
    </row>
    <row r="1786" spans="2:14" x14ac:dyDescent="0.3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852"/>
        <v>GWe/yr.</v>
      </c>
      <c r="F1786" s="1">
        <f>SUM(F1787:F1792)</f>
        <v>0.39704928652510862</v>
      </c>
      <c r="G1786" s="1">
        <f t="shared" ref="G1786:K1786" si="1862">SUM(G1787:G1792)</f>
        <v>0.36028459339516195</v>
      </c>
      <c r="H1786" s="1">
        <f t="shared" si="1862"/>
        <v>0.38774182938695367</v>
      </c>
      <c r="I1786" s="1">
        <f t="shared" si="1862"/>
        <v>0.36825895270061382</v>
      </c>
      <c r="J1786" s="1">
        <f t="shared" si="1862"/>
        <v>0.34970277604531053</v>
      </c>
      <c r="K1786" s="1">
        <f t="shared" si="1862"/>
        <v>0.47261758079923766</v>
      </c>
      <c r="L1786" s="1">
        <f t="shared" ref="L1786" si="1863">SUM(L1787:L1792)</f>
        <v>0.46269403669887443</v>
      </c>
      <c r="N1786" s="1"/>
    </row>
    <row r="1787" spans="2:14" x14ac:dyDescent="0.35">
      <c r="B1787" s="5" t="str">
        <f t="shared" ref="B1787:C1792" si="1864">B1786</f>
        <v>SPS1</v>
      </c>
      <c r="C1787" s="5" t="str">
        <f t="shared" si="1864"/>
        <v>CH</v>
      </c>
      <c r="D1787" t="s">
        <v>1817</v>
      </c>
      <c r="E1787" t="str">
        <f t="shared" si="1852"/>
        <v>GWe/yr.</v>
      </c>
      <c r="F1787" s="1">
        <f>'[1]Electricity and CHPs_CAP'!B$19</f>
        <v>0.27864794579481322</v>
      </c>
      <c r="G1787" s="1">
        <f>'[1]Electricity and CHPs_CAP'!C$19</f>
        <v>0.27853140953903349</v>
      </c>
      <c r="H1787" s="1">
        <f>'[1]Electricity and CHPs_CAP'!D$19</f>
        <v>0.3117939057380455</v>
      </c>
      <c r="I1787" s="1">
        <f>'[1]Electricity and CHPs_CAP'!E$19</f>
        <v>0.28992250172190026</v>
      </c>
      <c r="J1787" s="1">
        <f>'[2]Electricity and CHPs_CAP'!F$19</f>
        <v>0.27948867630014196</v>
      </c>
      <c r="K1787" s="1">
        <f>'[2]Electricity and CHPs_CAP'!G$19</f>
        <v>0.21747324140433891</v>
      </c>
      <c r="L1787" s="1">
        <f>'[2]Electricity and CHPs_CAP'!H$19</f>
        <v>5.9316316277702175E-5</v>
      </c>
      <c r="N1787" s="1"/>
    </row>
    <row r="1788" spans="2:14" x14ac:dyDescent="0.35">
      <c r="B1788" s="5" t="str">
        <f t="shared" si="1864"/>
        <v>SPS1</v>
      </c>
      <c r="C1788" s="5" t="str">
        <f t="shared" si="1864"/>
        <v>CH</v>
      </c>
      <c r="D1788" t="s">
        <v>1818</v>
      </c>
      <c r="E1788" t="str">
        <f t="shared" si="1852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'[2]Electricity and CHPs_CAP'!F$20</f>
        <v>0</v>
      </c>
      <c r="K1788" s="1">
        <f>'[2]Electricity and CHPs_CAP'!G$20</f>
        <v>0.145645008850045</v>
      </c>
      <c r="L1788" s="1">
        <f>'[2]Electricity and CHPs_CAP'!H$20</f>
        <v>0.34815026076015099</v>
      </c>
      <c r="N1788" s="1"/>
    </row>
    <row r="1789" spans="2:14" x14ac:dyDescent="0.35">
      <c r="B1789" s="5" t="str">
        <f t="shared" si="1864"/>
        <v>SPS1</v>
      </c>
      <c r="C1789" s="5" t="str">
        <f t="shared" si="1864"/>
        <v>CH</v>
      </c>
      <c r="D1789" t="s">
        <v>1819</v>
      </c>
      <c r="E1789" t="str">
        <f t="shared" si="1852"/>
        <v>GWe/yr.</v>
      </c>
      <c r="F1789" s="1">
        <f>'[1]Electricity and CHPs_CAP'!B$26</f>
        <v>7.8399388895541613E-2</v>
      </c>
      <c r="G1789" s="1">
        <f>'[1]Electricity and CHPs_CAP'!C$26</f>
        <v>7.1209981135797421E-2</v>
      </c>
      <c r="H1789" s="1">
        <f>'[1]Electricity and CHPs_CAP'!D$26</f>
        <v>7.1168742030482721E-2</v>
      </c>
      <c r="I1789" s="1">
        <f>'[1]Electricity and CHPs_CAP'!E$26</f>
        <v>7.4049215095624857E-2</v>
      </c>
      <c r="J1789" s="1">
        <f>'[2]Electricity and CHPs_CAP'!F$26</f>
        <v>6.9925894937452909E-2</v>
      </c>
      <c r="K1789" s="1">
        <f>'[2]Electricity and CHPs_CAP'!G$26</f>
        <v>4.9804456570410036E-2</v>
      </c>
      <c r="L1789" s="1">
        <f>'[2]Electricity and CHPs_CAP'!H$26</f>
        <v>3.7568273795487994E-5</v>
      </c>
      <c r="N1789" s="1"/>
    </row>
    <row r="1790" spans="2:14" x14ac:dyDescent="0.35">
      <c r="B1790" s="5" t="str">
        <f t="shared" si="1864"/>
        <v>SPS1</v>
      </c>
      <c r="C1790" s="5" t="str">
        <f t="shared" si="1864"/>
        <v>CH</v>
      </c>
      <c r="D1790" t="s">
        <v>1820</v>
      </c>
      <c r="E1790" t="str">
        <f t="shared" si="1852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'[2]Electricity and CHPs_CAP'!F$27</f>
        <v>0</v>
      </c>
      <c r="K1790" s="1">
        <f>'[2]Electricity and CHPs_CAP'!G$27</f>
        <v>4.8545978959438803E-2</v>
      </c>
      <c r="L1790" s="1">
        <f>'[2]Electricity and CHPs_CAP'!H$27</f>
        <v>8.1660249380125352E-2</v>
      </c>
      <c r="N1790" s="1"/>
    </row>
    <row r="1791" spans="2:14" x14ac:dyDescent="0.35">
      <c r="B1791" s="5" t="str">
        <f t="shared" si="1864"/>
        <v>SPS1</v>
      </c>
      <c r="C1791" s="5" t="str">
        <f t="shared" si="1864"/>
        <v>CH</v>
      </c>
      <c r="D1791" t="s">
        <v>1821</v>
      </c>
      <c r="E1791" t="str">
        <f t="shared" si="1852"/>
        <v>GWe/yr.</v>
      </c>
      <c r="F1791" s="1">
        <f>'[1]Electricity and CHPs_CAP'!B$44</f>
        <v>4.0001951834753802E-2</v>
      </c>
      <c r="G1791" s="1">
        <f>'[1]Electricity and CHPs_CAP'!C$44</f>
        <v>1.0543202720331026E-2</v>
      </c>
      <c r="H1791" s="1">
        <f>'[1]Electricity and CHPs_CAP'!D$44</f>
        <v>4.779181618425471E-3</v>
      </c>
      <c r="I1791" s="1">
        <f>'[1]Electricity and CHPs_CAP'!E$44</f>
        <v>4.287235883088731E-3</v>
      </c>
      <c r="J1791" s="1">
        <f>'[2]Electricity and CHPs_CAP'!F$44</f>
        <v>2.8820480771561425E-4</v>
      </c>
      <c r="K1791" s="1">
        <f>'[2]Electricity and CHPs_CAP'!G$44</f>
        <v>1.2583963673909113E-4</v>
      </c>
      <c r="L1791" s="1">
        <f>'[2]Electricity and CHPs_CAP'!H$44</f>
        <v>4.6442878548690666E-5</v>
      </c>
      <c r="N1791" s="1"/>
    </row>
    <row r="1792" spans="2:14" x14ac:dyDescent="0.35">
      <c r="B1792" s="5" t="str">
        <f t="shared" si="1864"/>
        <v>SPS1</v>
      </c>
      <c r="C1792" s="5" t="str">
        <f t="shared" si="1864"/>
        <v>CH</v>
      </c>
      <c r="D1792" t="s">
        <v>1822</v>
      </c>
      <c r="E1792" t="str">
        <f t="shared" si="1852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'[2]Electricity and CHPs_CAP'!F$45</f>
        <v>0</v>
      </c>
      <c r="K1792" s="1">
        <f>'[2]Electricity and CHPs_CAP'!G$45</f>
        <v>1.1023055378265799E-2</v>
      </c>
      <c r="L1792" s="1">
        <f>'[2]Electricity and CHPs_CAP'!H$45</f>
        <v>3.2740199089976232E-2</v>
      </c>
      <c r="N1792" s="1"/>
    </row>
    <row r="1793" spans="2:14" x14ac:dyDescent="0.3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852"/>
        <v>GWe/yr.</v>
      </c>
      <c r="F1793" s="1">
        <f>SUM(F1794:F1800)</f>
        <v>1.3501134596580019E-2</v>
      </c>
      <c r="G1793" s="1">
        <f t="shared" ref="G1793:K1793" si="1865">SUM(G1794:G1800)</f>
        <v>1.6275218869680422E-2</v>
      </c>
      <c r="H1793" s="1">
        <f t="shared" si="1865"/>
        <v>4.7875172564701224E-2</v>
      </c>
      <c r="I1793" s="1">
        <f t="shared" si="1865"/>
        <v>9.8669787343917084E-2</v>
      </c>
      <c r="J1793" s="1">
        <f t="shared" si="1865"/>
        <v>0.2014876250620953</v>
      </c>
      <c r="K1793" s="1">
        <f t="shared" si="1865"/>
        <v>0.25825851085563101</v>
      </c>
      <c r="L1793" s="1">
        <f t="shared" ref="L1793" si="1866">SUM(L1794:L1800)</f>
        <v>0.38737043235853102</v>
      </c>
      <c r="N1793" s="1"/>
    </row>
    <row r="1794" spans="2:14" x14ac:dyDescent="0.35">
      <c r="B1794" s="5" t="str">
        <f t="shared" ref="B1794:C1804" si="1867">B1793</f>
        <v>SPS1</v>
      </c>
      <c r="C1794" s="5" t="str">
        <f t="shared" si="1867"/>
        <v>CH</v>
      </c>
      <c r="D1794" t="s">
        <v>1824</v>
      </c>
      <c r="E1794" t="str">
        <f t="shared" si="1852"/>
        <v>GWe/yr.</v>
      </c>
      <c r="F1794" s="1">
        <f>'[1]Electricity and CHPs_CAP'!B$25</f>
        <v>6.3088220311879883E-4</v>
      </c>
      <c r="G1794" s="1">
        <f>'[1]Electricity and CHPs_CAP'!C$25</f>
        <v>1.2370814708184685E-3</v>
      </c>
      <c r="H1794" s="1">
        <f>'[1]Electricity and CHPs_CAP'!D$25</f>
        <v>1.5587230261404142E-3</v>
      </c>
      <c r="I1794" s="1">
        <f>'[1]Electricity and CHPs_CAP'!E$25</f>
        <v>3.8329771409397612E-3</v>
      </c>
      <c r="J1794" s="1">
        <f>'[2]Electricity and CHPs_CAP'!F$25</f>
        <v>2.4132787538108179E-2</v>
      </c>
      <c r="K1794" s="1">
        <f>'[2]Electricity and CHPs_CAP'!G$25</f>
        <v>5.9131308600830615E-2</v>
      </c>
      <c r="L1794" s="1">
        <f>'[2]Electricity and CHPs_CAP'!H$25</f>
        <v>0.10358517159927304</v>
      </c>
      <c r="N1794" s="1"/>
    </row>
    <row r="1795" spans="2:14" x14ac:dyDescent="0.35">
      <c r="B1795" s="5" t="str">
        <f t="shared" si="1867"/>
        <v>SPS1</v>
      </c>
      <c r="C1795" s="5" t="str">
        <f t="shared" si="1867"/>
        <v>CH</v>
      </c>
      <c r="D1795" t="s">
        <v>1825</v>
      </c>
      <c r="E1795" t="str">
        <f t="shared" si="1852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'[2]Electricity and CHPs_CAP'!F$31</f>
        <v>0</v>
      </c>
      <c r="K1795" s="1">
        <f>'[2]Electricity and CHPs_CAP'!G$31</f>
        <v>1.32962241455801E-4</v>
      </c>
      <c r="L1795" s="1">
        <f>'[2]Electricity and CHPs_CAP'!H$31</f>
        <v>9.944551406908983E-2</v>
      </c>
      <c r="N1795" s="1"/>
    </row>
    <row r="1796" spans="2:14" x14ac:dyDescent="0.35">
      <c r="B1796" s="5" t="str">
        <f t="shared" si="1867"/>
        <v>SPS1</v>
      </c>
      <c r="C1796" s="5" t="str">
        <f t="shared" si="1867"/>
        <v>CH</v>
      </c>
      <c r="D1796" t="s">
        <v>1826</v>
      </c>
      <c r="E1796" t="str">
        <f t="shared" si="1852"/>
        <v>GWe/yr.</v>
      </c>
      <c r="F1796" s="1">
        <f>'[1]Electricity and CHPs_CAP'!B$42</f>
        <v>1.2870252393461221E-2</v>
      </c>
      <c r="G1796" s="1">
        <f>'[1]Electricity and CHPs_CAP'!C$42</f>
        <v>1.5038137398861954E-2</v>
      </c>
      <c r="H1796" s="1">
        <f>'[1]Electricity and CHPs_CAP'!D$42</f>
        <v>4.631644953856081E-2</v>
      </c>
      <c r="I1796" s="1">
        <f>'[1]Electricity and CHPs_CAP'!E$42</f>
        <v>9.4195697419412902E-2</v>
      </c>
      <c r="J1796" s="1">
        <f>'[2]Electricity and CHPs_CAP'!F$42</f>
        <v>0.14416708067864337</v>
      </c>
      <c r="K1796" s="1">
        <f>'[2]Electricity and CHPs_CAP'!G$42</f>
        <v>0.11467269784474998</v>
      </c>
      <c r="L1796" s="1">
        <f>'[2]Electricity and CHPs_CAP'!H$42</f>
        <v>0.1029186161570021</v>
      </c>
      <c r="N1796" s="1"/>
    </row>
    <row r="1797" spans="2:14" x14ac:dyDescent="0.35">
      <c r="B1797" s="5" t="str">
        <f t="shared" si="1867"/>
        <v>SPS1</v>
      </c>
      <c r="C1797" s="5" t="str">
        <f t="shared" si="1867"/>
        <v>CH</v>
      </c>
      <c r="D1797" t="s">
        <v>1827</v>
      </c>
      <c r="E1797" t="str">
        <f t="shared" si="1852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'[2]Electricity and CHPs_CAP'!F$43</f>
        <v>0</v>
      </c>
      <c r="K1797" s="1">
        <f>'[2]Electricity and CHPs_CAP'!G$43</f>
        <v>4.2097749493471101E-2</v>
      </c>
      <c r="L1797" s="1">
        <f>'[2]Electricity and CHPs_CAP'!H$43</f>
        <v>6.08495836250788E-2</v>
      </c>
      <c r="N1797" s="1"/>
    </row>
    <row r="1798" spans="2:14" x14ac:dyDescent="0.35">
      <c r="B1798" s="5" t="str">
        <f t="shared" si="1867"/>
        <v>SPS1</v>
      </c>
      <c r="C1798" s="5" t="str">
        <f t="shared" si="1867"/>
        <v>CH</v>
      </c>
      <c r="D1798" t="s">
        <v>1828</v>
      </c>
      <c r="E1798" t="str">
        <f t="shared" si="1852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1.3927684143595729E-4</v>
      </c>
      <c r="J1798" s="1">
        <f>'[2]Electricity and CHPs_CAP'!F$50</f>
        <v>2.1831641230041657E-4</v>
      </c>
      <c r="K1798" s="1">
        <f>'[2]Electricity and CHPs_CAP'!G$50</f>
        <v>2.0473859181736884E-4</v>
      </c>
      <c r="L1798" s="1">
        <f>'[2]Electricity and CHPs_CAP'!H$50</f>
        <v>8.8810930277410997E-5</v>
      </c>
      <c r="N1798" s="1"/>
    </row>
    <row r="1799" spans="2:14" x14ac:dyDescent="0.35">
      <c r="B1799" s="5" t="str">
        <f t="shared" si="1867"/>
        <v>SPS1</v>
      </c>
      <c r="C1799" s="5" t="str">
        <f t="shared" si="1867"/>
        <v>CH</v>
      </c>
      <c r="D1799" t="s">
        <v>1829</v>
      </c>
      <c r="E1799" t="str">
        <f t="shared" si="1852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2.4619668007455696E-4</v>
      </c>
      <c r="J1799" s="1">
        <f>'[2]Electricity and CHPs_CAP'!F$53</f>
        <v>3.2857473185933142E-2</v>
      </c>
      <c r="K1799" s="1">
        <f>'[2]Electricity and CHPs_CAP'!G$53</f>
        <v>4.1928155985646108E-2</v>
      </c>
      <c r="L1799" s="1">
        <f>'[2]Electricity and CHPs_CAP'!H$53</f>
        <v>2.0446257932479034E-2</v>
      </c>
      <c r="N1799" s="1"/>
    </row>
    <row r="1800" spans="2:14" x14ac:dyDescent="0.35">
      <c r="B1800" s="5" t="str">
        <f t="shared" si="1867"/>
        <v>SPS1</v>
      </c>
      <c r="C1800" s="5" t="str">
        <f t="shared" si="1867"/>
        <v>CH</v>
      </c>
      <c r="D1800" t="s">
        <v>1830</v>
      </c>
      <c r="E1800" t="str">
        <f t="shared" si="1852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2.5563926205390602E-4</v>
      </c>
      <c r="J1800" s="1">
        <f>'[2]Electricity and CHPs_CAP'!F$56</f>
        <v>1.1196724711018546E-4</v>
      </c>
      <c r="K1800" s="1">
        <f>'[2]Electricity and CHPs_CAP'!G$56</f>
        <v>9.0898097660053353E-5</v>
      </c>
      <c r="L1800" s="1">
        <f>'[2]Electricity and CHPs_CAP'!H$56</f>
        <v>3.647804533087493E-5</v>
      </c>
      <c r="N1800" s="1"/>
    </row>
    <row r="1801" spans="2:14" x14ac:dyDescent="0.35">
      <c r="B1801" s="5" t="str">
        <f t="shared" si="1867"/>
        <v>SPS1</v>
      </c>
      <c r="C1801" s="5" t="str">
        <f t="shared" si="1867"/>
        <v>CH</v>
      </c>
      <c r="D1801" t="s">
        <v>1831</v>
      </c>
      <c r="E1801" t="str">
        <f t="shared" si="1852"/>
        <v>GWe/yr.</v>
      </c>
      <c r="F1801" s="1">
        <f>F1802</f>
        <v>8.7120000000000003E-2</v>
      </c>
      <c r="G1801" s="1">
        <f t="shared" ref="G1801:L1801" si="1868">G1802</f>
        <v>9.0662617745997209E-2</v>
      </c>
      <c r="H1801" s="1">
        <f t="shared" si="1868"/>
        <v>8.365853523992621E-2</v>
      </c>
      <c r="I1801" s="1">
        <f t="shared" si="1868"/>
        <v>0.34088408587087532</v>
      </c>
      <c r="J1801" s="1">
        <f t="shared" si="1868"/>
        <v>0.14669710680475279</v>
      </c>
      <c r="K1801" s="1">
        <f t="shared" si="1868"/>
        <v>0.14674203134543268</v>
      </c>
      <c r="L1801" s="1">
        <f t="shared" si="1868"/>
        <v>0.14674519968348901</v>
      </c>
      <c r="N1801" s="1"/>
    </row>
    <row r="1802" spans="2:14" x14ac:dyDescent="0.35">
      <c r="B1802" s="5" t="str">
        <f t="shared" si="1867"/>
        <v>SPS1</v>
      </c>
      <c r="C1802" s="5" t="str">
        <f t="shared" si="1867"/>
        <v>CH</v>
      </c>
      <c r="D1802" t="s">
        <v>1832</v>
      </c>
      <c r="E1802" t="str">
        <f t="shared" si="1852"/>
        <v>GWe/yr.</v>
      </c>
      <c r="F1802" s="1">
        <f>'[1]Electricity and CHPs_CAP'!B$33</f>
        <v>8.7120000000000003E-2</v>
      </c>
      <c r="G1802" s="1">
        <f>'[1]Electricity and CHPs_CAP'!C$33</f>
        <v>9.0662617745997209E-2</v>
      </c>
      <c r="H1802" s="1">
        <f>'[1]Electricity and CHPs_CAP'!D$33</f>
        <v>8.365853523992621E-2</v>
      </c>
      <c r="I1802" s="1">
        <f>'[1]Electricity and CHPs_CAP'!E$33</f>
        <v>0.34088408587087532</v>
      </c>
      <c r="J1802" s="1">
        <f>'[2]Electricity and CHPs_CAP'!F$33</f>
        <v>0.14669710680475279</v>
      </c>
      <c r="K1802" s="1">
        <f>'[2]Electricity and CHPs_CAP'!G$33</f>
        <v>0.14674203134543268</v>
      </c>
      <c r="L1802" s="1">
        <f>'[2]Electricity and CHPs_CAP'!H$33</f>
        <v>0.14674519968348901</v>
      </c>
      <c r="N1802" s="1"/>
    </row>
    <row r="1803" spans="2:14" x14ac:dyDescent="0.35">
      <c r="B1803" s="5" t="str">
        <f t="shared" si="1867"/>
        <v>SPS1</v>
      </c>
      <c r="C1803" s="5" t="str">
        <f t="shared" si="1867"/>
        <v>CH</v>
      </c>
      <c r="D1803" t="s">
        <v>1833</v>
      </c>
      <c r="E1803" t="str">
        <f t="shared" si="1852"/>
        <v>GWe/yr.</v>
      </c>
      <c r="F1803" s="1">
        <f>SUM(F1804:F1808)</f>
        <v>2.9746549999999998</v>
      </c>
      <c r="G1803" s="1">
        <f t="shared" ref="G1803:K1803" si="1869">SUM(G1804:G1808)</f>
        <v>4.3714851417875842</v>
      </c>
      <c r="H1803" s="1">
        <f t="shared" si="1869"/>
        <v>9.1890172754312225</v>
      </c>
      <c r="I1803" s="1">
        <f t="shared" si="1869"/>
        <v>15.033711911881475</v>
      </c>
      <c r="J1803" s="1">
        <f t="shared" si="1869"/>
        <v>16.517656187201489</v>
      </c>
      <c r="K1803" s="1">
        <f t="shared" si="1869"/>
        <v>34.557823889122034</v>
      </c>
      <c r="L1803" s="1">
        <f t="shared" ref="L1803" si="1870">SUM(L1804:L1808)</f>
        <v>40.662366479004056</v>
      </c>
      <c r="N1803" s="1"/>
    </row>
    <row r="1804" spans="2:14" x14ac:dyDescent="0.35">
      <c r="B1804" s="5" t="str">
        <f t="shared" si="1867"/>
        <v>SPS1</v>
      </c>
      <c r="C1804" s="5" t="str">
        <f t="shared" si="1867"/>
        <v>CH</v>
      </c>
      <c r="D1804" t="s">
        <v>1834</v>
      </c>
      <c r="E1804" t="str">
        <f t="shared" si="1852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4.4864911900832499E-2</v>
      </c>
      <c r="I1804" s="1">
        <f>'[1]Electricity and CHPs_CAP'!E$34</f>
        <v>0.12144667718272187</v>
      </c>
      <c r="J1804" s="1">
        <f>'[2]Electricity and CHPs_CAP'!F$34</f>
        <v>0.14881309110875962</v>
      </c>
      <c r="K1804" s="1">
        <f>'[2]Electricity and CHPs_CAP'!G$34</f>
        <v>7.0370657001361048</v>
      </c>
      <c r="L1804" s="1">
        <f>'[2]Electricity and CHPs_CAP'!H$34</f>
        <v>9.9121832154799385</v>
      </c>
      <c r="N1804" s="1"/>
    </row>
    <row r="1805" spans="2:14" x14ac:dyDescent="0.35">
      <c r="B1805" s="5" t="str">
        <f t="shared" ref="B1805:C1820" si="1871">B1804</f>
        <v>SPS1</v>
      </c>
      <c r="C1805" s="5" t="str">
        <f t="shared" si="1871"/>
        <v>CH</v>
      </c>
      <c r="D1805" t="s">
        <v>1835</v>
      </c>
      <c r="E1805" t="str">
        <f t="shared" si="1852"/>
        <v>GWe/yr.</v>
      </c>
      <c r="F1805" s="1">
        <f>'[1]Electricity and CHPs_CAP'!B$35</f>
        <v>1.1186210000000001</v>
      </c>
      <c r="G1805" s="1">
        <f>'[1]Electricity and CHPs_CAP'!C$35</f>
        <v>1.652929024573641</v>
      </c>
      <c r="H1805" s="1">
        <f>'[1]Electricity and CHPs_CAP'!D$35</f>
        <v>3.56113268765997</v>
      </c>
      <c r="I1805" s="1">
        <f>'[1]Electricity and CHPs_CAP'!E$35</f>
        <v>5.6147042074852802</v>
      </c>
      <c r="J1805" s="1">
        <f>'[2]Electricity and CHPs_CAP'!F$35</f>
        <v>5.9011141803844005</v>
      </c>
      <c r="K1805" s="1">
        <f>'[2]Electricity and CHPs_CAP'!G$35</f>
        <v>11.775186960472936</v>
      </c>
      <c r="L1805" s="1">
        <f>'[2]Electricity and CHPs_CAP'!H$35</f>
        <v>13.3261370274386</v>
      </c>
      <c r="N1805" s="1"/>
    </row>
    <row r="1806" spans="2:14" x14ac:dyDescent="0.35">
      <c r="B1806" s="5" t="str">
        <f t="shared" si="1871"/>
        <v>SPS1</v>
      </c>
      <c r="C1806" s="5" t="str">
        <f t="shared" si="1871"/>
        <v>CH</v>
      </c>
      <c r="D1806" t="s">
        <v>1836</v>
      </c>
      <c r="E1806" t="str">
        <f t="shared" si="1852"/>
        <v>GWe/yr.</v>
      </c>
      <c r="F1806" s="1">
        <f>'[1]Electricity and CHPs_CAP'!B$36</f>
        <v>0.67885700000000004</v>
      </c>
      <c r="G1806" s="1">
        <f>'[1]Electricity and CHPs_CAP'!C$36</f>
        <v>1.1561786480868297</v>
      </c>
      <c r="H1806" s="1">
        <f>'[1]Electricity and CHPs_CAP'!D$36</f>
        <v>1.487477375800486</v>
      </c>
      <c r="I1806" s="1">
        <f>'[1]Electricity and CHPs_CAP'!E$36</f>
        <v>3.2249065931547394</v>
      </c>
      <c r="J1806" s="1">
        <f>'[2]Electricity and CHPs_CAP'!F$36</f>
        <v>3.4021664059472032</v>
      </c>
      <c r="K1806" s="1">
        <f>'[2]Electricity and CHPs_CAP'!G$36</f>
        <v>3.5895997601636149</v>
      </c>
      <c r="L1806" s="1">
        <f>'[2]Electricity and CHPs_CAP'!H$36</f>
        <v>3.9962902293207803</v>
      </c>
      <c r="N1806" s="1"/>
    </row>
    <row r="1807" spans="2:14" x14ac:dyDescent="0.35">
      <c r="B1807" s="5" t="str">
        <f t="shared" si="1871"/>
        <v>SPS1</v>
      </c>
      <c r="C1807" s="5" t="str">
        <f t="shared" si="1871"/>
        <v>CH</v>
      </c>
      <c r="D1807" t="s">
        <v>1837</v>
      </c>
      <c r="E1807" t="str">
        <f t="shared" si="1852"/>
        <v>GWe/yr.</v>
      </c>
      <c r="F1807" s="1">
        <f>'[1]Electricity and CHPs_CAP'!B$37</f>
        <v>0.27424799999999999</v>
      </c>
      <c r="G1807" s="1">
        <f>'[1]Electricity and CHPs_CAP'!C$37</f>
        <v>0.43927434041024166</v>
      </c>
      <c r="H1807" s="1">
        <f>'[1]Electricity and CHPs_CAP'!D$37</f>
        <v>0.91570631028671357</v>
      </c>
      <c r="I1807" s="1">
        <f>'[1]Electricity and CHPs_CAP'!E$37</f>
        <v>0.91192177711104327</v>
      </c>
      <c r="J1807" s="1">
        <f>'[2]Electricity and CHPs_CAP'!F$37</f>
        <v>1.6415863117329179</v>
      </c>
      <c r="K1807" s="1">
        <f>'[2]Electricity and CHPs_CAP'!G$37</f>
        <v>1.725345295350788</v>
      </c>
      <c r="L1807" s="1">
        <f>'[2]Electricity and CHPs_CAP'!H$37</f>
        <v>1.905855200004634</v>
      </c>
      <c r="N1807" s="1"/>
    </row>
    <row r="1808" spans="2:14" x14ac:dyDescent="0.35">
      <c r="B1808" s="5" t="str">
        <f t="shared" si="1871"/>
        <v>SPS1</v>
      </c>
      <c r="C1808" s="5" t="str">
        <f t="shared" si="1871"/>
        <v>CH</v>
      </c>
      <c r="D1808" t="s">
        <v>1838</v>
      </c>
      <c r="E1808" t="str">
        <f t="shared" si="1852"/>
        <v>GWe/yr.</v>
      </c>
      <c r="F1808" s="1">
        <f>'[1]Electricity and CHPs_CAP'!B$38</f>
        <v>0.90292899999999998</v>
      </c>
      <c r="G1808" s="1">
        <f>'[1]Electricity and CHPs_CAP'!C$38</f>
        <v>1.1231031287168727</v>
      </c>
      <c r="H1808" s="1">
        <f>'[1]Electricity and CHPs_CAP'!D$38</f>
        <v>3.1798359897832205</v>
      </c>
      <c r="I1808" s="1">
        <f>'[1]Electricity and CHPs_CAP'!E$38</f>
        <v>5.1607326569476903</v>
      </c>
      <c r="J1808" s="1">
        <f>'[2]Electricity and CHPs_CAP'!F$38</f>
        <v>5.4239761980282086</v>
      </c>
      <c r="K1808" s="1">
        <f>'[2]Electricity and CHPs_CAP'!G$38</f>
        <v>10.430626172998588</v>
      </c>
      <c r="L1808" s="1">
        <f>'[2]Electricity and CHPs_CAP'!H$38</f>
        <v>11.521900806760099</v>
      </c>
      <c r="N1808" s="1"/>
    </row>
    <row r="1809" spans="2:14" x14ac:dyDescent="0.3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852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'[2]Electricity and CHPs_CAP'!F$32</f>
        <v>0</v>
      </c>
      <c r="K1809" s="1">
        <f>'[2]Electricity and CHPs_CAP'!G$32</f>
        <v>5.5681694940800602E-5</v>
      </c>
      <c r="L1809" s="1">
        <f>'[2]Electricity and CHPs_CAP'!H$32</f>
        <v>3.557360083840569E-4</v>
      </c>
      <c r="N1809" s="1"/>
    </row>
    <row r="1810" spans="2:14" x14ac:dyDescent="0.35">
      <c r="B1810" s="5" t="str">
        <f t="shared" ref="B1810:C1810" si="1872">B1809</f>
        <v>SPS1</v>
      </c>
      <c r="C1810" s="5" t="str">
        <f t="shared" si="1872"/>
        <v>CH</v>
      </c>
      <c r="D1810" t="s">
        <v>1840</v>
      </c>
      <c r="E1810" t="str">
        <f t="shared" si="1852"/>
        <v>GWe/yr.</v>
      </c>
      <c r="F1810" s="1">
        <f>F1809</f>
        <v>0</v>
      </c>
      <c r="G1810" s="1">
        <f t="shared" ref="G1810:K1810" si="1873">G1809</f>
        <v>0</v>
      </c>
      <c r="H1810" s="1">
        <f t="shared" si="1873"/>
        <v>0</v>
      </c>
      <c r="I1810" s="1">
        <f t="shared" si="1873"/>
        <v>0</v>
      </c>
      <c r="J1810" s="1">
        <f t="shared" si="1873"/>
        <v>0</v>
      </c>
      <c r="K1810" s="1">
        <f t="shared" si="1873"/>
        <v>5.5681694940800602E-5</v>
      </c>
      <c r="L1810" s="1">
        <f t="shared" ref="L1810" si="1874">L1809</f>
        <v>3.557360083840569E-4</v>
      </c>
      <c r="N1810" s="1"/>
    </row>
    <row r="1811" spans="2:14" x14ac:dyDescent="0.3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852"/>
        <v>GWe/yr.</v>
      </c>
      <c r="F1811" s="1">
        <f t="shared" ref="F1811:K1811" si="1875">SUM(F1812:F1814)</f>
        <v>0</v>
      </c>
      <c r="G1811" s="1">
        <f t="shared" si="1875"/>
        <v>0</v>
      </c>
      <c r="H1811" s="1">
        <f t="shared" si="1875"/>
        <v>0</v>
      </c>
      <c r="I1811" s="1">
        <f t="shared" si="1875"/>
        <v>2.5823633226281801E-3</v>
      </c>
      <c r="J1811" s="1">
        <f t="shared" si="1875"/>
        <v>5.2685253370227808E-4</v>
      </c>
      <c r="K1811" s="1">
        <f t="shared" si="1875"/>
        <v>1.3309786659615058E-2</v>
      </c>
      <c r="L1811" s="1">
        <f t="shared" ref="L1811" si="1876">SUM(L1812:L1814)</f>
        <v>9.0902460512841426E-2</v>
      </c>
      <c r="N1811" s="1"/>
    </row>
    <row r="1812" spans="2:14" x14ac:dyDescent="0.35">
      <c r="B1812" s="5" t="str">
        <f t="shared" si="1871"/>
        <v>SPS1</v>
      </c>
      <c r="C1812" s="5" t="str">
        <f t="shared" si="1871"/>
        <v>CH</v>
      </c>
      <c r="D1812" t="s">
        <v>1842</v>
      </c>
      <c r="E1812" t="str">
        <f t="shared" si="1852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'[2]Electricity and CHPs_CAP'!F$30</f>
        <v>0</v>
      </c>
      <c r="K1812" s="1">
        <f>'[2]Electricity and CHPs_CAP'!G$30</f>
        <v>3.25560663185577E-4</v>
      </c>
      <c r="L1812" s="1">
        <f>'[2]Electricity and CHPs_CAP'!H$30</f>
        <v>6.9399363126039754E-2</v>
      </c>
      <c r="N1812" s="1"/>
    </row>
    <row r="1813" spans="2:14" x14ac:dyDescent="0.3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852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0</v>
      </c>
      <c r="J1813" s="1">
        <f>'[2]Electricity and CHPs_CAP'!F$46</f>
        <v>3.5386796974438701E-4</v>
      </c>
      <c r="K1813" s="1">
        <f>'[2]Electricity and CHPs_CAP'!G$46</f>
        <v>1.2443119537910712E-2</v>
      </c>
      <c r="L1813" s="1">
        <f>'[2]Electricity and CHPs_CAP'!H$46</f>
        <v>2.1159407123674936E-2</v>
      </c>
      <c r="N1813" s="1"/>
    </row>
    <row r="1814" spans="2:14" x14ac:dyDescent="0.35">
      <c r="B1814" s="5" t="str">
        <f t="shared" si="1871"/>
        <v>SPS1</v>
      </c>
      <c r="C1814" s="5" t="str">
        <f t="shared" si="1871"/>
        <v>CH</v>
      </c>
      <c r="D1814" t="s">
        <v>1844</v>
      </c>
      <c r="E1814" t="str">
        <f t="shared" si="1852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2.5823633226281801E-3</v>
      </c>
      <c r="J1814" s="1">
        <f>'[2]Electricity and CHPs_CAP'!F$57</f>
        <v>1.7298456395789102E-4</v>
      </c>
      <c r="K1814" s="1">
        <f>'[2]Electricity and CHPs_CAP'!G$57</f>
        <v>5.4110645851876882E-4</v>
      </c>
      <c r="L1814" s="1">
        <f>'[2]Electricity and CHPs_CAP'!H$57</f>
        <v>3.4369026312673629E-4</v>
      </c>
      <c r="N1814" s="1"/>
    </row>
    <row r="1815" spans="2:14" x14ac:dyDescent="0.35">
      <c r="B1815" s="5" t="str">
        <f t="shared" si="1871"/>
        <v>SPS1</v>
      </c>
      <c r="C1815" s="5" t="str">
        <f t="shared" si="1871"/>
        <v>CH</v>
      </c>
      <c r="D1815" t="s">
        <v>1845</v>
      </c>
      <c r="E1815" t="str">
        <f t="shared" si="1852"/>
        <v>GWe/yr.</v>
      </c>
      <c r="F1815" s="1">
        <f>SUM(F1816:F1822)</f>
        <v>0.18322531022244842</v>
      </c>
      <c r="G1815" s="1">
        <f t="shared" ref="G1815:K1815" si="1877">SUM(G1816:G1822)</f>
        <v>0.18330151819712398</v>
      </c>
      <c r="H1815" s="1">
        <f t="shared" si="1877"/>
        <v>0.50961664080503555</v>
      </c>
      <c r="I1815" s="1">
        <f t="shared" si="1877"/>
        <v>0.84630757235125076</v>
      </c>
      <c r="J1815" s="1">
        <f t="shared" si="1877"/>
        <v>0.89076620153957564</v>
      </c>
      <c r="K1815" s="1">
        <f t="shared" si="1877"/>
        <v>2.0097414603838621</v>
      </c>
      <c r="L1815" s="1">
        <f t="shared" ref="L1815" si="1878">SUM(L1816:L1822)</f>
        <v>2.8575091676234701</v>
      </c>
      <c r="N1815" s="1"/>
    </row>
    <row r="1816" spans="2:14" x14ac:dyDescent="0.35">
      <c r="B1816" s="5" t="str">
        <f t="shared" si="1871"/>
        <v>SPS1</v>
      </c>
      <c r="C1816" s="5" t="str">
        <f t="shared" si="1871"/>
        <v>CH</v>
      </c>
      <c r="D1816" t="s">
        <v>1846</v>
      </c>
      <c r="E1816" t="str">
        <f t="shared" si="1852"/>
        <v>GWe/yr.</v>
      </c>
      <c r="F1816" s="1">
        <f>'[1]Electricity and CHPs_CAP'!B$63</f>
        <v>0.1</v>
      </c>
      <c r="G1816" s="1">
        <f>'[1]Electricity and CHPs_CAP'!C$63</f>
        <v>9.997276009901121E-2</v>
      </c>
      <c r="H1816" s="1">
        <f>'[1]Electricity and CHPs_CAP'!D$63</f>
        <v>9.9969443633639521E-2</v>
      </c>
      <c r="I1816" s="1">
        <f>'[1]Electricity and CHPs_CAP'!E$63</f>
        <v>9.997017813003288E-2</v>
      </c>
      <c r="J1816" s="1">
        <f>'[2]Electricity and CHPs_CAP'!F$63</f>
        <v>9.9998765106441165E-2</v>
      </c>
      <c r="K1816" s="1">
        <f>'[2]Electricity and CHPs_CAP'!G$63</f>
        <v>9.9999079603665095E-2</v>
      </c>
      <c r="L1816" s="1">
        <f>'[2]Electricity and CHPs_CAP'!H$63</f>
        <v>9.9999292044936891E-2</v>
      </c>
      <c r="N1816" s="1"/>
    </row>
    <row r="1817" spans="2:14" x14ac:dyDescent="0.35">
      <c r="B1817" s="5" t="str">
        <f t="shared" si="1871"/>
        <v>SPS1</v>
      </c>
      <c r="C1817" s="5" t="str">
        <f t="shared" si="1871"/>
        <v>CH</v>
      </c>
      <c r="D1817" t="s">
        <v>1847</v>
      </c>
      <c r="E1817" t="str">
        <f t="shared" si="1852"/>
        <v>GWe/yr.</v>
      </c>
      <c r="F1817" s="1">
        <f>'[1]Electricity and CHPs_CAP'!B$64</f>
        <v>1.2706960992768201E-2</v>
      </c>
      <c r="G1817" s="1">
        <f>'[1]Electricity and CHPs_CAP'!C$64</f>
        <v>1.271593329609862E-2</v>
      </c>
      <c r="H1817" s="1">
        <f>'[1]Electricity and CHPs_CAP'!D$64</f>
        <v>1.2866627606723847E-2</v>
      </c>
      <c r="I1817" s="1">
        <f>'[1]Electricity and CHPs_CAP'!E$64</f>
        <v>3.1949216350766994E-2</v>
      </c>
      <c r="J1817" s="1">
        <f>'[2]Electricity and CHPs_CAP'!F$64</f>
        <v>1.1842662710487619E-2</v>
      </c>
      <c r="K1817" s="1">
        <f>'[2]Electricity and CHPs_CAP'!G$64</f>
        <v>0.49034720072199767</v>
      </c>
      <c r="L1817" s="1">
        <f>'[2]Electricity and CHPs_CAP'!H$64</f>
        <v>0.93880361062943884</v>
      </c>
      <c r="N1817" s="1"/>
    </row>
    <row r="1818" spans="2:14" x14ac:dyDescent="0.35">
      <c r="B1818" s="5" t="str">
        <f t="shared" si="1871"/>
        <v>SPS1</v>
      </c>
      <c r="C1818" s="5" t="str">
        <f t="shared" si="1871"/>
        <v>CH</v>
      </c>
      <c r="D1818" t="s">
        <v>1848</v>
      </c>
      <c r="E1818" t="str">
        <f t="shared" si="1852"/>
        <v>GWe/yr.</v>
      </c>
      <c r="F1818" s="1">
        <f>'[1]Electricity and CHPs_CAP'!B$65</f>
        <v>9.6401009126476107E-3</v>
      </c>
      <c r="G1818" s="1">
        <f>'[1]Electricity and CHPs_CAP'!C$65</f>
        <v>9.6497167756319675E-3</v>
      </c>
      <c r="H1818" s="1">
        <f>'[1]Electricity and CHPs_CAP'!D$65</f>
        <v>9.7586707475158276E-3</v>
      </c>
      <c r="I1818" s="1">
        <f>'[1]Electricity and CHPs_CAP'!E$65</f>
        <v>1.7650283203251058E-2</v>
      </c>
      <c r="J1818" s="1">
        <f>'[2]Electricity and CHPs_CAP'!F$65</f>
        <v>9.6637038464675567E-3</v>
      </c>
      <c r="K1818" s="1">
        <f>'[2]Electricity and CHPs_CAP'!G$65</f>
        <v>0.23802529752427812</v>
      </c>
      <c r="L1818" s="1">
        <f>'[2]Electricity and CHPs_CAP'!H$65</f>
        <v>0.3667298182924103</v>
      </c>
      <c r="N1818" s="1"/>
    </row>
    <row r="1819" spans="2:14" x14ac:dyDescent="0.35">
      <c r="B1819" s="5" t="str">
        <f t="shared" si="1871"/>
        <v>SPS1</v>
      </c>
      <c r="C1819" s="5" t="str">
        <f t="shared" si="1871"/>
        <v>CH</v>
      </c>
      <c r="D1819" t="s">
        <v>1849</v>
      </c>
      <c r="E1819" t="str">
        <f t="shared" si="1852"/>
        <v>GWe/yr.</v>
      </c>
      <c r="F1819" s="1">
        <f>'[1]Electricity and CHPs_CAP'!B$66</f>
        <v>1.0042638807873625E-2</v>
      </c>
      <c r="G1819" s="1">
        <f>'[1]Electricity and CHPs_CAP'!C$66</f>
        <v>1.0056056809871984E-2</v>
      </c>
      <c r="H1819" s="1">
        <f>'[1]Electricity and CHPs_CAP'!D$66</f>
        <v>7.1502404852610613E-2</v>
      </c>
      <c r="I1819" s="1">
        <f>'[1]Electricity and CHPs_CAP'!E$66</f>
        <v>0.11485678790357512</v>
      </c>
      <c r="J1819" s="1">
        <f>'[2]Electricity and CHPs_CAP'!F$66</f>
        <v>0.12281823279256507</v>
      </c>
      <c r="K1819" s="1">
        <f>'[2]Electricity and CHPs_CAP'!G$66</f>
        <v>0.25300464325090938</v>
      </c>
      <c r="L1819" s="1">
        <f>'[2]Electricity and CHPs_CAP'!H$66</f>
        <v>0.31465342592632561</v>
      </c>
      <c r="N1819" s="1"/>
    </row>
    <row r="1820" spans="2:14" x14ac:dyDescent="0.35">
      <c r="B1820" s="5" t="str">
        <f t="shared" si="1871"/>
        <v>SPS1</v>
      </c>
      <c r="C1820" s="5" t="str">
        <f t="shared" si="1871"/>
        <v>CH</v>
      </c>
      <c r="D1820" t="s">
        <v>1855</v>
      </c>
      <c r="E1820" t="str">
        <f t="shared" si="1852"/>
        <v>GWe/yr.</v>
      </c>
      <c r="F1820" s="1">
        <f>'[1]Electricity and CHPs_CAP'!B$67</f>
        <v>2.118490047211433E-2</v>
      </c>
      <c r="G1820" s="1">
        <f>'[1]Electricity and CHPs_CAP'!C$67</f>
        <v>2.1217381428038345E-2</v>
      </c>
      <c r="H1820" s="1">
        <f>'[1]Electricity and CHPs_CAP'!D$67</f>
        <v>0.15329253630117884</v>
      </c>
      <c r="I1820" s="1">
        <f>'[1]Electricity and CHPs_CAP'!E$67</f>
        <v>0.33449920570524139</v>
      </c>
      <c r="J1820" s="1">
        <f>'[2]Electricity and CHPs_CAP'!F$67</f>
        <v>0.36051965973872502</v>
      </c>
      <c r="K1820" s="1">
        <f>'[2]Electricity and CHPs_CAP'!G$67</f>
        <v>0.39234610445854989</v>
      </c>
      <c r="L1820" s="1">
        <f>'[2]Electricity and CHPs_CAP'!H$67</f>
        <v>0.48040712980472944</v>
      </c>
      <c r="N1820" s="1"/>
    </row>
    <row r="1821" spans="2:14" x14ac:dyDescent="0.35">
      <c r="B1821" s="5" t="str">
        <f t="shared" ref="B1821:C1822" si="1879">B1820</f>
        <v>SPS1</v>
      </c>
      <c r="C1821" s="5" t="str">
        <f t="shared" si="1879"/>
        <v>CH</v>
      </c>
      <c r="D1821" t="s">
        <v>1850</v>
      </c>
      <c r="E1821" t="str">
        <f t="shared" si="1852"/>
        <v>GWe/yr.</v>
      </c>
      <c r="F1821" s="1">
        <f>'[1]Electricity and CHPs_CAP'!B$68</f>
        <v>1.9202524602450664E-2</v>
      </c>
      <c r="G1821" s="1">
        <f>'[1]Electricity and CHPs_CAP'!C$68</f>
        <v>1.9226490388208617E-2</v>
      </c>
      <c r="H1821" s="1">
        <f>'[1]Electricity and CHPs_CAP'!D$68</f>
        <v>3.6728619300343449E-2</v>
      </c>
      <c r="I1821" s="1">
        <f>'[1]Electricity and CHPs_CAP'!E$68</f>
        <v>3.7537359726462008E-2</v>
      </c>
      <c r="J1821" s="1">
        <f>'[2]Electricity and CHPs_CAP'!F$68</f>
        <v>6.0154016857042081E-2</v>
      </c>
      <c r="K1821" s="1">
        <f>'[2]Electricity and CHPs_CAP'!G$68</f>
        <v>6.5312576333812516E-2</v>
      </c>
      <c r="L1821" s="1">
        <f>'[2]Electricity and CHPs_CAP'!H$68</f>
        <v>7.9365852178765989E-2</v>
      </c>
      <c r="N1821" s="1"/>
    </row>
    <row r="1822" spans="2:14" x14ac:dyDescent="0.35">
      <c r="B1822" s="5" t="str">
        <f t="shared" si="1879"/>
        <v>SPS1</v>
      </c>
      <c r="C1822" s="5" t="str">
        <f t="shared" si="1879"/>
        <v>CH</v>
      </c>
      <c r="D1822" t="s">
        <v>1851</v>
      </c>
      <c r="E1822" t="str">
        <f t="shared" si="1852"/>
        <v>GWe/yr.</v>
      </c>
      <c r="F1822" s="1">
        <f>'[1]Electricity and CHPs_CAP'!B$69</f>
        <v>1.0448184434593983E-2</v>
      </c>
      <c r="G1822" s="1">
        <f>'[1]Electricity and CHPs_CAP'!C$69</f>
        <v>1.0463179400263247E-2</v>
      </c>
      <c r="H1822" s="1">
        <f>'[1]Electricity and CHPs_CAP'!D$69</f>
        <v>0.12549833836302349</v>
      </c>
      <c r="I1822" s="1">
        <f>'[1]Electricity and CHPs_CAP'!E$69</f>
        <v>0.20984454133192129</v>
      </c>
      <c r="J1822" s="1">
        <f>'[2]Electricity and CHPs_CAP'!F$69</f>
        <v>0.22576916048784709</v>
      </c>
      <c r="K1822" s="1">
        <f>'[2]Electricity and CHPs_CAP'!G$69</f>
        <v>0.47070655849064952</v>
      </c>
      <c r="L1822" s="1">
        <f>'[2]Electricity and CHPs_CAP'!H$69</f>
        <v>0.57755003874686295</v>
      </c>
      <c r="N1822" s="1"/>
    </row>
    <row r="1823" spans="2:14" x14ac:dyDescent="0.35">
      <c r="B1823" s="5" t="str">
        <f t="shared" ref="B1823:C1823" si="1880">B1822</f>
        <v>SPS1</v>
      </c>
      <c r="C1823" s="5" t="str">
        <f t="shared" si="1880"/>
        <v>CH</v>
      </c>
      <c r="D1823" s="2" t="s">
        <v>1860</v>
      </c>
      <c r="E1823" s="2" t="s">
        <v>1858</v>
      </c>
      <c r="F1823" s="3">
        <f>SUM(F1824,F1843)</f>
        <v>11.164660214352383</v>
      </c>
      <c r="G1823" s="3">
        <f t="shared" ref="G1823:K1823" si="1881">SUM(G1824,G1843)</f>
        <v>11.951580044925967</v>
      </c>
      <c r="H1823" s="3">
        <f t="shared" si="1881"/>
        <v>11.858986350229776</v>
      </c>
      <c r="I1823" s="3">
        <f t="shared" si="1881"/>
        <v>13.123880014895573</v>
      </c>
      <c r="J1823" s="3">
        <f t="shared" si="1881"/>
        <v>9.2463624964105531</v>
      </c>
      <c r="K1823" s="3">
        <f t="shared" si="1881"/>
        <v>8.873680356501831</v>
      </c>
      <c r="L1823" s="3">
        <f t="shared" ref="L1823" si="1882">SUM(L1824,L1843)</f>
        <v>8.1487281493424781</v>
      </c>
      <c r="N1823" s="1"/>
    </row>
    <row r="1824" spans="2:14" x14ac:dyDescent="0.3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9.3031653217428936</v>
      </c>
      <c r="G1824" s="1">
        <f t="shared" ref="G1824:K1824" si="1883">SUM(G1825,G1828,G1830,G1833,G1835,G1837,G1839,G1841)</f>
        <v>9.9331941456963726</v>
      </c>
      <c r="H1824" s="1">
        <f t="shared" si="1883"/>
        <v>9.9033594632878152</v>
      </c>
      <c r="I1824" s="1">
        <f t="shared" si="1883"/>
        <v>11.069473361064484</v>
      </c>
      <c r="J1824" s="1">
        <f t="shared" si="1883"/>
        <v>7.5478630241551592</v>
      </c>
      <c r="K1824" s="1">
        <f t="shared" si="1883"/>
        <v>6.9779443534663272</v>
      </c>
      <c r="L1824" s="1">
        <f t="shared" ref="L1824" si="1884">SUM(L1825,L1828,L1830,L1833,L1835,L1837,L1839,L1841)</f>
        <v>6.1449970146821817</v>
      </c>
      <c r="N1824" s="1"/>
    </row>
    <row r="1825" spans="2:14" x14ac:dyDescent="0.3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2.111714442656516</v>
      </c>
      <c r="G1825" s="1">
        <f t="shared" ref="G1825:K1825" si="1885">SUM(G1826:G1827)</f>
        <v>2.4019297157418</v>
      </c>
      <c r="H1825" s="1">
        <f t="shared" si="1885"/>
        <v>2.7466899370178424</v>
      </c>
      <c r="I1825" s="1">
        <f t="shared" si="1885"/>
        <v>3.2883483905890571</v>
      </c>
      <c r="J1825" s="1">
        <f t="shared" si="1885"/>
        <v>3.6658589367444541</v>
      </c>
      <c r="K1825" s="1">
        <f t="shared" si="1885"/>
        <v>4.1511862974760403</v>
      </c>
      <c r="L1825" s="1">
        <f t="shared" ref="L1825" si="1886">SUM(L1826:L1827)</f>
        <v>4.1559584761237369</v>
      </c>
      <c r="N1825" s="1"/>
    </row>
    <row r="1826" spans="2:14" x14ac:dyDescent="0.35">
      <c r="B1826" s="5" t="str">
        <f t="shared" ref="B1826:C1826" si="1887">B1825</f>
        <v>SPS1</v>
      </c>
      <c r="C1826" s="5" t="str">
        <f t="shared" si="1887"/>
        <v>CH</v>
      </c>
      <c r="D1826" t="s">
        <v>1862</v>
      </c>
      <c r="E1826" t="str">
        <f t="shared" ref="E1826:E1889" si="1888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0.67260685124093256</v>
      </c>
      <c r="G1826" s="1" cm="1">
        <f t="array" ref="G1826">SUMPRODUCT(([1]OUT_FinalEnergyCons!$B$4:$B$10000="var_cap")*1,(ISNUMBER(SEARCH("RH*-SHELCBR",[1]OUT_FinalEnergyCons!$A$4:$A$10000)))*1,[1]OUT_FinalEnergyCons!E$4:E$10000)</f>
        <v>0.7346181152637925</v>
      </c>
      <c r="H1826" s="1" cm="1">
        <f t="array" ref="H1826">SUMPRODUCT(([1]OUT_FinalEnergyCons!$B$4:$B$10000="var_cap")*1,(ISNUMBER(SEARCH("RH*-SHELCBR",[1]OUT_FinalEnergyCons!$A$4:$A$10000)))*1,[1]OUT_FinalEnergyCons!F$4:F$10000)</f>
        <v>0.16500980914133312</v>
      </c>
      <c r="I1826" s="1" cm="1">
        <f t="array" ref="I1826">SUMPRODUCT(([1]OUT_FinalEnergyCons!$B$4:$B$10000="var_cap")*1,(ISNUMBER(SEARCH("RH*-SHELCBR",[1]OUT_FinalEnergyCons!$A$4:$A$10000)))*1,[1]OUT_FinalEnergyCons!G$4:G$10000)</f>
        <v>7.3715914484717149E-2</v>
      </c>
      <c r="J1826" s="1" cm="1">
        <f t="array" ref="J1826">SUMPRODUCT(([2]OUT_FinalEnergyCons!$B$4:$B$10000="var_cap")*1,(ISNUMBER(SEARCH("RH*-SHELCBR",[2]OUT_FinalEnergyCons!$A$4:$A$10000)))*1,[2]OUT_FinalEnergyCons!H$4:H$10000)</f>
        <v>1.5439504845448903E-2</v>
      </c>
      <c r="K1826" s="1" cm="1">
        <f t="array" ref="K1826">SUMPRODUCT(([2]OUT_FinalEnergyCons!$B$4:$B$10000="var_cap")*1,(ISNUMBER(SEARCH("RH*-SHELCBR",[2]OUT_FinalEnergyCons!$A$4:$A$10000)))*1,[2]OUT_FinalEnergyCons!I$4:I$10000)</f>
        <v>4.0050325710611614E-3</v>
      </c>
      <c r="L1826" s="1" cm="1">
        <f t="array" ref="L1826">SUMPRODUCT(([2]OUT_FinalEnergyCons!$B$4:$B$10000="var_cap")*1,(ISNUMBER(SEARCH("RH*-SHELCBR",[2]OUT_FinalEnergyCons!$A$4:$A$10000)))*1,[2]OUT_FinalEnergyCons!J$4:J$10000)</f>
        <v>1.9755207113401748E-3</v>
      </c>
      <c r="N1826" s="1"/>
    </row>
    <row r="1827" spans="2:14" x14ac:dyDescent="0.35">
      <c r="B1827" s="5" t="str">
        <f t="shared" ref="B1827:C1827" si="1889">B1826</f>
        <v>SPS1</v>
      </c>
      <c r="C1827" s="5" t="str">
        <f t="shared" si="1889"/>
        <v>CH</v>
      </c>
      <c r="D1827" t="s">
        <v>1863</v>
      </c>
      <c r="E1827" t="str">
        <f t="shared" si="1888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1.4391075914155833</v>
      </c>
      <c r="G1827" s="1" cm="1">
        <f t="array" ref="G1827">SUMPRODUCT(([1]OUT_FinalEnergyCons!$B$4:$B$10000="var_cap")*1,ISNUMBER(SEARCH("RH*-SHELCHP",[1]OUT_FinalEnergyCons!$A$4:$A$10000))*1,[1]OUT_FinalEnergyCons!E$4:E$10000)</f>
        <v>1.6673116004780075</v>
      </c>
      <c r="H1827" s="1" cm="1">
        <f t="array" ref="H1827">SUMPRODUCT(([1]OUT_FinalEnergyCons!$B$4:$B$10000="var_cap")*1,ISNUMBER(SEARCH("RH*-SHELCHP",[1]OUT_FinalEnergyCons!$A$4:$A$10000))*1,[1]OUT_FinalEnergyCons!F$4:F$10000)</f>
        <v>2.5816801278765094</v>
      </c>
      <c r="I1827" s="1" cm="1">
        <f t="array" ref="I1827">SUMPRODUCT(([1]OUT_FinalEnergyCons!$B$4:$B$10000="var_cap")*1,ISNUMBER(SEARCH("RH*-SHELCHP",[1]OUT_FinalEnergyCons!$A$4:$A$10000))*1,[1]OUT_FinalEnergyCons!G$4:G$10000)</f>
        <v>3.2146324761043399</v>
      </c>
      <c r="J1827" s="1" cm="1">
        <f t="array" ref="J1827">SUMPRODUCT(([2]OUT_FinalEnergyCons!$B$4:$B$10000="var_cap")*1,ISNUMBER(SEARCH("RH*-SHELCHP",[2]OUT_FinalEnergyCons!$A$4:$A$10000))*1,[2]OUT_FinalEnergyCons!H$4:H$10000)</f>
        <v>3.6504194318990053</v>
      </c>
      <c r="K1827" s="1" cm="1">
        <f t="array" ref="K1827">SUMPRODUCT(([2]OUT_FinalEnergyCons!$B$4:$B$10000="var_cap")*1,ISNUMBER(SEARCH("RH*-SHELCHP",[2]OUT_FinalEnergyCons!$A$4:$A$10000))*1,[2]OUT_FinalEnergyCons!I$4:I$10000)</f>
        <v>4.1471812649049795</v>
      </c>
      <c r="L1827" s="1" cm="1">
        <f t="array" ref="L1827">SUMPRODUCT(([2]OUT_FinalEnergyCons!$B$4:$B$10000="var_cap")*1,ISNUMBER(SEARCH("RH*-SHELCHP",[2]OUT_FinalEnergyCons!$A$4:$A$10000))*1,[2]OUT_FinalEnergyCons!J$4:J$10000)</f>
        <v>4.1539829554123964</v>
      </c>
      <c r="N1827" s="1"/>
    </row>
    <row r="1828" spans="2:14" x14ac:dyDescent="0.35">
      <c r="B1828" s="5" t="str">
        <f t="shared" ref="B1828:C1828" si="1890">B1827</f>
        <v>SPS1</v>
      </c>
      <c r="C1828" s="5" t="str">
        <f t="shared" si="1890"/>
        <v>CH</v>
      </c>
      <c r="D1828" t="s">
        <v>1864</v>
      </c>
      <c r="E1828" t="str">
        <f t="shared" si="1888"/>
        <v>GWth/yr.</v>
      </c>
      <c r="F1828" s="1">
        <f>F1829</f>
        <v>3.4074053831106799</v>
      </c>
      <c r="G1828" s="1">
        <f t="shared" ref="G1828:L1828" si="1891">G1829</f>
        <v>3.3908918835775168</v>
      </c>
      <c r="H1828" s="1">
        <f t="shared" si="1891"/>
        <v>2.9297016490919012</v>
      </c>
      <c r="I1828" s="1">
        <f t="shared" si="1891"/>
        <v>2.9179873679323212</v>
      </c>
      <c r="J1828" s="1">
        <f t="shared" si="1891"/>
        <v>0.87480080123876203</v>
      </c>
      <c r="K1828" s="1">
        <f t="shared" si="1891"/>
        <v>0.30222716175497055</v>
      </c>
      <c r="L1828" s="1">
        <f t="shared" si="1891"/>
        <v>4.580813503228609E-2</v>
      </c>
      <c r="N1828" s="1"/>
    </row>
    <row r="1829" spans="2:14" x14ac:dyDescent="0.35">
      <c r="B1829" s="5" t="str">
        <f t="shared" ref="B1829:C1829" si="1892">B1828</f>
        <v>SPS1</v>
      </c>
      <c r="C1829" s="5" t="str">
        <f t="shared" si="1892"/>
        <v>CH</v>
      </c>
      <c r="D1829" t="s">
        <v>1865</v>
      </c>
      <c r="E1829" t="str">
        <f t="shared" si="1888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3.3908918835775168</v>
      </c>
      <c r="H1829" s="1" cm="1">
        <f t="array" ref="H1829">SUMPRODUCT(([1]OUT_FinalEnergyCons!$B$4:$B$10000="var_cap")*1, (ISNUMBER(SEARCH("RH*-SHLFOBR",[1]OUT_FinalEnergyCons!$A$4:$A$10000)))*1,[1]OUT_FinalEnergyCons!F$4:F$10000)</f>
        <v>2.9297016490919012</v>
      </c>
      <c r="I1829" s="1" cm="1">
        <f t="array" ref="I1829">SUMPRODUCT(([1]OUT_FinalEnergyCons!$B$4:$B$10000="var_cap")*1, (ISNUMBER(SEARCH("RH*-SHLFOBR",[1]OUT_FinalEnergyCons!$A$4:$A$10000)))*1,[1]OUT_FinalEnergyCons!G$4:G$10000)</f>
        <v>2.9179873679323212</v>
      </c>
      <c r="J1829" s="1" cm="1">
        <f t="array" ref="J1829">SUMPRODUCT(([2]OUT_FinalEnergyCons!$B$4:$B$10000="var_cap")*1, (ISNUMBER(SEARCH("RH*-SHLFOBR",[2]OUT_FinalEnergyCons!$A$4:$A$10000)))*1,[2]OUT_FinalEnergyCons!H$4:H$10000)</f>
        <v>0.87480080123876203</v>
      </c>
      <c r="K1829" s="1" cm="1">
        <f t="array" ref="K1829">SUMPRODUCT(([2]OUT_FinalEnergyCons!$B$4:$B$10000="var_cap")*1, (ISNUMBER(SEARCH("RH*-SHLFOBR",[2]OUT_FinalEnergyCons!$A$4:$A$10000)))*1,[2]OUT_FinalEnergyCons!I$4:I$10000)</f>
        <v>0.30222716175497055</v>
      </c>
      <c r="L1829" s="1" cm="1">
        <f t="array" ref="L1829">SUMPRODUCT(([2]OUT_FinalEnergyCons!$B$4:$B$10000="var_cap")*1, (ISNUMBER(SEARCH("RH*-SHLFOBR",[2]OUT_FinalEnergyCons!$A$4:$A$10000)))*1,[2]OUT_FinalEnergyCons!J$4:J$10000)</f>
        <v>4.580813503228609E-2</v>
      </c>
      <c r="N1829" s="1"/>
    </row>
    <row r="1830" spans="2:14" x14ac:dyDescent="0.35">
      <c r="B1830" s="5" t="str">
        <f t="shared" ref="B1830:C1830" si="1893">B1829</f>
        <v>SPS1</v>
      </c>
      <c r="C1830" s="5" t="str">
        <f t="shared" si="1893"/>
        <v>CH</v>
      </c>
      <c r="D1830" t="s">
        <v>1866</v>
      </c>
      <c r="E1830" t="str">
        <f t="shared" si="1888"/>
        <v>GWth/yr.</v>
      </c>
      <c r="F1830" s="1">
        <f>SUM(F1831:F1832)</f>
        <v>2.7687560637805997</v>
      </c>
      <c r="G1830" s="1">
        <f t="shared" ref="G1830:K1830" si="1894">SUM(G1831:G1832)</f>
        <v>2.985298301446432</v>
      </c>
      <c r="H1830" s="1">
        <f t="shared" si="1894"/>
        <v>3.2420341878675401</v>
      </c>
      <c r="I1830" s="1">
        <f t="shared" si="1894"/>
        <v>3.8757075037725848</v>
      </c>
      <c r="J1830" s="1">
        <f t="shared" si="1894"/>
        <v>2.3481335562125496</v>
      </c>
      <c r="K1830" s="1">
        <f t="shared" si="1894"/>
        <v>2.002862794417624</v>
      </c>
      <c r="L1830" s="1">
        <f t="shared" ref="L1830" si="1895">SUM(L1831:L1832)</f>
        <v>1.6470640435018808</v>
      </c>
      <c r="N1830" s="1"/>
    </row>
    <row r="1831" spans="2:14" x14ac:dyDescent="0.35">
      <c r="B1831" s="5" t="str">
        <f t="shared" ref="B1831:C1831" si="1896">B1830</f>
        <v>SPS1</v>
      </c>
      <c r="C1831" s="5" t="str">
        <f t="shared" si="1896"/>
        <v>CH</v>
      </c>
      <c r="D1831" t="s">
        <v>1867</v>
      </c>
      <c r="E1831" t="str">
        <f t="shared" si="1888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2.9852561817935266</v>
      </c>
      <c r="H1831" s="1" cm="1">
        <f t="array" ref="H1831">SUMPRODUCT(([1]OUT_FinalEnergyCons!$B$4:$B$10000="var_cap")*1, (ISNUMBER(SEARCH("RH*-SHNGABR",[1]OUT_FinalEnergyCons!$A$4:$A$10000)))*1,[1]OUT_FinalEnergyCons!F$4:F$10000)</f>
        <v>2.8488152920298115</v>
      </c>
      <c r="I1831" s="1" cm="1">
        <f t="array" ref="I1831">SUMPRODUCT(([1]OUT_FinalEnergyCons!$B$4:$B$10000="var_cap")*1, (ISNUMBER(SEARCH("RH*-SHNGABR",[1]OUT_FinalEnergyCons!$A$4:$A$10000)))*1,[1]OUT_FinalEnergyCons!G$4:G$10000)</f>
        <v>2.8448121684044003</v>
      </c>
      <c r="J1831" s="1" cm="1">
        <f t="array" ref="J1831">SUMPRODUCT(([2]OUT_FinalEnergyCons!$B$4:$B$10000="var_cap")*1, (ISNUMBER(SEARCH("RH*-SHNGABR",[2]OUT_FinalEnergyCons!$A$4:$A$10000)))*1,[2]OUT_FinalEnergyCons!H$4:H$10000)</f>
        <v>1.080110712074059</v>
      </c>
      <c r="K1831" s="1" cm="1">
        <f t="array" ref="K1831">SUMPRODUCT(([2]OUT_FinalEnergyCons!$B$4:$B$10000="var_cap")*1, (ISNUMBER(SEARCH("RH*-SHNGABR",[2]OUT_FinalEnergyCons!$A$4:$A$10000)))*1,[2]OUT_FinalEnergyCons!I$4:I$10000)</f>
        <v>0.47946140172427315</v>
      </c>
      <c r="L1831" s="1" cm="1">
        <f t="array" ref="L1831">SUMPRODUCT(([2]OUT_FinalEnergyCons!$B$4:$B$10000="var_cap")*1, (ISNUMBER(SEARCH("RH*-SHNGABR",[2]OUT_FinalEnergyCons!$A$4:$A$10000)))*1,[2]OUT_FinalEnergyCons!J$4:J$10000)</f>
        <v>0.22018174045355351</v>
      </c>
      <c r="N1831" s="1"/>
    </row>
    <row r="1832" spans="2:14" x14ac:dyDescent="0.35">
      <c r="B1832" s="5" t="str">
        <f t="shared" ref="B1832:C1832" si="1897">B1831</f>
        <v>SPS1</v>
      </c>
      <c r="C1832" s="5" t="str">
        <f t="shared" si="1897"/>
        <v>CH</v>
      </c>
      <c r="D1832" t="s">
        <v>1868</v>
      </c>
      <c r="E1832" t="str">
        <f t="shared" si="1888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2.01254224972051E-6</v>
      </c>
      <c r="G1832" s="1" cm="1">
        <f t="array" ref="G1832">SUMPRODUCT(([1]OUT_FinalEnergyCons!$B$4:$B$10000="var_cap")*1,ISNUMBER(SEARCH("RH*-SHngahp",[1]OUT_FinalEnergyCons!$A$4:$A$10000))*1,[1]OUT_FinalEnergyCons!E$4:E$10000)</f>
        <v>4.2119652905483707E-5</v>
      </c>
      <c r="H1832" s="1" cm="1">
        <f t="array" ref="H1832">SUMPRODUCT(([1]OUT_FinalEnergyCons!$B$4:$B$10000="var_cap")*1,ISNUMBER(SEARCH("RH*-SHngahp",[1]OUT_FinalEnergyCons!$A$4:$A$10000))*1,[1]OUT_FinalEnergyCons!F$4:F$10000)</f>
        <v>0.39321889583772862</v>
      </c>
      <c r="I1832" s="1" cm="1">
        <f t="array" ref="I1832">SUMPRODUCT(([1]OUT_FinalEnergyCons!$B$4:$B$10000="var_cap")*1,ISNUMBER(SEARCH("RH*-SHngahp",[1]OUT_FinalEnergyCons!$A$4:$A$10000))*1,[1]OUT_FinalEnergyCons!G$4:G$10000)</f>
        <v>1.0308953353681842</v>
      </c>
      <c r="J1832" s="1" cm="1">
        <f t="array" ref="J1832">SUMPRODUCT(([2]OUT_FinalEnergyCons!$B$4:$B$10000="var_cap")*1,ISNUMBER(SEARCH("RH*-SHngahp",[2]OUT_FinalEnergyCons!$A$4:$A$10000))*1,[2]OUT_FinalEnergyCons!H$4:H$10000)</f>
        <v>1.2680228441384909</v>
      </c>
      <c r="K1832" s="1" cm="1">
        <f t="array" ref="K1832">SUMPRODUCT(([2]OUT_FinalEnergyCons!$B$4:$B$10000="var_cap")*1,ISNUMBER(SEARCH("RH*-SHngahp",[2]OUT_FinalEnergyCons!$A$4:$A$10000))*1,[2]OUT_FinalEnergyCons!I$4:I$10000)</f>
        <v>1.523401392693351</v>
      </c>
      <c r="L1832" s="1" cm="1">
        <f t="array" ref="L1832">SUMPRODUCT(([2]OUT_FinalEnergyCons!$B$4:$B$10000="var_cap")*1,ISNUMBER(SEARCH("RH*-SHngahp",[2]OUT_FinalEnergyCons!$A$4:$A$10000))*1,[2]OUT_FinalEnergyCons!J$4:J$10000)</f>
        <v>1.4268823030483273</v>
      </c>
      <c r="N1832" s="1"/>
    </row>
    <row r="1833" spans="2:14" x14ac:dyDescent="0.35">
      <c r="B1833" s="5" t="str">
        <f t="shared" ref="B1833:C1833" si="1898">B1832</f>
        <v>SPS1</v>
      </c>
      <c r="C1833" s="5" t="str">
        <f t="shared" si="1898"/>
        <v>CH</v>
      </c>
      <c r="D1833" t="s">
        <v>1869</v>
      </c>
      <c r="E1833" t="str">
        <f t="shared" si="1888"/>
        <v>GWth/yr.</v>
      </c>
      <c r="F1833" s="1">
        <f>F1834</f>
        <v>7.0000000000000001E-3</v>
      </c>
      <c r="G1833" s="1">
        <f t="shared" ref="G1833:L1833" si="1899">G1834</f>
        <v>6.9932379087926325E-3</v>
      </c>
      <c r="H1833" s="1">
        <f t="shared" si="1899"/>
        <v>3.0152748074418999E-3</v>
      </c>
      <c r="I1833" s="1">
        <f t="shared" si="1899"/>
        <v>2.5890387824050419E-5</v>
      </c>
      <c r="J1833" s="1">
        <f t="shared" si="1899"/>
        <v>9.9795617630000708E-7</v>
      </c>
      <c r="K1833" s="1">
        <f t="shared" si="1899"/>
        <v>0</v>
      </c>
      <c r="L1833" s="1">
        <f t="shared" si="1899"/>
        <v>0</v>
      </c>
      <c r="N1833" s="1"/>
    </row>
    <row r="1834" spans="2:14" x14ac:dyDescent="0.35">
      <c r="B1834" s="5" t="str">
        <f t="shared" ref="B1834:C1834" si="1900">B1833</f>
        <v>SPS1</v>
      </c>
      <c r="C1834" s="5" t="str">
        <f t="shared" si="1900"/>
        <v>CH</v>
      </c>
      <c r="D1834" t="s">
        <v>1870</v>
      </c>
      <c r="E1834" t="str">
        <f t="shared" si="1888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6.9932379087926325E-3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3.0152748074418999E-3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2.5890387824050419E-5</v>
      </c>
      <c r="J1834" s="1" cm="1">
        <f t="array" ref="J1834">IF(SUMPRODUCT(([2]OUT_FinalEnergyCons!$B$4:$B$10000="var_cap")*1, (ISNUMBER(SEARCH("RH*-SHCOABR",[2]OUT_FinalEnergyCons!$A$4:$A$10000)))*1,[2]OUT_FinalEnergyCons!H$4:H$10000)&lt;0,0,SUMPRODUCT(([2]OUT_FinalEnergyCons!$B$4:$B$10000="var_cap")*1, (ISNUMBER(SEARCH("RH*-SHCOABR",[2]OUT_FinalEnergyCons!$A$4:$A$10000)))*1,[2]OUT_FinalEnergyCons!H$4:H$10000))</f>
        <v>9.9795617630000708E-7</v>
      </c>
      <c r="K1834" s="1" cm="1">
        <f t="array" ref="K1834">IF(SUMPRODUCT(([2]OUT_FinalEnergyCons!$B$4:$B$10000="var_cap")*1, (ISNUMBER(SEARCH("RH*-SHCOABR",[2]OUT_FinalEnergyCons!$A$4:$A$10000)))*1,[2]OUT_FinalEnergyCons!I$4:I$10000)&lt;0,0,SUMPRODUCT(([2]OUT_FinalEnergyCons!$B$4:$B$10000="var_cap")*1, (ISNUMBER(SEARCH("RH*-SHCOABR",[2]OUT_FinalEnergyCons!$A$4:$A$10000)))*1,[2]OUT_FinalEnergyCons!I$4:I$10000))</f>
        <v>0</v>
      </c>
      <c r="L1834" s="1" cm="1">
        <f t="array" ref="L1834">IF(SUMPRODUCT(([2]OUT_FinalEnergyCons!$B$4:$B$10000="var_cap")*1, (ISNUMBER(SEARCH("RH*-SHCOABR",[2]OUT_FinalEnergyCons!$A$4:$A$10000)))*1,[2]OUT_FinalEnergyCons!J$4:J$10000)&lt;0,0,SUMPRODUCT(([2]OUT_FinalEnergyCons!$B$4:$B$10000="var_cap")*1, (ISNUMBER(SEARCH("RH*-SHCOABR",[2]OUT_FinalEnergyCons!$A$4:$A$10000)))*1,[2]OUT_FinalEnergyCons!J$4:J$10000))</f>
        <v>0</v>
      </c>
      <c r="N1834" s="1"/>
    </row>
    <row r="1835" spans="2:14" x14ac:dyDescent="0.3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0.68965230340440487</v>
      </c>
      <c r="G1835" s="1">
        <f t="shared" ref="G1835:L1835" si="1901">G1836</f>
        <v>0.76719174596982753</v>
      </c>
      <c r="H1835" s="1">
        <f t="shared" si="1901"/>
        <v>0.7869537174311515</v>
      </c>
      <c r="I1835" s="1">
        <f t="shared" si="1901"/>
        <v>0.78684857081471471</v>
      </c>
      <c r="J1835" s="1">
        <f t="shared" si="1901"/>
        <v>0.59072630061245268</v>
      </c>
      <c r="K1835" s="1">
        <f t="shared" si="1901"/>
        <v>0.48424917108004495</v>
      </c>
      <c r="L1835" s="1">
        <f t="shared" si="1901"/>
        <v>0.2651198735816136</v>
      </c>
      <c r="N1835" s="1"/>
    </row>
    <row r="1836" spans="2:14" x14ac:dyDescent="0.35">
      <c r="B1836" s="5" t="str">
        <f t="shared" ref="B1836:C1836" si="1902">B1835</f>
        <v>SPS1</v>
      </c>
      <c r="C1836" s="5" t="str">
        <f t="shared" si="1902"/>
        <v>CH</v>
      </c>
      <c r="D1836" t="s">
        <v>1872</v>
      </c>
      <c r="E1836" t="str">
        <f t="shared" si="1888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0.68965230340440487</v>
      </c>
      <c r="G1836" s="1" cm="1">
        <f t="array" ref="G1836">SUMPRODUCT(([1]OUT_FinalEnergyCons!$B$4:$B$10000="var_cap")*1, (ISNUMBER(SEARCH("RH*-SHWODBR",[1]OUT_FinalEnergyCons!$A$4:$A$10000)))*1,[1]OUT_FinalEnergyCons!E$4:E$10000)</f>
        <v>0.76719174596982753</v>
      </c>
      <c r="H1836" s="1" cm="1">
        <f t="array" ref="H1836">SUMPRODUCT(([1]OUT_FinalEnergyCons!$B$4:$B$10000="var_cap")*1, (ISNUMBER(SEARCH("RH*-SHWODBR",[1]OUT_FinalEnergyCons!$A$4:$A$10000)))*1,[1]OUT_FinalEnergyCons!F$4:F$10000)</f>
        <v>0.7869537174311515</v>
      </c>
      <c r="I1836" s="1" cm="1">
        <f t="array" ref="I1836">SUMPRODUCT(([1]OUT_FinalEnergyCons!$B$4:$B$10000="var_cap")*1, (ISNUMBER(SEARCH("RH*-SHWODBR",[1]OUT_FinalEnergyCons!$A$4:$A$10000)))*1,[1]OUT_FinalEnergyCons!G$4:G$10000)</f>
        <v>0.78684857081471471</v>
      </c>
      <c r="J1836" s="1" cm="1">
        <f t="array" ref="J1836">SUMPRODUCT(([2]OUT_FinalEnergyCons!$B$4:$B$10000="var_cap")*1, (ISNUMBER(SEARCH("RH*-SHWODBR",[2]OUT_FinalEnergyCons!$A$4:$A$10000)))*1,[2]OUT_FinalEnergyCons!H$4:H$10000)</f>
        <v>0.59072630061245268</v>
      </c>
      <c r="K1836" s="1" cm="1">
        <f t="array" ref="K1836">SUMPRODUCT(([2]OUT_FinalEnergyCons!$B$4:$B$10000="var_cap")*1, (ISNUMBER(SEARCH("RH*-SHWODBR",[2]OUT_FinalEnergyCons!$A$4:$A$10000)))*1,[2]OUT_FinalEnergyCons!I$4:I$10000)</f>
        <v>0.48424917108004495</v>
      </c>
      <c r="L1836" s="1" cm="1">
        <f t="array" ref="L1836">SUMPRODUCT(([2]OUT_FinalEnergyCons!$B$4:$B$10000="var_cap")*1, (ISNUMBER(SEARCH("RH*-SHWODBR",[2]OUT_FinalEnergyCons!$A$4:$A$10000)))*1,[2]OUT_FinalEnergyCons!J$4:J$10000)</f>
        <v>0.2651198735816136</v>
      </c>
      <c r="N1836" s="1"/>
    </row>
    <row r="1837" spans="2:14" x14ac:dyDescent="0.35">
      <c r="B1837" s="5" t="str">
        <f t="shared" ref="B1837:C1837" si="1903">B1836</f>
        <v>SPS1</v>
      </c>
      <c r="C1837" s="5" t="str">
        <f t="shared" si="1903"/>
        <v>CH</v>
      </c>
      <c r="D1837" t="s">
        <v>1873</v>
      </c>
      <c r="E1837" t="str">
        <f t="shared" si="1888"/>
        <v>GWth/yr.</v>
      </c>
      <c r="F1837" s="1">
        <f>F1838</f>
        <v>0.20443145252559222</v>
      </c>
      <c r="G1837" s="1">
        <f t="shared" ref="G1837:L1837" si="1904">G1838</f>
        <v>0.24124318896312028</v>
      </c>
      <c r="H1837" s="1">
        <f t="shared" si="1904"/>
        <v>5.3776907772467165E-2</v>
      </c>
      <c r="I1837" s="1">
        <f t="shared" si="1904"/>
        <v>5.4857823389785537E-2</v>
      </c>
      <c r="J1837" s="1">
        <f t="shared" si="1904"/>
        <v>3.0496979320871479E-2</v>
      </c>
      <c r="K1837" s="1">
        <f t="shared" si="1904"/>
        <v>3.2340224850924637E-2</v>
      </c>
      <c r="L1837" s="1">
        <f t="shared" si="1904"/>
        <v>2.6596595148062039E-2</v>
      </c>
      <c r="N1837" s="1"/>
    </row>
    <row r="1838" spans="2:14" x14ac:dyDescent="0.35">
      <c r="B1838" s="5" t="str">
        <f t="shared" ref="B1838:C1838" si="1905">B1837</f>
        <v>SPS1</v>
      </c>
      <c r="C1838" s="5" t="str">
        <f t="shared" si="1905"/>
        <v>CH</v>
      </c>
      <c r="D1838" t="s">
        <v>1874</v>
      </c>
      <c r="E1838" t="str">
        <f t="shared" si="1888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0.20443145252559222</v>
      </c>
      <c r="G1838" s="1" cm="1">
        <f t="array" ref="G1838">SUMPRODUCT(([1]OUT_FinalEnergyCons!$B$4:$B$10000="var_cap")*1, (ISNUMBER(SEARCH("RH*-SHPLTBR",[1]OUT_FinalEnergyCons!$A$4:$A$10000)))*1,[1]OUT_FinalEnergyCons!E$4:E$10000)</f>
        <v>0.24124318896312028</v>
      </c>
      <c r="H1838" s="1" cm="1">
        <f t="array" ref="H1838">SUMPRODUCT(([1]OUT_FinalEnergyCons!$B$4:$B$10000="var_cap")*1, (ISNUMBER(SEARCH("RH*-SHPLTBR",[1]OUT_FinalEnergyCons!$A$4:$A$10000)))*1,[1]OUT_FinalEnergyCons!F$4:F$10000)</f>
        <v>5.3776907772467165E-2</v>
      </c>
      <c r="I1838" s="1" cm="1">
        <f t="array" ref="I1838">SUMPRODUCT(([1]OUT_FinalEnergyCons!$B$4:$B$10000="var_cap")*1, (ISNUMBER(SEARCH("RH*-SHPLTBR",[1]OUT_FinalEnergyCons!$A$4:$A$10000)))*1,[1]OUT_FinalEnergyCons!G$4:G$10000)</f>
        <v>5.4857823389785537E-2</v>
      </c>
      <c r="J1838" s="1" cm="1">
        <f t="array" ref="J1838">SUMPRODUCT(([2]OUT_FinalEnergyCons!$B$4:$B$10000="var_cap")*1, (ISNUMBER(SEARCH("RH*-SHPLTBR",[2]OUT_FinalEnergyCons!$A$4:$A$10000)))*1,[2]OUT_FinalEnergyCons!H$4:H$10000)</f>
        <v>3.0496979320871479E-2</v>
      </c>
      <c r="K1838" s="1" cm="1">
        <f t="array" ref="K1838">SUMPRODUCT(([2]OUT_FinalEnergyCons!$B$4:$B$10000="var_cap")*1, (ISNUMBER(SEARCH("RH*-SHPLTBR",[2]OUT_FinalEnergyCons!$A$4:$A$10000)))*1,[2]OUT_FinalEnergyCons!I$4:I$10000)</f>
        <v>3.2340224850924637E-2</v>
      </c>
      <c r="L1838" s="1" cm="1">
        <f t="array" ref="L1838">SUMPRODUCT(([2]OUT_FinalEnergyCons!$B$4:$B$10000="var_cap")*1, (ISNUMBER(SEARCH("RH*-SHPLTBR",[2]OUT_FinalEnergyCons!$A$4:$A$10000)))*1,[2]OUT_FinalEnergyCons!J$4:J$10000)</f>
        <v>2.6596595148062039E-2</v>
      </c>
      <c r="N1838" s="1"/>
    </row>
    <row r="1839" spans="2:14" x14ac:dyDescent="0.35">
      <c r="B1839" s="5" t="str">
        <f t="shared" ref="B1839:C1839" si="1906">B1838</f>
        <v>SPS1</v>
      </c>
      <c r="C1839" s="5" t="str">
        <f t="shared" si="1906"/>
        <v>CH</v>
      </c>
      <c r="D1839" t="s">
        <v>1875</v>
      </c>
      <c r="E1839" t="str">
        <f t="shared" si="1888"/>
        <v>GWth/yr.</v>
      </c>
      <c r="F1839" s="1">
        <f>F1840</f>
        <v>0.11420567626510202</v>
      </c>
      <c r="G1839" s="1">
        <f t="shared" ref="G1839:L1839" si="1907">G1840</f>
        <v>0.13964607208888535</v>
      </c>
      <c r="H1839" s="1">
        <f t="shared" si="1907"/>
        <v>0.14118778929947146</v>
      </c>
      <c r="I1839" s="1">
        <f t="shared" si="1907"/>
        <v>0.14569781417819522</v>
      </c>
      <c r="J1839" s="1">
        <f t="shared" si="1907"/>
        <v>3.7845452069893863E-2</v>
      </c>
      <c r="K1839" s="1">
        <f t="shared" si="1907"/>
        <v>5.0787038867225118E-3</v>
      </c>
      <c r="L1839" s="1">
        <f t="shared" si="1907"/>
        <v>4.449891294602458E-3</v>
      </c>
      <c r="N1839" s="1"/>
    </row>
    <row r="1840" spans="2:14" x14ac:dyDescent="0.35">
      <c r="B1840" s="5" t="str">
        <f t="shared" ref="B1840:C1840" si="1908">B1839</f>
        <v>SPS1</v>
      </c>
      <c r="C1840" s="5" t="str">
        <f t="shared" si="1908"/>
        <v>CH</v>
      </c>
      <c r="D1840" t="s">
        <v>1876</v>
      </c>
      <c r="E1840" t="str">
        <f t="shared" si="1888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0.11420567626510202</v>
      </c>
      <c r="G1840" s="1" cm="1">
        <f t="array" ref="G1840">SUMPRODUCT(([1]OUT_FinalEnergyCons!$B$4:$B$10000="var_cap")*1, (ISNUMBER(SEARCH("RH*-SHSOLBR",[1]OUT_FinalEnergyCons!$A$4:$A$10000)))*1,[1]OUT_FinalEnergyCons!E$4:E$10000)</f>
        <v>0.13964607208888535</v>
      </c>
      <c r="H1840" s="1" cm="1">
        <f t="array" ref="H1840">SUMPRODUCT(([1]OUT_FinalEnergyCons!$B$4:$B$10000="var_cap")*1, (ISNUMBER(SEARCH("RH*-SHSOLBR",[1]OUT_FinalEnergyCons!$A$4:$A$10000)))*1,[1]OUT_FinalEnergyCons!F$4:F$10000)</f>
        <v>0.14118778929947146</v>
      </c>
      <c r="I1840" s="1" cm="1">
        <f t="array" ref="I1840">SUMPRODUCT(([1]OUT_FinalEnergyCons!$B$4:$B$10000="var_cap")*1, (ISNUMBER(SEARCH("RH*-SHSOLBR",[1]OUT_FinalEnergyCons!$A$4:$A$10000)))*1,[1]OUT_FinalEnergyCons!G$4:G$10000)</f>
        <v>0.14569781417819522</v>
      </c>
      <c r="J1840" s="1" cm="1">
        <f t="array" ref="J1840">SUMPRODUCT(([2]OUT_FinalEnergyCons!$B$4:$B$10000="var_cap")*1, (ISNUMBER(SEARCH("RH*-SHSOLBR",[2]OUT_FinalEnergyCons!$A$4:$A$10000)))*1,[2]OUT_FinalEnergyCons!H$4:H$10000)</f>
        <v>3.7845452069893863E-2</v>
      </c>
      <c r="K1840" s="1" cm="1">
        <f t="array" ref="K1840">SUMPRODUCT(([2]OUT_FinalEnergyCons!$B$4:$B$10000="var_cap")*1, (ISNUMBER(SEARCH("RH*-SHSOLBR",[2]OUT_FinalEnergyCons!$A$4:$A$10000)))*1,[2]OUT_FinalEnergyCons!I$4:I$10000)</f>
        <v>5.0787038867225118E-3</v>
      </c>
      <c r="L1840" s="1" cm="1">
        <f t="array" ref="L1840">SUMPRODUCT(([2]OUT_FinalEnergyCons!$B$4:$B$10000="var_cap")*1, (ISNUMBER(SEARCH("RH*-SHSOLBR",[2]OUT_FinalEnergyCons!$A$4:$A$10000)))*1,[2]OUT_FinalEnergyCons!J$4:J$10000)</f>
        <v>4.449891294602458E-3</v>
      </c>
      <c r="N1840" s="1"/>
    </row>
    <row r="1841" spans="2:14" x14ac:dyDescent="0.35">
      <c r="B1841" s="5" t="str">
        <f t="shared" ref="B1841:C1841" si="1909">B1840</f>
        <v>SPS1</v>
      </c>
      <c r="C1841" s="5" t="str">
        <f t="shared" si="1909"/>
        <v>CH</v>
      </c>
      <c r="D1841" t="s">
        <v>1877</v>
      </c>
      <c r="E1841" t="str">
        <f t="shared" si="1888"/>
        <v>GWth/yr.</v>
      </c>
      <c r="F1841" s="1">
        <f>F1842</f>
        <v>0</v>
      </c>
      <c r="G1841" s="1">
        <f t="shared" ref="G1841:L1841" si="1910">G1842</f>
        <v>0</v>
      </c>
      <c r="H1841" s="1">
        <f t="shared" si="1910"/>
        <v>0</v>
      </c>
      <c r="I1841" s="1">
        <f t="shared" si="1910"/>
        <v>0</v>
      </c>
      <c r="J1841" s="1">
        <f t="shared" si="1910"/>
        <v>0</v>
      </c>
      <c r="K1841" s="1">
        <f t="shared" si="1910"/>
        <v>0</v>
      </c>
      <c r="L1841" s="1">
        <f t="shared" si="1910"/>
        <v>0</v>
      </c>
      <c r="N1841" s="1"/>
    </row>
    <row r="1842" spans="2:14" x14ac:dyDescent="0.35">
      <c r="B1842" s="5" t="str">
        <f t="shared" ref="B1842:C1842" si="1911">B1841</f>
        <v>SPS1</v>
      </c>
      <c r="C1842" s="5" t="str">
        <f t="shared" si="1911"/>
        <v>CH</v>
      </c>
      <c r="D1842" t="s">
        <v>1878</v>
      </c>
      <c r="E1842" t="str">
        <f t="shared" si="1888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SUMPRODUCT(([2]OUT_FinalEnergyCons!$B$4:$B$10000="var_cap")*1, (ISNUMBER(SEARCH("RH*-SHH2BR",[2]OUT_FinalEnergyCons!$A$4:$A$10000)))*1,[2]OUT_FinalEnergyCons!H$4:H$10000)</f>
        <v>0</v>
      </c>
      <c r="K1842" s="1" cm="1">
        <f t="array" ref="K1842">SUMPRODUCT(([2]OUT_FinalEnergyCons!$B$4:$B$10000="var_cap")*1, (ISNUMBER(SEARCH("RH*-SHH2BR",[2]OUT_FinalEnergyCons!$A$4:$A$10000)))*1,[2]OUT_FinalEnergyCons!I$4:I$10000)</f>
        <v>0</v>
      </c>
      <c r="L1842" s="1" cm="1">
        <f t="array" ref="L1842">SUMPRODUCT(([2]OUT_FinalEnergyCons!$B$4:$B$10000="var_cap")*1, (ISNUMBER(SEARCH("RH*-SHH2BR",[2]OUT_FinalEnergyCons!$A$4:$A$10000)))*1,[2]OUT_FinalEnergyCons!J$4:J$10000)</f>
        <v>0</v>
      </c>
      <c r="N1842" s="1"/>
    </row>
    <row r="1843" spans="2:14" x14ac:dyDescent="0.35">
      <c r="B1843" s="5" t="str">
        <f t="shared" ref="B1843:C1843" si="1912">B1842</f>
        <v>SPS1</v>
      </c>
      <c r="C1843" s="5" t="str">
        <f t="shared" si="1912"/>
        <v>CH</v>
      </c>
      <c r="D1843" t="s">
        <v>1879</v>
      </c>
      <c r="E1843" t="str">
        <f t="shared" si="1888"/>
        <v>GWth/yr.</v>
      </c>
      <c r="F1843" s="1">
        <f>SUM(F1844,F1847,F1849,F1852,F1854,F1856,F1858,F1860)</f>
        <v>1.8614948926094892</v>
      </c>
      <c r="G1843" s="1">
        <f t="shared" ref="G1843" si="1913">SUM(G1844,G1847,G1849,G1852,G1854,G1856,G1858,G1860)</f>
        <v>2.0183858992295942</v>
      </c>
      <c r="H1843" s="1">
        <f t="shared" ref="H1843" si="1914">SUM(H1844,H1847,H1849,H1852,H1854,H1856,H1858,H1860)</f>
        <v>1.9556268869419602</v>
      </c>
      <c r="I1843" s="1">
        <f t="shared" ref="I1843" si="1915">SUM(I1844,I1847,I1849,I1852,I1854,I1856,I1858,I1860)</f>
        <v>2.0544066538310881</v>
      </c>
      <c r="J1843" s="1">
        <f t="shared" ref="J1843" si="1916">SUM(J1844,J1847,J1849,J1852,J1854,J1856,J1858,J1860)</f>
        <v>1.6984994722553945</v>
      </c>
      <c r="K1843" s="1">
        <f t="shared" ref="K1843:L1843" si="1917">SUM(K1844,K1847,K1849,K1852,K1854,K1856,K1858,K1860)</f>
        <v>1.8957360030355042</v>
      </c>
      <c r="L1843" s="1">
        <f t="shared" si="1917"/>
        <v>2.0037311346602968</v>
      </c>
      <c r="N1843" s="1"/>
    </row>
    <row r="1844" spans="2:14" x14ac:dyDescent="0.35">
      <c r="B1844" s="5" t="str">
        <f t="shared" ref="B1844:C1844" si="1918">B1843</f>
        <v>SPS1</v>
      </c>
      <c r="C1844" s="5" t="str">
        <f t="shared" si="1918"/>
        <v>CH</v>
      </c>
      <c r="D1844" t="s">
        <v>1880</v>
      </c>
      <c r="E1844" t="str">
        <f t="shared" si="1888"/>
        <v>GWth/yr.</v>
      </c>
      <c r="F1844" s="1">
        <f>SUM(F1845:F1846)</f>
        <v>0.65143678408734462</v>
      </c>
      <c r="G1844" s="1">
        <f t="shared" ref="G1844" si="1919">SUM(G1845:G1846)</f>
        <v>0.7186611239188041</v>
      </c>
      <c r="H1844" s="1">
        <f t="shared" ref="H1844" si="1920">SUM(H1845:H1846)</f>
        <v>0.67401789183197403</v>
      </c>
      <c r="I1844" s="1">
        <f t="shared" ref="I1844" si="1921">SUM(I1845:I1846)</f>
        <v>0.75453214244949596</v>
      </c>
      <c r="J1844" s="1">
        <f t="shared" ref="J1844" si="1922">SUM(J1845:J1846)</f>
        <v>0.79791609592488699</v>
      </c>
      <c r="K1844" s="1">
        <f t="shared" ref="K1844:L1844" si="1923">SUM(K1845:K1846)</f>
        <v>0.9873276897639377</v>
      </c>
      <c r="L1844" s="1">
        <f t="shared" si="1923"/>
        <v>1.1642165712134891</v>
      </c>
      <c r="N1844" s="1"/>
    </row>
    <row r="1845" spans="2:14" x14ac:dyDescent="0.35">
      <c r="B1845" s="5" t="str">
        <f t="shared" ref="B1845:C1845" si="1924">B1844</f>
        <v>SPS1</v>
      </c>
      <c r="C1845" s="5" t="str">
        <f t="shared" si="1924"/>
        <v>CH</v>
      </c>
      <c r="D1845" t="s">
        <v>1881</v>
      </c>
      <c r="E1845" t="str">
        <f t="shared" si="1888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0.43805381100900881</v>
      </c>
      <c r="G1845" s="1" cm="1">
        <f t="array" ref="G1845">SUMPRODUCT(([1]OUT_FinalEnergyCons!$B$4:$B$10000="var_cap")*1,(ISNUMBER(SEARCH("RH*-WHELCBR",[1]OUT_FinalEnergyCons!$A$4:$A$10000)))*1,[1]OUT_FinalEnergyCons!E$4:E$10000)</f>
        <v>0.47226492076174675</v>
      </c>
      <c r="H1845" s="1" cm="1">
        <f t="array" ref="H1845">SUMPRODUCT(([1]OUT_FinalEnergyCons!$B$4:$B$10000="var_cap")*1,(ISNUMBER(SEARCH("RH*-WHELCBR",[1]OUT_FinalEnergyCons!$A$4:$A$10000)))*1,[1]OUT_FinalEnergyCons!F$4:F$10000)</f>
        <v>0.34825311645012907</v>
      </c>
      <c r="I1845" s="1" cm="1">
        <f t="array" ref="I1845">SUMPRODUCT(([1]OUT_FinalEnergyCons!$B$4:$B$10000="var_cap")*1,(ISNUMBER(SEARCH("RH*-WHELCBR",[1]OUT_FinalEnergyCons!$A$4:$A$10000)))*1,[1]OUT_FinalEnergyCons!G$4:G$10000)</f>
        <v>0.25497296554436588</v>
      </c>
      <c r="J1845" s="1" cm="1">
        <f t="array" ref="J1845">SUMPRODUCT(([2]OUT_FinalEnergyCons!$B$4:$B$10000="var_cap")*1,(ISNUMBER(SEARCH("RH*-WHELCBR",[2]OUT_FinalEnergyCons!$A$4:$A$10000)))*1,[2]OUT_FinalEnergyCons!H$4:H$10000)</f>
        <v>0.12728392989807899</v>
      </c>
      <c r="K1845" s="1" cm="1">
        <f t="array" ref="K1845">SUMPRODUCT(([2]OUT_FinalEnergyCons!$B$4:$B$10000="var_cap")*1,(ISNUMBER(SEARCH("RH*-WHELCBR",[2]OUT_FinalEnergyCons!$A$4:$A$10000)))*1,[2]OUT_FinalEnergyCons!I$4:I$10000)</f>
        <v>0.13121925090425449</v>
      </c>
      <c r="L1845" s="1" cm="1">
        <f t="array" ref="L1845">SUMPRODUCT(([2]OUT_FinalEnergyCons!$B$4:$B$10000="var_cap")*1,(ISNUMBER(SEARCH("RH*-WHELCBR",[2]OUT_FinalEnergyCons!$A$4:$A$10000)))*1,[2]OUT_FinalEnergyCons!J$4:J$10000)</f>
        <v>0.12059207331475229</v>
      </c>
      <c r="N1845" s="1"/>
    </row>
    <row r="1846" spans="2:14" x14ac:dyDescent="0.35">
      <c r="B1846" s="5" t="str">
        <f t="shared" ref="B1846:C1846" si="1925">B1845</f>
        <v>SPS1</v>
      </c>
      <c r="C1846" s="5" t="str">
        <f t="shared" si="1925"/>
        <v>CH</v>
      </c>
      <c r="D1846" t="s">
        <v>1882</v>
      </c>
      <c r="E1846" t="str">
        <f t="shared" si="1888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0.21338297307833579</v>
      </c>
      <c r="G1846" s="1" cm="1">
        <f t="array" ref="G1846">SUMPRODUCT(([1]OUT_FinalEnergyCons!$B$4:$B$10000="var_cap")*1,ISNUMBER(SEARCH("RH*-WHELCHP",[1]OUT_FinalEnergyCons!$A$4:$A$10000))*1,[1]OUT_FinalEnergyCons!E$4:E$10000)</f>
        <v>0.24639620315705729</v>
      </c>
      <c r="H1846" s="1" cm="1">
        <f t="array" ref="H1846">SUMPRODUCT(([1]OUT_FinalEnergyCons!$B$4:$B$10000="var_cap")*1,ISNUMBER(SEARCH("RH*-WHELCHP",[1]OUT_FinalEnergyCons!$A$4:$A$10000))*1,[1]OUT_FinalEnergyCons!F$4:F$10000)</f>
        <v>0.32576477538184495</v>
      </c>
      <c r="I1846" s="1" cm="1">
        <f t="array" ref="I1846">SUMPRODUCT(([1]OUT_FinalEnergyCons!$B$4:$B$10000="var_cap")*1,ISNUMBER(SEARCH("RH*-WHELCHP",[1]OUT_FinalEnergyCons!$A$4:$A$10000))*1,[1]OUT_FinalEnergyCons!G$4:G$10000)</f>
        <v>0.49955917690513002</v>
      </c>
      <c r="J1846" s="1" cm="1">
        <f t="array" ref="J1846">SUMPRODUCT(([2]OUT_FinalEnergyCons!$B$4:$B$10000="var_cap")*1,ISNUMBER(SEARCH("RH*-WHELCHP",[2]OUT_FinalEnergyCons!$A$4:$A$10000))*1,[2]OUT_FinalEnergyCons!H$4:H$10000)</f>
        <v>0.67063216602680797</v>
      </c>
      <c r="K1846" s="1" cm="1">
        <f t="array" ref="K1846">SUMPRODUCT(([2]OUT_FinalEnergyCons!$B$4:$B$10000="var_cap")*1,ISNUMBER(SEARCH("RH*-WHELCHP",[2]OUT_FinalEnergyCons!$A$4:$A$10000))*1,[2]OUT_FinalEnergyCons!I$4:I$10000)</f>
        <v>0.85610843885968324</v>
      </c>
      <c r="L1846" s="1" cm="1">
        <f t="array" ref="L1846">SUMPRODUCT(([2]OUT_FinalEnergyCons!$B$4:$B$10000="var_cap")*1,ISNUMBER(SEARCH("RH*-WHELCHP",[2]OUT_FinalEnergyCons!$A$4:$A$10000))*1,[2]OUT_FinalEnergyCons!J$4:J$10000)</f>
        <v>1.0436244978987368</v>
      </c>
      <c r="N1846" s="1"/>
    </row>
    <row r="1847" spans="2:14" x14ac:dyDescent="0.35">
      <c r="B1847" s="5" t="str">
        <f t="shared" ref="B1847:C1847" si="1926">B1846</f>
        <v>SPS1</v>
      </c>
      <c r="C1847" s="5" t="str">
        <f t="shared" si="1926"/>
        <v>CH</v>
      </c>
      <c r="D1847" t="s">
        <v>1883</v>
      </c>
      <c r="E1847" t="str">
        <f t="shared" si="1888"/>
        <v>GWth/yr.</v>
      </c>
      <c r="F1847" s="1">
        <f>F1848</f>
        <v>0.47738433216181703</v>
      </c>
      <c r="G1847" s="1">
        <f t="shared" ref="G1847" si="1927">G1848</f>
        <v>0.47722932399319301</v>
      </c>
      <c r="H1847" s="1">
        <f t="shared" ref="H1847" si="1928">H1848</f>
        <v>0.35136389197531193</v>
      </c>
      <c r="I1847" s="1">
        <f t="shared" ref="I1847" si="1929">I1848</f>
        <v>0.22652625532743143</v>
      </c>
      <c r="J1847" s="1">
        <f t="shared" ref="J1847" si="1930">J1848</f>
        <v>0.10009473098762819</v>
      </c>
      <c r="K1847" s="1">
        <f t="shared" ref="K1847:L1847" si="1931">K1848</f>
        <v>5.0137306738020443E-2</v>
      </c>
      <c r="L1847" s="1">
        <f t="shared" si="1931"/>
        <v>5.8313516108308983E-3</v>
      </c>
      <c r="N1847" s="1"/>
    </row>
    <row r="1848" spans="2:14" x14ac:dyDescent="0.35">
      <c r="B1848" s="5" t="str">
        <f t="shared" ref="B1848:C1848" si="1932">B1847</f>
        <v>SPS1</v>
      </c>
      <c r="C1848" s="5" t="str">
        <f t="shared" si="1932"/>
        <v>CH</v>
      </c>
      <c r="D1848" t="s">
        <v>1884</v>
      </c>
      <c r="E1848" t="str">
        <f t="shared" si="1888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0.47722932399319301</v>
      </c>
      <c r="H1848" s="1" cm="1">
        <f t="array" ref="H1848">SUMPRODUCT(([1]OUT_FinalEnergyCons!$B$4:$B$10000="var_cap")*1, (ISNUMBER(SEARCH("RH*-WHLFOBR",[1]OUT_FinalEnergyCons!$A$4:$A$10000)))*1,[1]OUT_FinalEnergyCons!F$4:F$10000)</f>
        <v>0.35136389197531193</v>
      </c>
      <c r="I1848" s="1" cm="1">
        <f t="array" ref="I1848">SUMPRODUCT(([1]OUT_FinalEnergyCons!$B$4:$B$10000="var_cap")*1, (ISNUMBER(SEARCH("RH*-WHLFOBR",[1]OUT_FinalEnergyCons!$A$4:$A$10000)))*1,[1]OUT_FinalEnergyCons!G$4:G$10000)</f>
        <v>0.22652625532743143</v>
      </c>
      <c r="J1848" s="1" cm="1">
        <f t="array" ref="J1848">SUMPRODUCT(([2]OUT_FinalEnergyCons!$B$4:$B$10000="var_cap")*1, (ISNUMBER(SEARCH("RH*-WHLFOBR",[2]OUT_FinalEnergyCons!$A$4:$A$10000)))*1,[2]OUT_FinalEnergyCons!H$4:H$10000)</f>
        <v>0.10009473098762819</v>
      </c>
      <c r="K1848" s="1" cm="1">
        <f t="array" ref="K1848">SUMPRODUCT(([2]OUT_FinalEnergyCons!$B$4:$B$10000="var_cap")*1, (ISNUMBER(SEARCH("RH*-WHLFOBR",[2]OUT_FinalEnergyCons!$A$4:$A$10000)))*1,[2]OUT_FinalEnergyCons!I$4:I$10000)</f>
        <v>5.0137306738020443E-2</v>
      </c>
      <c r="L1848" s="1" cm="1">
        <f t="array" ref="L1848">SUMPRODUCT(([2]OUT_FinalEnergyCons!$B$4:$B$10000="var_cap")*1, (ISNUMBER(SEARCH("RH*-WHLFOBR",[2]OUT_FinalEnergyCons!$A$4:$A$10000)))*1,[2]OUT_FinalEnergyCons!J$4:J$10000)</f>
        <v>5.8313516108308983E-3</v>
      </c>
      <c r="N1848" s="1"/>
    </row>
    <row r="1849" spans="2:14" x14ac:dyDescent="0.35">
      <c r="B1849" s="5" t="str">
        <f t="shared" ref="B1849:C1849" si="1933">B1848</f>
        <v>SPS1</v>
      </c>
      <c r="C1849" s="5" t="str">
        <f t="shared" si="1933"/>
        <v>CH</v>
      </c>
      <c r="D1849" t="s">
        <v>1885</v>
      </c>
      <c r="E1849" t="str">
        <f t="shared" si="1888"/>
        <v>GWth/yr.</v>
      </c>
      <c r="F1849" s="1">
        <f>SUM(F1850:F1851)</f>
        <v>0.43610075806793741</v>
      </c>
      <c r="G1849" s="1">
        <f t="shared" ref="G1849" si="1934">SUM(G1850:G1851)</f>
        <v>0.43598402343201903</v>
      </c>
      <c r="H1849" s="1">
        <f t="shared" ref="H1849" si="1935">SUM(H1850:H1851)</f>
        <v>0.50863752492761627</v>
      </c>
      <c r="I1849" s="1">
        <f t="shared" ref="I1849" si="1936">SUM(I1850:I1851)</f>
        <v>0.65098301232496669</v>
      </c>
      <c r="J1849" s="1">
        <f t="shared" ref="J1849" si="1937">SUM(J1850:J1851)</f>
        <v>0.47507745268256901</v>
      </c>
      <c r="K1849" s="1">
        <f t="shared" ref="K1849:L1849" si="1938">SUM(K1850:K1851)</f>
        <v>0.5078797430481915</v>
      </c>
      <c r="L1849" s="1">
        <f t="shared" si="1938"/>
        <v>0.51547414042919726</v>
      </c>
      <c r="N1849" s="1"/>
    </row>
    <row r="1850" spans="2:14" x14ac:dyDescent="0.35">
      <c r="B1850" s="5" t="str">
        <f t="shared" ref="B1850:C1850" si="1939">B1849</f>
        <v>SPS1</v>
      </c>
      <c r="C1850" s="5" t="str">
        <f t="shared" si="1939"/>
        <v>CH</v>
      </c>
      <c r="D1850" t="s">
        <v>1886</v>
      </c>
      <c r="E1850" t="str">
        <f t="shared" si="1888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0.43597688599444984</v>
      </c>
      <c r="H1850" s="1" cm="1">
        <f t="array" ref="H1850">SUMPRODUCT(([1]OUT_FinalEnergyCons!$B$4:$B$10000="var_cap")*1, (ISNUMBER(SEARCH("RH*-WHNGABR",[1]OUT_FinalEnergyCons!$A$4:$A$10000)))*1,[1]OUT_FinalEnergyCons!F$4:F$10000)</f>
        <v>0.43561150923411529</v>
      </c>
      <c r="I1850" s="1" cm="1">
        <f t="array" ref="I1850">SUMPRODUCT(([1]OUT_FinalEnergyCons!$B$4:$B$10000="var_cap")*1, (ISNUMBER(SEARCH("RH*-WHNGABR",[1]OUT_FinalEnergyCons!$A$4:$A$10000)))*1,[1]OUT_FinalEnergyCons!G$4:G$10000)</f>
        <v>0.43409237162383379</v>
      </c>
      <c r="J1850" s="1" cm="1">
        <f t="array" ref="J1850">SUMPRODUCT(([2]OUT_FinalEnergyCons!$B$4:$B$10000="var_cap")*1, (ISNUMBER(SEARCH("RH*-WHNGABR",[2]OUT_FinalEnergyCons!$A$4:$A$10000)))*1,[2]OUT_FinalEnergyCons!H$4:H$10000)</f>
        <v>0.16272735652595849</v>
      </c>
      <c r="K1850" s="1" cm="1">
        <f t="array" ref="K1850">SUMPRODUCT(([2]OUT_FinalEnergyCons!$B$4:$B$10000="var_cap")*1, (ISNUMBER(SEARCH("RH*-WHNGABR",[2]OUT_FinalEnergyCons!$A$4:$A$10000)))*1,[2]OUT_FinalEnergyCons!I$4:I$10000)</f>
        <v>0.10008512726633313</v>
      </c>
      <c r="L1850" s="1" cm="1">
        <f t="array" ref="L1850">SUMPRODUCT(([2]OUT_FinalEnergyCons!$B$4:$B$10000="var_cap")*1, (ISNUMBER(SEARCH("RH*-WHNGABR",[2]OUT_FinalEnergyCons!$A$4:$A$10000)))*1,[2]OUT_FinalEnergyCons!J$4:J$10000)</f>
        <v>5.7511546248037324E-2</v>
      </c>
      <c r="N1850" s="1"/>
    </row>
    <row r="1851" spans="2:14" x14ac:dyDescent="0.35">
      <c r="B1851" s="5" t="str">
        <f t="shared" ref="B1851:C1851" si="1940">B1850</f>
        <v>SPS1</v>
      </c>
      <c r="C1851" s="5" t="str">
        <f t="shared" si="1940"/>
        <v>CH</v>
      </c>
      <c r="D1851" t="s">
        <v>1887</v>
      </c>
      <c r="E1851" t="str">
        <f t="shared" si="1888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7.1374375691725684E-6</v>
      </c>
      <c r="H1851" s="1" cm="1">
        <f t="array" ref="H1851">SUMPRODUCT(([1]OUT_FinalEnergyCons!$B$4:$B$10000="var_cap")*1,ISNUMBER(SEARCH("RH*-WHngahp",[1]OUT_FinalEnergyCons!$A$4:$A$10000))*1,[1]OUT_FinalEnergyCons!F$4:F$10000)</f>
        <v>7.302601569350102E-2</v>
      </c>
      <c r="I1851" s="1" cm="1">
        <f t="array" ref="I1851">SUMPRODUCT(([1]OUT_FinalEnergyCons!$B$4:$B$10000="var_cap")*1,ISNUMBER(SEARCH("RH*-WHngahp",[1]OUT_FinalEnergyCons!$A$4:$A$10000))*1,[1]OUT_FinalEnergyCons!G$4:G$10000)</f>
        <v>0.21689064070113293</v>
      </c>
      <c r="J1851" s="1" cm="1">
        <f t="array" ref="J1851">SUMPRODUCT(([2]OUT_FinalEnergyCons!$B$4:$B$10000="var_cap")*1,ISNUMBER(SEARCH("RH*-WHngahp",[2]OUT_FinalEnergyCons!$A$4:$A$10000))*1,[2]OUT_FinalEnergyCons!H$4:H$10000)</f>
        <v>0.31235009615661052</v>
      </c>
      <c r="K1851" s="1" cm="1">
        <f t="array" ref="K1851">SUMPRODUCT(([2]OUT_FinalEnergyCons!$B$4:$B$10000="var_cap")*1,ISNUMBER(SEARCH("RH*-WHngahp",[2]OUT_FinalEnergyCons!$A$4:$A$10000))*1,[2]OUT_FinalEnergyCons!I$4:I$10000)</f>
        <v>0.40779461578185833</v>
      </c>
      <c r="L1851" s="1" cm="1">
        <f t="array" ref="L1851">SUMPRODUCT(([2]OUT_FinalEnergyCons!$B$4:$B$10000="var_cap")*1,ISNUMBER(SEARCH("RH*-WHngahp",[2]OUT_FinalEnergyCons!$A$4:$A$10000))*1,[2]OUT_FinalEnergyCons!J$4:J$10000)</f>
        <v>0.45796259418115998</v>
      </c>
      <c r="N1851" s="1"/>
    </row>
    <row r="1852" spans="2:14" x14ac:dyDescent="0.35">
      <c r="B1852" s="5" t="str">
        <f t="shared" ref="B1852:C1852" si="1941">B1851</f>
        <v>SPS1</v>
      </c>
      <c r="C1852" s="5" t="str">
        <f t="shared" si="1941"/>
        <v>CH</v>
      </c>
      <c r="D1852" t="s">
        <v>1888</v>
      </c>
      <c r="E1852" t="str">
        <f t="shared" si="1888"/>
        <v>GWth/yr.</v>
      </c>
      <c r="F1852" s="1">
        <f>F1853</f>
        <v>0</v>
      </c>
      <c r="G1852" s="1">
        <f t="shared" ref="G1852" si="1942">G1853</f>
        <v>0</v>
      </c>
      <c r="H1852" s="1">
        <f t="shared" ref="H1852" si="1943">H1853</f>
        <v>0</v>
      </c>
      <c r="I1852" s="1">
        <f t="shared" ref="I1852" si="1944">I1853</f>
        <v>0</v>
      </c>
      <c r="J1852" s="1">
        <f t="shared" ref="J1852" si="1945">J1853</f>
        <v>0</v>
      </c>
      <c r="K1852" s="1">
        <f t="shared" ref="K1852:L1852" si="1946">K1853</f>
        <v>0</v>
      </c>
      <c r="L1852" s="1">
        <f t="shared" si="1946"/>
        <v>0</v>
      </c>
      <c r="N1852" s="1"/>
    </row>
    <row r="1853" spans="2:14" x14ac:dyDescent="0.35">
      <c r="B1853" s="5" t="str">
        <f t="shared" ref="B1853:C1853" si="1947">B1852</f>
        <v>SPS1</v>
      </c>
      <c r="C1853" s="5" t="str">
        <f t="shared" si="1947"/>
        <v>CH</v>
      </c>
      <c r="D1853" t="s">
        <v>1889</v>
      </c>
      <c r="E1853" t="str">
        <f t="shared" si="1888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SUMPRODUCT(([2]OUT_FinalEnergyCons!$B$4:$B$10000="var_cap")*1, (ISNUMBER(SEARCH("RH*-WHCOABR",[2]OUT_FinalEnergyCons!$A$4:$A$10000)))*1,[2]OUT_FinalEnergyCons!H$4:H$10000)</f>
        <v>0</v>
      </c>
      <c r="K1853" s="1" cm="1">
        <f t="array" ref="K1853">SUMPRODUCT(([2]OUT_FinalEnergyCons!$B$4:$B$10000="var_cap")*1, (ISNUMBER(SEARCH("RH*-WHCOABR",[2]OUT_FinalEnergyCons!$A$4:$A$10000)))*1,[2]OUT_FinalEnergyCons!I$4:I$10000)</f>
        <v>0</v>
      </c>
      <c r="L1853" s="1" cm="1">
        <f t="array" ref="L1853">SUMPRODUCT(([2]OUT_FinalEnergyCons!$B$4:$B$10000="var_cap")*1, (ISNUMBER(SEARCH("RH*-WHCOABR",[2]OUT_FinalEnergyCons!$A$4:$A$10000)))*1,[2]OUT_FinalEnergyCons!J$4:J$10000)</f>
        <v>0</v>
      </c>
      <c r="N1853" s="1"/>
    </row>
    <row r="1854" spans="2:14" x14ac:dyDescent="0.35">
      <c r="B1854" s="5" t="str">
        <f t="shared" ref="B1854:C1854" si="1948">B1853</f>
        <v>SPS1</v>
      </c>
      <c r="C1854" s="5" t="str">
        <f t="shared" si="1948"/>
        <v>CH</v>
      </c>
      <c r="D1854" t="s">
        <v>1890</v>
      </c>
      <c r="E1854" t="str">
        <f t="shared" si="1888"/>
        <v>GWth/yr.</v>
      </c>
      <c r="F1854" s="1">
        <f>F1855</f>
        <v>3.5322010722483803E-2</v>
      </c>
      <c r="G1854" s="1">
        <f t="shared" ref="G1854" si="1949">G1855</f>
        <v>4.07353379435757E-2</v>
      </c>
      <c r="H1854" s="1">
        <f t="shared" ref="H1854" si="1950">H1855</f>
        <v>7.9366798973991071E-2</v>
      </c>
      <c r="I1854" s="1">
        <f t="shared" ref="I1854" si="1951">I1855</f>
        <v>7.999555582088011E-2</v>
      </c>
      <c r="J1854" s="1">
        <f t="shared" ref="J1854" si="1952">J1855</f>
        <v>7.3475661909632797E-2</v>
      </c>
      <c r="K1854" s="1">
        <f t="shared" ref="K1854:L1854" si="1953">K1855</f>
        <v>7.1051630651223927E-2</v>
      </c>
      <c r="L1854" s="1">
        <f t="shared" si="1953"/>
        <v>5.2443759795376833E-2</v>
      </c>
      <c r="N1854" s="1"/>
    </row>
    <row r="1855" spans="2:14" x14ac:dyDescent="0.35">
      <c r="B1855" s="5" t="str">
        <f t="shared" ref="B1855:C1855" si="1954">B1854</f>
        <v>SPS1</v>
      </c>
      <c r="C1855" s="5" t="str">
        <f t="shared" si="1954"/>
        <v>CH</v>
      </c>
      <c r="D1855" t="s">
        <v>1891</v>
      </c>
      <c r="E1855" t="str">
        <f t="shared" si="1888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4.07353379435757E-2</v>
      </c>
      <c r="H1855" s="1" cm="1">
        <f t="array" ref="H1855">SUMPRODUCT(([1]OUT_FinalEnergyCons!$B$4:$B$10000="var_cap")*1, (ISNUMBER(SEARCH("RH*-WHWODBR",[1]OUT_FinalEnergyCons!$A$4:$A$10000)))*1,[1]OUT_FinalEnergyCons!F$4:F$10000)</f>
        <v>7.9366798973991071E-2</v>
      </c>
      <c r="I1855" s="1" cm="1">
        <f t="array" ref="I1855">SUMPRODUCT(([1]OUT_FinalEnergyCons!$B$4:$B$10000="var_cap")*1, (ISNUMBER(SEARCH("RH*-WHWODBR",[1]OUT_FinalEnergyCons!$A$4:$A$10000)))*1,[1]OUT_FinalEnergyCons!G$4:G$10000)</f>
        <v>7.999555582088011E-2</v>
      </c>
      <c r="J1855" s="1" cm="1">
        <f t="array" ref="J1855">SUMPRODUCT(([2]OUT_FinalEnergyCons!$B$4:$B$10000="var_cap")*1, (ISNUMBER(SEARCH("RH*-WHWODBR",[2]OUT_FinalEnergyCons!$A$4:$A$10000)))*1,[2]OUT_FinalEnergyCons!H$4:H$10000)</f>
        <v>7.3475661909632797E-2</v>
      </c>
      <c r="K1855" s="1" cm="1">
        <f t="array" ref="K1855">SUMPRODUCT(([2]OUT_FinalEnergyCons!$B$4:$B$10000="var_cap")*1, (ISNUMBER(SEARCH("RH*-WHWODBR",[2]OUT_FinalEnergyCons!$A$4:$A$10000)))*1,[2]OUT_FinalEnergyCons!I$4:I$10000)</f>
        <v>7.1051630651223927E-2</v>
      </c>
      <c r="L1855" s="1" cm="1">
        <f t="array" ref="L1855">SUMPRODUCT(([2]OUT_FinalEnergyCons!$B$4:$B$10000="var_cap")*1, (ISNUMBER(SEARCH("RH*-WHWODBR",[2]OUT_FinalEnergyCons!$A$4:$A$10000)))*1,[2]OUT_FinalEnergyCons!J$4:J$10000)</f>
        <v>5.2443759795376833E-2</v>
      </c>
      <c r="N1855" s="1"/>
    </row>
    <row r="1856" spans="2:14" x14ac:dyDescent="0.35">
      <c r="B1856" s="5" t="str">
        <f t="shared" ref="B1856:C1856" si="1955">B1855</f>
        <v>SPS1</v>
      </c>
      <c r="C1856" s="5" t="str">
        <f t="shared" si="1955"/>
        <v>CH</v>
      </c>
      <c r="D1856" t="s">
        <v>1892</v>
      </c>
      <c r="E1856" t="str">
        <f t="shared" si="1888"/>
        <v>GWth/yr.</v>
      </c>
      <c r="F1856" s="1">
        <f>F1857</f>
        <v>1.12410901121583E-2</v>
      </c>
      <c r="G1856" s="1">
        <f t="shared" ref="G1856" si="1956">G1857</f>
        <v>1.3295010748235789E-2</v>
      </c>
      <c r="H1856" s="1">
        <f t="shared" ref="H1856" si="1957">H1857</f>
        <v>9.7550191575930291E-3</v>
      </c>
      <c r="I1856" s="1">
        <f t="shared" ref="I1856" si="1958">I1857</f>
        <v>9.8012393293849514E-3</v>
      </c>
      <c r="J1856" s="1">
        <f t="shared" ref="J1856" si="1959">J1857</f>
        <v>7.8668565743346131E-3</v>
      </c>
      <c r="K1856" s="1">
        <f t="shared" ref="K1856:L1856" si="1960">K1857</f>
        <v>9.1248540543654444E-3</v>
      </c>
      <c r="L1856" s="1">
        <f t="shared" si="1960"/>
        <v>9.1497597558749741E-3</v>
      </c>
      <c r="N1856" s="1"/>
    </row>
    <row r="1857" spans="2:14" x14ac:dyDescent="0.35">
      <c r="B1857" s="5" t="str">
        <f t="shared" ref="B1857:C1857" si="1961">B1856</f>
        <v>SPS1</v>
      </c>
      <c r="C1857" s="5" t="str">
        <f t="shared" si="1961"/>
        <v>CH</v>
      </c>
      <c r="D1857" t="s">
        <v>1893</v>
      </c>
      <c r="E1857" t="str">
        <f t="shared" si="1888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1.3295010748235789E-2</v>
      </c>
      <c r="H1857" s="1" cm="1">
        <f t="array" ref="H1857">SUMPRODUCT(([1]OUT_FinalEnergyCons!$B$4:$B$10000="var_cap")*1, (ISNUMBER(SEARCH("RH*-WHPLTBR",[1]OUT_FinalEnergyCons!$A$4:$A$10000)))*1,[1]OUT_FinalEnergyCons!F$4:F$10000)</f>
        <v>9.7550191575930291E-3</v>
      </c>
      <c r="I1857" s="1" cm="1">
        <f t="array" ref="I1857">SUMPRODUCT(([1]OUT_FinalEnergyCons!$B$4:$B$10000="var_cap")*1, (ISNUMBER(SEARCH("RH*-WHPLTBR",[1]OUT_FinalEnergyCons!$A$4:$A$10000)))*1,[1]OUT_FinalEnergyCons!G$4:G$10000)</f>
        <v>9.8012393293849514E-3</v>
      </c>
      <c r="J1857" s="1" cm="1">
        <f t="array" ref="J1857">SUMPRODUCT(([2]OUT_FinalEnergyCons!$B$4:$B$10000="var_cap")*1, (ISNUMBER(SEARCH("RH*-WHPLTBR",[2]OUT_FinalEnergyCons!$A$4:$A$10000)))*1,[2]OUT_FinalEnergyCons!H$4:H$10000)</f>
        <v>7.8668565743346131E-3</v>
      </c>
      <c r="K1857" s="1" cm="1">
        <f t="array" ref="K1857">SUMPRODUCT(([2]OUT_FinalEnergyCons!$B$4:$B$10000="var_cap")*1, (ISNUMBER(SEARCH("RH*-WHPLTBR",[2]OUT_FinalEnergyCons!$A$4:$A$10000)))*1,[2]OUT_FinalEnergyCons!I$4:I$10000)</f>
        <v>9.1248540543654444E-3</v>
      </c>
      <c r="L1857" s="1" cm="1">
        <f t="array" ref="L1857">SUMPRODUCT(([2]OUT_FinalEnergyCons!$B$4:$B$10000="var_cap")*1, (ISNUMBER(SEARCH("RH*-WHPLTBR",[2]OUT_FinalEnergyCons!$A$4:$A$10000)))*1,[2]OUT_FinalEnergyCons!J$4:J$10000)</f>
        <v>9.1497597558749741E-3</v>
      </c>
      <c r="N1857" s="1"/>
    </row>
    <row r="1858" spans="2:14" x14ac:dyDescent="0.35">
      <c r="B1858" s="5" t="str">
        <f t="shared" ref="B1858:C1858" si="1962">B1857</f>
        <v>SPS1</v>
      </c>
      <c r="C1858" s="5" t="str">
        <f t="shared" si="1962"/>
        <v>CH</v>
      </c>
      <c r="D1858" t="s">
        <v>1894</v>
      </c>
      <c r="E1858" t="str">
        <f t="shared" si="1888"/>
        <v>GWth/yr.</v>
      </c>
      <c r="F1858" s="1">
        <f>F1859</f>
        <v>0.25000991745774798</v>
      </c>
      <c r="G1858" s="1">
        <f t="shared" ref="G1858" si="1963">G1859</f>
        <v>0.33248107919376657</v>
      </c>
      <c r="H1858" s="1">
        <f t="shared" ref="H1858" si="1964">H1859</f>
        <v>0.33248576007547376</v>
      </c>
      <c r="I1858" s="1">
        <f t="shared" ref="I1858" si="1965">I1859</f>
        <v>0.33256844857892914</v>
      </c>
      <c r="J1858" s="1">
        <f t="shared" ref="J1858" si="1966">J1859</f>
        <v>0.24406867417634284</v>
      </c>
      <c r="K1858" s="1">
        <f t="shared" ref="K1858:L1858" si="1967">K1859</f>
        <v>0.27021477877976519</v>
      </c>
      <c r="L1858" s="1">
        <f t="shared" si="1967"/>
        <v>0.25661555185552759</v>
      </c>
      <c r="N1858" s="1"/>
    </row>
    <row r="1859" spans="2:14" x14ac:dyDescent="0.35">
      <c r="B1859" s="5" t="str">
        <f t="shared" ref="B1859:C1859" si="1968">B1858</f>
        <v>SPS1</v>
      </c>
      <c r="C1859" s="5" t="str">
        <f t="shared" si="1968"/>
        <v>CH</v>
      </c>
      <c r="D1859" t="s">
        <v>1895</v>
      </c>
      <c r="E1859" t="str">
        <f t="shared" si="1888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0.33248107919376657</v>
      </c>
      <c r="H1859" s="1" cm="1">
        <f t="array" ref="H1859">SUMPRODUCT(([1]OUT_FinalEnergyCons!$B$4:$B$10000="var_cap")*1, (ISNUMBER(SEARCH("RH*-WHSOLBR",[1]OUT_FinalEnergyCons!$A$4:$A$10000)))*1,[1]OUT_FinalEnergyCons!F$4:F$10000)</f>
        <v>0.33248576007547376</v>
      </c>
      <c r="I1859" s="1" cm="1">
        <f t="array" ref="I1859">SUMPRODUCT(([1]OUT_FinalEnergyCons!$B$4:$B$10000="var_cap")*1, (ISNUMBER(SEARCH("RH*-WHSOLBR",[1]OUT_FinalEnergyCons!$A$4:$A$10000)))*1,[1]OUT_FinalEnergyCons!G$4:G$10000)</f>
        <v>0.33256844857892914</v>
      </c>
      <c r="J1859" s="1" cm="1">
        <f t="array" ref="J1859">SUMPRODUCT(([2]OUT_FinalEnergyCons!$B$4:$B$10000="var_cap")*1, (ISNUMBER(SEARCH("RH*-WHSOLBR",[2]OUT_FinalEnergyCons!$A$4:$A$10000)))*1,[2]OUT_FinalEnergyCons!H$4:H$10000)</f>
        <v>0.24406867417634284</v>
      </c>
      <c r="K1859" s="1" cm="1">
        <f t="array" ref="K1859">SUMPRODUCT(([2]OUT_FinalEnergyCons!$B$4:$B$10000="var_cap")*1, (ISNUMBER(SEARCH("RH*-WHSOLBR",[2]OUT_FinalEnergyCons!$A$4:$A$10000)))*1,[2]OUT_FinalEnergyCons!I$4:I$10000)</f>
        <v>0.27021477877976519</v>
      </c>
      <c r="L1859" s="1" cm="1">
        <f t="array" ref="L1859">SUMPRODUCT(([2]OUT_FinalEnergyCons!$B$4:$B$10000="var_cap")*1, (ISNUMBER(SEARCH("RH*-WHSOLBR",[2]OUT_FinalEnergyCons!$A$4:$A$10000)))*1,[2]OUT_FinalEnergyCons!J$4:J$10000)</f>
        <v>0.25661555185552759</v>
      </c>
      <c r="N1859" s="1"/>
    </row>
    <row r="1860" spans="2:14" x14ac:dyDescent="0.35">
      <c r="B1860" s="5" t="str">
        <f t="shared" ref="B1860:C1860" si="1969">B1859</f>
        <v>SPS1</v>
      </c>
      <c r="C1860" s="5" t="str">
        <f t="shared" si="1969"/>
        <v>CH</v>
      </c>
      <c r="D1860" t="s">
        <v>1896</v>
      </c>
      <c r="E1860" t="str">
        <f t="shared" si="1888"/>
        <v>GWth/yr.</v>
      </c>
      <c r="F1860" s="1">
        <f>F1861</f>
        <v>0</v>
      </c>
      <c r="G1860" s="1">
        <f t="shared" ref="G1860" si="1970">G1861</f>
        <v>0</v>
      </c>
      <c r="H1860" s="1">
        <f t="shared" ref="H1860" si="1971">H1861</f>
        <v>0</v>
      </c>
      <c r="I1860" s="1">
        <f t="shared" ref="I1860" si="1972">I1861</f>
        <v>0</v>
      </c>
      <c r="J1860" s="1">
        <f t="shared" ref="J1860" si="1973">J1861</f>
        <v>0</v>
      </c>
      <c r="K1860" s="1">
        <f t="shared" ref="K1860:L1860" si="1974">K1861</f>
        <v>0</v>
      </c>
      <c r="L1860" s="1">
        <f t="shared" si="1974"/>
        <v>0</v>
      </c>
      <c r="N1860" s="1"/>
    </row>
    <row r="1861" spans="2:14" x14ac:dyDescent="0.35">
      <c r="B1861" s="5" t="str">
        <f t="shared" ref="B1861:C1865" si="1975">B1860</f>
        <v>SPS1</v>
      </c>
      <c r="C1861" s="5" t="str">
        <f t="shared" si="1975"/>
        <v>CH</v>
      </c>
      <c r="D1861" t="s">
        <v>1897</v>
      </c>
      <c r="E1861" t="str">
        <f t="shared" si="1888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SUMPRODUCT(([2]OUT_FinalEnergyCons!$B$4:$B$10000="var_cap")*1, (ISNUMBER(SEARCH("RH*-WHH2BR",[2]OUT_FinalEnergyCons!$A$4:$A$10000)))*1,[2]OUT_FinalEnergyCons!H$4:H$10000)</f>
        <v>0</v>
      </c>
      <c r="K1861" s="1" cm="1">
        <f t="array" ref="K1861">SUMPRODUCT(([2]OUT_FinalEnergyCons!$B$4:$B$10000="var_cap")*1, (ISNUMBER(SEARCH("RH*-WHH2BR",[2]OUT_FinalEnergyCons!$A$4:$A$10000)))*1,[2]OUT_FinalEnergyCons!I$4:I$10000)</f>
        <v>0</v>
      </c>
      <c r="L1861" s="1" cm="1">
        <f t="array" ref="L1861">SUMPRODUCT(([2]OUT_FinalEnergyCons!$B$4:$B$10000="var_cap")*1, (ISNUMBER(SEARCH("RH*-WHH2BR",[2]OUT_FinalEnergyCons!$A$4:$A$10000)))*1,[2]OUT_FinalEnergyCons!J$4:J$10000)</f>
        <v>0</v>
      </c>
      <c r="N1861" s="1"/>
    </row>
    <row r="1862" spans="2:14" x14ac:dyDescent="0.35">
      <c r="B1862" s="9" t="str">
        <f t="shared" si="1975"/>
        <v>SPS1</v>
      </c>
      <c r="C1862" s="9" t="str">
        <f t="shared" si="1975"/>
        <v>CH</v>
      </c>
      <c r="D1862" s="2" t="s">
        <v>1899</v>
      </c>
      <c r="E1862" s="9" t="str">
        <f t="shared" si="1888"/>
        <v>GWth/yr.</v>
      </c>
      <c r="F1862" s="17">
        <f>SUM(F1863,F1866,F1869,F1873,F1875,F1877,F1879,F1881,F1883)</f>
        <v>3.6135243050045958</v>
      </c>
      <c r="G1862" s="17">
        <f t="shared" ref="G1862:K1862" si="1976">SUM(G1863,G1866,G1869,G1873,G1875,G1877,G1879,G1881,G1883)</f>
        <v>4.2017480966580107</v>
      </c>
      <c r="H1862" s="17">
        <f t="shared" si="1976"/>
        <v>4.0051673406177528</v>
      </c>
      <c r="I1862" s="17">
        <f t="shared" si="1976"/>
        <v>4.3151781392219313</v>
      </c>
      <c r="J1862" s="17">
        <f t="shared" si="1976"/>
        <v>4.2140569254875428</v>
      </c>
      <c r="K1862" s="17">
        <f t="shared" si="1976"/>
        <v>4.1776863202815262</v>
      </c>
      <c r="L1862" s="17">
        <f t="shared" ref="L1862" si="1977">SUM(L1863,L1866,L1869,L1873,L1875,L1877,L1879,L1881,L1883)</f>
        <v>3.9209879205290243</v>
      </c>
      <c r="N1862" s="1"/>
    </row>
    <row r="1863" spans="2:14" x14ac:dyDescent="0.35">
      <c r="B1863" s="5" t="str">
        <f>B1862</f>
        <v>SPS1</v>
      </c>
      <c r="C1863" s="5" t="str">
        <f t="shared" si="1975"/>
        <v>CH</v>
      </c>
      <c r="D1863" t="s">
        <v>2093</v>
      </c>
      <c r="E1863" t="str">
        <f t="shared" si="1888"/>
        <v>GWth/yr.</v>
      </c>
      <c r="F1863" s="18">
        <f>SUM(F1864:F1865)</f>
        <v>0.61671309762324311</v>
      </c>
      <c r="G1863" s="18">
        <f t="shared" ref="G1863:K1863" si="1978">SUM(G1864:G1865)</f>
        <v>0.83218389000299775</v>
      </c>
      <c r="H1863" s="18">
        <f t="shared" si="1978"/>
        <v>0.91121193890880781</v>
      </c>
      <c r="I1863" s="18">
        <f t="shared" si="1978"/>
        <v>1.3591928399607265</v>
      </c>
      <c r="J1863" s="18">
        <f t="shared" si="1978"/>
        <v>1.9157132494501279</v>
      </c>
      <c r="K1863" s="18">
        <f t="shared" si="1978"/>
        <v>1.9220211464542944</v>
      </c>
      <c r="L1863" s="18">
        <f t="shared" ref="L1863" si="1979">SUM(L1864:L1865)</f>
        <v>2.2020824937960612</v>
      </c>
      <c r="N1863" s="1"/>
    </row>
    <row r="1864" spans="2:14" x14ac:dyDescent="0.35">
      <c r="B1864" s="5" t="str">
        <f t="shared" ref="B1864:B1865" si="1980">B1863</f>
        <v>SPS1</v>
      </c>
      <c r="C1864" s="5" t="str">
        <f t="shared" si="1975"/>
        <v>CH</v>
      </c>
      <c r="D1864" t="s">
        <v>2094</v>
      </c>
      <c r="E1864" t="str">
        <f t="shared" si="1888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0.75228738902036107</v>
      </c>
      <c r="H1864" s="1" cm="1">
        <f t="array" ref="H1864">SUMPRODUCT(([1]OUT_FinalEnergyCons!$B$4:$B$10000="Var_cap")*1,  (ISNUMBER(SEARCH("ITOT-SWHELCBR",[1]OUT_FinalEnergyCons!$A$4:$A$10000)))*1,[1]OUT_FinalEnergyCons!F$4:F$10000)</f>
        <v>0.76673073157571625</v>
      </c>
      <c r="I1864" s="1" cm="1">
        <f t="array" ref="I1864">SUMPRODUCT(([1]OUT_FinalEnergyCons!$B$4:$B$10000="Var_cap")*1,  (ISNUMBER(SEARCH("ITOT-SWHELCBR",[1]OUT_FinalEnergyCons!$A$4:$A$10000)))*1,[1]OUT_FinalEnergyCons!G$4:G$10000)</f>
        <v>1.0242666083314971</v>
      </c>
      <c r="J1864" s="1" cm="1">
        <f t="array" ref="J1864">SUMPRODUCT(([2]OUT_FinalEnergyCons!$B$4:$B$10000="Var_cap")*1,  (ISNUMBER(SEARCH("ITOT-SWHELCBR",[2]OUT_FinalEnergyCons!$A$4:$A$10000)))*1,[2]OUT_FinalEnergyCons!H$4:H$10000)</f>
        <v>1.5811461712764616</v>
      </c>
      <c r="K1864" s="1" cm="1">
        <f t="array" ref="K1864">SUMPRODUCT(([2]OUT_FinalEnergyCons!$B$4:$B$10000="Var_cap")*1,  (ISNUMBER(SEARCH("ITOT-SWHELCBR",[2]OUT_FinalEnergyCons!$A$4:$A$10000)))*1,[2]OUT_FinalEnergyCons!I$4:I$10000)</f>
        <v>1.4427100306982825</v>
      </c>
      <c r="L1864" s="1" cm="1">
        <f t="array" ref="L1864">SUMPRODUCT(([2]OUT_FinalEnergyCons!$B$4:$B$10000="Var_cap")*1,  (ISNUMBER(SEARCH("ITOT-SWHELCBR",[2]OUT_FinalEnergyCons!$A$4:$A$10000)))*1,[2]OUT_FinalEnergyCons!J$4:J$10000)</f>
        <v>1.5931678992494651</v>
      </c>
      <c r="N1864" s="1"/>
    </row>
    <row r="1865" spans="2:14" x14ac:dyDescent="0.35">
      <c r="B1865" s="5" t="str">
        <f t="shared" si="1980"/>
        <v>SPS1</v>
      </c>
      <c r="C1865" s="5" t="str">
        <f t="shared" si="1975"/>
        <v>CH</v>
      </c>
      <c r="D1865" t="s">
        <v>2095</v>
      </c>
      <c r="E1865" t="str">
        <f t="shared" si="1888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7.9896500982636717E-2</v>
      </c>
      <c r="H1865" s="1" cm="1">
        <f t="array" ref="H1865">SUMPRODUCT(([1]OUT_FinalEnergyCons!$B$4:$B$10000="Var_cap")*1,  (ISNUMBER(SEARCH("ITOT-SWHELCHP",[1]OUT_FinalEnergyCons!$A$4:$A$10000)))*1,[1]OUT_FinalEnergyCons!F$4:F$10000)</f>
        <v>0.14448120733309161</v>
      </c>
      <c r="I1865" s="1" cm="1">
        <f t="array" ref="I1865">SUMPRODUCT(([1]OUT_FinalEnergyCons!$B$4:$B$10000="Var_cap")*1,  (ISNUMBER(SEARCH("ITOT-SWHELCHP",[1]OUT_FinalEnergyCons!$A$4:$A$10000)))*1,[1]OUT_FinalEnergyCons!G$4:G$10000)</f>
        <v>0.33492623162922935</v>
      </c>
      <c r="J1865" s="1" cm="1">
        <f t="array" ref="J1865">SUMPRODUCT(([2]OUT_FinalEnergyCons!$B$4:$B$10000="Var_cap")*1,  (ISNUMBER(SEARCH("ITOT-SWHELCHP",[2]OUT_FinalEnergyCons!$A$4:$A$10000)))*1,[2]OUT_FinalEnergyCons!H$4:H$10000)</f>
        <v>0.33456707817366638</v>
      </c>
      <c r="K1865" s="1" cm="1">
        <f t="array" ref="K1865">SUMPRODUCT(([2]OUT_FinalEnergyCons!$B$4:$B$10000="Var_cap")*1,  (ISNUMBER(SEARCH("ITOT-SWHELCHP",[2]OUT_FinalEnergyCons!$A$4:$A$10000)))*1,[2]OUT_FinalEnergyCons!I$4:I$10000)</f>
        <v>0.47931111575601193</v>
      </c>
      <c r="L1865" s="1" cm="1">
        <f t="array" ref="L1865">SUMPRODUCT(([2]OUT_FinalEnergyCons!$B$4:$B$10000="Var_cap")*1,  (ISNUMBER(SEARCH("ITOT-SWHELCHP",[2]OUT_FinalEnergyCons!$A$4:$A$10000)))*1,[2]OUT_FinalEnergyCons!J$4:J$10000)</f>
        <v>0.60891459454659602</v>
      </c>
      <c r="N1865" s="1"/>
    </row>
    <row r="1866" spans="2:14" x14ac:dyDescent="0.3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1888"/>
        <v>GWth/yr.</v>
      </c>
      <c r="F1866" s="18">
        <f>SUM(F1867:F1868)</f>
        <v>0.49044499905522643</v>
      </c>
      <c r="G1866" s="18">
        <f t="shared" ref="G1866:K1866" si="1981">SUM(G1867:G1868)</f>
        <v>0.49850662376933336</v>
      </c>
      <c r="H1866" s="18">
        <f t="shared" si="1981"/>
        <v>0.39584908037687749</v>
      </c>
      <c r="I1866" s="18">
        <f t="shared" si="1981"/>
        <v>0.39024382543056135</v>
      </c>
      <c r="J1866" s="18">
        <f t="shared" si="1981"/>
        <v>0.27074655094277317</v>
      </c>
      <c r="K1866" s="18">
        <f t="shared" si="1981"/>
        <v>0.19479403432020304</v>
      </c>
      <c r="L1866" s="18">
        <f t="shared" ref="L1866" si="1982">SUM(L1867:L1868)</f>
        <v>1.5947167556680603E-2</v>
      </c>
      <c r="N1866" s="1"/>
    </row>
    <row r="1867" spans="2:14" x14ac:dyDescent="0.35">
      <c r="B1867" s="5" t="str">
        <f t="shared" ref="B1867:B1884" si="1983">B1866</f>
        <v>SPS1</v>
      </c>
      <c r="C1867" s="5" t="str">
        <f t="shared" ref="C1867:C1884" si="1984">C1866</f>
        <v>CH</v>
      </c>
      <c r="D1867" t="s">
        <v>2097</v>
      </c>
      <c r="E1867" t="str">
        <f t="shared" si="1888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0.38411922150184863</v>
      </c>
      <c r="H1867" s="1" cm="1">
        <f t="array" ref="H1867">SUMPRODUCT(([1]OUT_FinalEnergyCons!$B$4:$B$10000="Var_cap")*1,  (ISNUMBER(SEARCH("ITOT-SWHLFOBR",[1]OUT_FinalEnergyCons!$A$4:$A$10000)))*1,[1]OUT_FinalEnergyCons!F$4:F$10000)</f>
        <v>0.3927695108812071</v>
      </c>
      <c r="I1867" s="1" cm="1">
        <f t="array" ref="I1867">SUMPRODUCT(([1]OUT_FinalEnergyCons!$B$4:$B$10000="Var_cap")*1,  (ISNUMBER(SEARCH("ITOT-SWHLFOBR",[1]OUT_FinalEnergyCons!$A$4:$A$10000)))*1,[1]OUT_FinalEnergyCons!G$4:G$10000)</f>
        <v>0.38994178396841428</v>
      </c>
      <c r="J1867" s="1" cm="1">
        <f t="array" ref="J1867">SUMPRODUCT(([2]OUT_FinalEnergyCons!$B$4:$B$10000="Var_cap")*1,  (ISNUMBER(SEARCH("ITOT-SWHLFOBR",[2]OUT_FinalEnergyCons!$A$4:$A$10000)))*1,[2]OUT_FinalEnergyCons!H$4:H$10000)</f>
        <v>0.27053671159519965</v>
      </c>
      <c r="K1867" s="1" cm="1">
        <f t="array" ref="K1867">SUMPRODUCT(([2]OUT_FinalEnergyCons!$B$4:$B$10000="Var_cap")*1,  (ISNUMBER(SEARCH("ITOT-SWHLFOBR",[2]OUT_FinalEnergyCons!$A$4:$A$10000)))*1,[2]OUT_FinalEnergyCons!I$4:I$10000)</f>
        <v>0.19477665383694584</v>
      </c>
      <c r="L1867" s="1" cm="1">
        <f t="array" ref="L1867">SUMPRODUCT(([2]OUT_FinalEnergyCons!$B$4:$B$10000="Var_cap")*1,  (ISNUMBER(SEARCH("ITOT-SWHLFOBR",[2]OUT_FinalEnergyCons!$A$4:$A$10000)))*1,[2]OUT_FinalEnergyCons!J$4:J$10000)</f>
        <v>1.5947167556680603E-2</v>
      </c>
      <c r="N1867" s="1"/>
    </row>
    <row r="1868" spans="2:14" x14ac:dyDescent="0.35">
      <c r="B1868" s="5" t="str">
        <f t="shared" si="1983"/>
        <v>SPS1</v>
      </c>
      <c r="C1868" s="5" t="str">
        <f t="shared" si="1984"/>
        <v>CH</v>
      </c>
      <c r="D1868" t="s">
        <v>2098</v>
      </c>
      <c r="E1868" t="str">
        <f t="shared" si="1888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0.11410955942439441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0.11438740226748473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3.0795694956704117E-3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3.0204146214710126E-4</v>
      </c>
      <c r="J1868" s="1" cm="1">
        <f t="array" ref="J1868">IF(SUMPRODUCT(([2]OUT_FinalEnergyCons!$B$4:$B$10000="Var_cap")*1,  (ISNUMBER(SEARCH("ITOT-SWHHFOBR",[2]OUT_FinalEnergyCons!$A$4:$A$10000)))*1,[2]OUT_FinalEnergyCons!H$4:H$10000)&lt;0,0,SUMPRODUCT(([2]OUT_FinalEnergyCons!$B$4:$B$10000="Var_cap")*1,  (ISNUMBER(SEARCH("ITOT-SWHHFOBR",[2]OUT_FinalEnergyCons!$A$4:$A$10000)))*1,[2]OUT_FinalEnergyCons!H$4:H$10000))</f>
        <v>2.0983934757350109E-4</v>
      </c>
      <c r="K1868" s="1" cm="1">
        <f t="array" ref="K1868">IF(SUMPRODUCT(([2]OUT_FinalEnergyCons!$B$4:$B$10000="Var_cap")*1,  (ISNUMBER(SEARCH("ITOT-SWHHFOBR",[2]OUT_FinalEnergyCons!$A$4:$A$10000)))*1,[2]OUT_FinalEnergyCons!I$4:I$10000)&lt;0,0,SUMPRODUCT(([2]OUT_FinalEnergyCons!$B$4:$B$10000="Var_cap")*1,  (ISNUMBER(SEARCH("ITOT-SWHHFOBR",[2]OUT_FinalEnergyCons!$A$4:$A$10000)))*1,[2]OUT_FinalEnergyCons!I$4:I$10000))</f>
        <v>1.7380483257198987E-5</v>
      </c>
      <c r="L1868" s="1" cm="1">
        <f t="array" ref="L1868">IF(SUMPRODUCT(([2]OUT_FinalEnergyCons!$B$4:$B$10000="Var_cap")*1,  (ISNUMBER(SEARCH("ITOT-SWHHFOBR",[2]OUT_FinalEnergyCons!$A$4:$A$10000)))*1,[2]OUT_FinalEnergyCons!J$4:J$10000)&lt;0,0,SUMPRODUCT(([2]OUT_FinalEnergyCons!$B$4:$B$10000="Var_cap")*1,  (ISNUMBER(SEARCH("ITOT-SWHHFOBR",[2]OUT_FinalEnergyCons!$A$4:$A$10000)))*1,[2]OUT_FinalEnergyCons!J$4:J$10000))</f>
        <v>0</v>
      </c>
      <c r="N1868" s="1"/>
    </row>
    <row r="1869" spans="2:14" x14ac:dyDescent="0.35">
      <c r="B1869" s="5" t="str">
        <f t="shared" si="1983"/>
        <v>SPS1</v>
      </c>
      <c r="C1869" s="5" t="str">
        <f t="shared" si="1984"/>
        <v>CH</v>
      </c>
      <c r="D1869" t="s">
        <v>2099</v>
      </c>
      <c r="E1869" t="str">
        <f t="shared" si="1888"/>
        <v>GWth/yr.</v>
      </c>
      <c r="F1869" s="18">
        <f>SUM(F1870:F1871)</f>
        <v>1.556581895256</v>
      </c>
      <c r="G1869" s="18">
        <f t="shared" ref="G1869:K1869" si="1985">SUM(G1870:G1871)</f>
        <v>1.5667014760120115</v>
      </c>
      <c r="H1869" s="18">
        <f t="shared" si="1985"/>
        <v>1.570606625309656</v>
      </c>
      <c r="I1869" s="18">
        <f t="shared" si="1985"/>
        <v>1.4087830258302763</v>
      </c>
      <c r="J1869" s="18">
        <f t="shared" si="1985"/>
        <v>0.53498469144400795</v>
      </c>
      <c r="K1869" s="18">
        <f t="shared" si="1985"/>
        <v>0.28437951922554155</v>
      </c>
      <c r="L1869" s="18">
        <f t="shared" ref="L1869" si="1986">SUM(L1870:L1871)</f>
        <v>7.2983590545396479E-2</v>
      </c>
      <c r="N1869" s="1"/>
    </row>
    <row r="1870" spans="2:14" x14ac:dyDescent="0.35">
      <c r="B1870" s="5" t="str">
        <f t="shared" si="1983"/>
        <v>SPS1</v>
      </c>
      <c r="C1870" s="5" t="str">
        <f t="shared" si="1984"/>
        <v>CH</v>
      </c>
      <c r="D1870" t="s">
        <v>2100</v>
      </c>
      <c r="E1870" t="str">
        <f t="shared" si="1888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1.5604062537101038</v>
      </c>
      <c r="H1870" s="1" cm="1">
        <f t="array" ref="H1870">SUMPRODUCT(([1]OUT_FinalEnergyCons!$B$4:$B$10000="Var_cap")*1,  (ISNUMBER(SEARCH("ITOT-SWHNGA*BR",[1]OUT_FinalEnergyCons!$A$4:$A$10000)))*1,[1]OUT_FinalEnergyCons!F$4:F$10000)</f>
        <v>1.5642058755060602</v>
      </c>
      <c r="I1870" s="1" cm="1">
        <f t="array" ref="I1870">SUMPRODUCT(([1]OUT_FinalEnergyCons!$B$4:$B$10000="Var_cap")*1,  (ISNUMBER(SEARCH("ITOT-SWHNGA*BR",[1]OUT_FinalEnergyCons!$A$4:$A$10000)))*1,[1]OUT_FinalEnergyCons!G$4:G$10000)</f>
        <v>1.4059536311602332</v>
      </c>
      <c r="J1870" s="1" cm="1">
        <f t="array" ref="J1870">SUMPRODUCT(([2]OUT_FinalEnergyCons!$B$4:$B$10000="Var_cap")*1,  (ISNUMBER(SEARCH("ITOT-SWHNGA*BR",[2]OUT_FinalEnergyCons!$A$4:$A$10000)))*1,[2]OUT_FinalEnergyCons!H$4:H$10000)</f>
        <v>0.53471545705645473</v>
      </c>
      <c r="K1870" s="1" cm="1">
        <f t="array" ref="K1870">SUMPRODUCT(([2]OUT_FinalEnergyCons!$B$4:$B$10000="Var_cap")*1,  (ISNUMBER(SEARCH("ITOT-SWHNGA*BR",[2]OUT_FinalEnergyCons!$A$4:$A$10000)))*1,[2]OUT_FinalEnergyCons!I$4:I$10000)</f>
        <v>0.28417118400918939</v>
      </c>
      <c r="L1870" s="1" cm="1">
        <f t="array" ref="L1870">SUMPRODUCT(([2]OUT_FinalEnergyCons!$B$4:$B$10000="Var_cap")*1,  (ISNUMBER(SEARCH("ITOT-SWHNGA*BR",[2]OUT_FinalEnergyCons!$A$4:$A$10000)))*1,[2]OUT_FinalEnergyCons!J$4:J$10000)</f>
        <v>7.2895446087047899E-2</v>
      </c>
      <c r="N1870" s="1"/>
    </row>
    <row r="1871" spans="2:14" x14ac:dyDescent="0.35">
      <c r="B1871" s="5" t="str">
        <f t="shared" si="1983"/>
        <v>SPS1</v>
      </c>
      <c r="C1871" s="5" t="str">
        <f t="shared" si="1984"/>
        <v>CH</v>
      </c>
      <c r="D1871" t="s">
        <v>2101</v>
      </c>
      <c r="E1871" t="str">
        <f t="shared" si="1888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6.2952223019076096E-3</v>
      </c>
      <c r="H1871" s="1" cm="1">
        <f t="array" ref="H1871">SUMPRODUCT(([1]OUT_FinalEnergyCons!$B$4:$B$10000="Var_cap")*1,  (ISNUMBER(SEARCH("ITOT-SWHNGAHP",[1]OUT_FinalEnergyCons!$A$4:$A$10000)))*1,[1]OUT_FinalEnergyCons!F$4:F$10000)</f>
        <v>6.4007498035958616E-3</v>
      </c>
      <c r="I1871" s="1" cm="1">
        <f t="array" ref="I1871">SUMPRODUCT(([1]OUT_FinalEnergyCons!$B$4:$B$10000="Var_cap")*1,  (ISNUMBER(SEARCH("ITOT-SWHNGAHP",[1]OUT_FinalEnergyCons!$A$4:$A$10000)))*1,[1]OUT_FinalEnergyCons!G$4:G$10000)</f>
        <v>2.8293946700429897E-3</v>
      </c>
      <c r="J1871" s="1" cm="1">
        <f t="array" ref="J1871">SUMPRODUCT(([2]OUT_FinalEnergyCons!$B$4:$B$10000="Var_cap")*1,  (ISNUMBER(SEARCH("ITOT-SWHNGAHP",[2]OUT_FinalEnergyCons!$A$4:$A$10000)))*1,[2]OUT_FinalEnergyCons!H$4:H$10000)</f>
        <v>2.6923438755326002E-4</v>
      </c>
      <c r="K1871" s="1" cm="1">
        <f t="array" ref="K1871">SUMPRODUCT(([2]OUT_FinalEnergyCons!$B$4:$B$10000="Var_cap")*1,  (ISNUMBER(SEARCH("ITOT-SWHNGAHP",[2]OUT_FinalEnergyCons!$A$4:$A$10000)))*1,[2]OUT_FinalEnergyCons!I$4:I$10000)</f>
        <v>2.0833521635214177E-4</v>
      </c>
      <c r="L1871" s="1" cm="1">
        <f t="array" ref="L1871">SUMPRODUCT(([2]OUT_FinalEnergyCons!$B$4:$B$10000="Var_cap")*1,  (ISNUMBER(SEARCH("ITOT-SWHNGAHP",[2]OUT_FinalEnergyCons!$A$4:$A$10000)))*1,[2]OUT_FinalEnergyCons!J$4:J$10000)</f>
        <v>8.8144458348580622E-5</v>
      </c>
      <c r="N1871" s="1"/>
    </row>
    <row r="1872" spans="2:14" x14ac:dyDescent="0.35">
      <c r="B1872" s="5" t="str">
        <f t="shared" si="1983"/>
        <v>SPS1</v>
      </c>
      <c r="C1872" s="5" t="str">
        <f t="shared" si="1984"/>
        <v>CH</v>
      </c>
      <c r="D1872" t="s">
        <v>2102</v>
      </c>
      <c r="E1872" t="str">
        <f t="shared" si="1888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3.3023683413623328E-2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0.10378587035716326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0.13750134252111448</v>
      </c>
      <c r="J1872" s="1" cm="1">
        <f t="array" ref="J1872">SUMPRODUCT(([2]OUT_FinalEnergyCons!$B$4:$B$10000="Var_cap")*1,  (("ITOT-SWHBIOBR"=[2]OUT_FinalEnergyCons!$A$4:$A$10000)*1+("ITOT-SWHBNGABR"=[2]OUT_FinalEnergyCons!$A$4:$A$10000))*1,[2]OUT_FinalEnergyCons!H$4:H$10000)</f>
        <v>0.13023267108007669</v>
      </c>
      <c r="K1872" s="1" cm="1">
        <f t="array" ref="K1872">SUMPRODUCT(([2]OUT_FinalEnergyCons!$B$4:$B$10000="Var_cap")*1,  (("ITOT-SWHBIOBR"=[2]OUT_FinalEnergyCons!$A$4:$A$10000)*1+("ITOT-SWHBNGABR"=[2]OUT_FinalEnergyCons!$A$4:$A$10000))*1,[2]OUT_FinalEnergyCons!I$4:I$10000)</f>
        <v>0.17650238201346929</v>
      </c>
      <c r="L1872" s="1" cm="1">
        <f t="array" ref="L1872">SUMPRODUCT(([2]OUT_FinalEnergyCons!$B$4:$B$10000="Var_cap")*1,  (("ITOT-SWHBIOBR"=[2]OUT_FinalEnergyCons!$A$4:$A$10000)*1+("ITOT-SWHBNGABR"=[2]OUT_FinalEnergyCons!$A$4:$A$10000))*1,[2]OUT_FinalEnergyCons!J$4:J$10000)</f>
        <v>0.22149275603714111</v>
      </c>
      <c r="N1872" s="1"/>
    </row>
    <row r="1873" spans="2:14" x14ac:dyDescent="0.35">
      <c r="B1873" s="5" t="str">
        <f t="shared" si="1983"/>
        <v>SPS1</v>
      </c>
      <c r="C1873" s="5" t="str">
        <f t="shared" si="1984"/>
        <v>CH</v>
      </c>
      <c r="D1873" t="s">
        <v>2103</v>
      </c>
      <c r="E1873" t="str">
        <f t="shared" si="1888"/>
        <v>GWth/yr.</v>
      </c>
      <c r="F1873" s="1">
        <f>F1874</f>
        <v>0.26172155007150499</v>
      </c>
      <c r="G1873" s="1">
        <f t="shared" ref="G1873:L1873" si="1987">G1874</f>
        <v>0.19891397974106109</v>
      </c>
      <c r="H1873" s="1">
        <f t="shared" si="1987"/>
        <v>8.1722366375689415E-3</v>
      </c>
      <c r="I1873" s="1">
        <f t="shared" si="1987"/>
        <v>2.8005988363022372E-4</v>
      </c>
      <c r="J1873" s="1">
        <f t="shared" si="1987"/>
        <v>1.4036466102458622E-4</v>
      </c>
      <c r="K1873" s="1">
        <f t="shared" si="1987"/>
        <v>1.6592310551024003E-5</v>
      </c>
      <c r="L1873" s="1">
        <f t="shared" si="1987"/>
        <v>1.4090353772840282E-7</v>
      </c>
      <c r="N1873" s="1"/>
    </row>
    <row r="1874" spans="2:14" x14ac:dyDescent="0.35">
      <c r="B1874" s="5" t="str">
        <f t="shared" si="1983"/>
        <v>SPS1</v>
      </c>
      <c r="C1874" s="5" t="str">
        <f t="shared" si="1984"/>
        <v>CH</v>
      </c>
      <c r="D1874" t="s">
        <v>2104</v>
      </c>
      <c r="E1874" t="str">
        <f t="shared" si="1888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0.19891397974106109</v>
      </c>
      <c r="H1874" s="1" cm="1">
        <f t="array" ref="H1874">SUMPRODUCT(([1]OUT_FinalEnergyCons!$B$4:$B$10000="Var_cap")*1,  (ISNUMBER(SEARCH("ITOT-SWHCOA*BR",[1]OUT_FinalEnergyCons!$A$4:$A$10000)))*1,[1]OUT_FinalEnergyCons!F$4:F$10000)</f>
        <v>8.1722366375689415E-3</v>
      </c>
      <c r="I1874" s="1" cm="1">
        <f t="array" ref="I1874">SUMPRODUCT(([1]OUT_FinalEnergyCons!$B$4:$B$10000="Var_cap")*1,  (ISNUMBER(SEARCH("ITOT-SWHCOA*BR",[1]OUT_FinalEnergyCons!$A$4:$A$10000)))*1,[1]OUT_FinalEnergyCons!G$4:G$10000)</f>
        <v>2.8005988363022372E-4</v>
      </c>
      <c r="J1874" s="1" cm="1">
        <f t="array" ref="J1874">SUMPRODUCT(([2]OUT_FinalEnergyCons!$B$4:$B$10000="Var_cap")*1,  (ISNUMBER(SEARCH("ITOT-SWHCOA*BR",[2]OUT_FinalEnergyCons!$A$4:$A$10000)))*1,[2]OUT_FinalEnergyCons!H$4:H$10000)</f>
        <v>1.4036466102458622E-4</v>
      </c>
      <c r="K1874" s="1" cm="1">
        <f t="array" ref="K1874">SUMPRODUCT(([2]OUT_FinalEnergyCons!$B$4:$B$10000="Var_cap")*1,  (ISNUMBER(SEARCH("ITOT-SWHCOA*BR",[2]OUT_FinalEnergyCons!$A$4:$A$10000)))*1,[2]OUT_FinalEnergyCons!I$4:I$10000)</f>
        <v>1.6592310551024003E-5</v>
      </c>
      <c r="L1874" s="1" cm="1">
        <f t="array" ref="L1874">SUMPRODUCT(([2]OUT_FinalEnergyCons!$B$4:$B$10000="Var_cap")*1,  (ISNUMBER(SEARCH("ITOT-SWHCOA*BR",[2]OUT_FinalEnergyCons!$A$4:$A$10000)))*1,[2]OUT_FinalEnergyCons!J$4:J$10000)</f>
        <v>1.4090353772840282E-7</v>
      </c>
      <c r="N1874" s="1"/>
    </row>
    <row r="1875" spans="2:14" x14ac:dyDescent="0.35">
      <c r="B1875" s="5" t="str">
        <f t="shared" si="1983"/>
        <v>SPS1</v>
      </c>
      <c r="C1875" s="5" t="str">
        <f t="shared" si="1984"/>
        <v>CH</v>
      </c>
      <c r="D1875" t="s">
        <v>2105</v>
      </c>
      <c r="E1875" t="str">
        <f t="shared" si="1888"/>
        <v>GWth/yr.</v>
      </c>
      <c r="F1875" s="1">
        <f>F1876</f>
        <v>0.28883369534761499</v>
      </c>
      <c r="G1875" s="1">
        <f t="shared" ref="G1875:L1875" si="1988">G1876</f>
        <v>0.35240362414318316</v>
      </c>
      <c r="H1875" s="1">
        <f t="shared" si="1988"/>
        <v>0.36089397121930999</v>
      </c>
      <c r="I1875" s="1">
        <f t="shared" si="1988"/>
        <v>0.39678254150031977</v>
      </c>
      <c r="J1875" s="1">
        <f t="shared" si="1988"/>
        <v>0.43901102716336826</v>
      </c>
      <c r="K1875" s="1">
        <f t="shared" si="1988"/>
        <v>0.49032254608811904</v>
      </c>
      <c r="L1875" s="1">
        <f t="shared" si="1988"/>
        <v>0.56863988702387447</v>
      </c>
      <c r="N1875" s="1"/>
    </row>
    <row r="1876" spans="2:14" x14ac:dyDescent="0.35">
      <c r="B1876" s="5" t="str">
        <f t="shared" si="1983"/>
        <v>SPS1</v>
      </c>
      <c r="C1876" s="5" t="str">
        <f t="shared" si="1984"/>
        <v>CH</v>
      </c>
      <c r="D1876" t="s">
        <v>2106</v>
      </c>
      <c r="E1876" t="str">
        <f t="shared" si="1888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0.35240362414318316</v>
      </c>
      <c r="H1876" s="1" cm="1">
        <f t="array" ref="H1876">SUMPRODUCT(([1]OUT_FinalEnergyCons!$B$4:$B$10000="Var_cap")*1,  (ISNUMBER(SEARCH("ITOT-SWHWOD*BR",[1]OUT_FinalEnergyCons!$A$4:$A$10000)))*1,[1]OUT_FinalEnergyCons!F$4:F$10000)</f>
        <v>0.36089397121930999</v>
      </c>
      <c r="I1876" s="1" cm="1">
        <f t="array" ref="I1876">SUMPRODUCT(([1]OUT_FinalEnergyCons!$B$4:$B$10000="Var_cap")*1,  (ISNUMBER(SEARCH("ITOT-SWHWOD*BR",[1]OUT_FinalEnergyCons!$A$4:$A$10000)))*1,[1]OUT_FinalEnergyCons!G$4:G$10000)</f>
        <v>0.39678254150031977</v>
      </c>
      <c r="J1876" s="1" cm="1">
        <f t="array" ref="J1876">SUMPRODUCT(([2]OUT_FinalEnergyCons!$B$4:$B$10000="Var_cap")*1,  (ISNUMBER(SEARCH("ITOT-SWHWOD*BR",[2]OUT_FinalEnergyCons!$A$4:$A$10000)))*1,[2]OUT_FinalEnergyCons!H$4:H$10000)</f>
        <v>0.43901102716336826</v>
      </c>
      <c r="K1876" s="1" cm="1">
        <f t="array" ref="K1876">SUMPRODUCT(([2]OUT_FinalEnergyCons!$B$4:$B$10000="Var_cap")*1,  (ISNUMBER(SEARCH("ITOT-SWHWOD*BR",[2]OUT_FinalEnergyCons!$A$4:$A$10000)))*1,[2]OUT_FinalEnergyCons!I$4:I$10000)</f>
        <v>0.49032254608811904</v>
      </c>
      <c r="L1876" s="1" cm="1">
        <f t="array" ref="L1876">SUMPRODUCT(([2]OUT_FinalEnergyCons!$B$4:$B$10000="Var_cap")*1,  (ISNUMBER(SEARCH("ITOT-SWHWOD*BR",[2]OUT_FinalEnergyCons!$A$4:$A$10000)))*1,[2]OUT_FinalEnergyCons!J$4:J$10000)</f>
        <v>0.56863988702387447</v>
      </c>
      <c r="N1876" s="1"/>
    </row>
    <row r="1877" spans="2:14" x14ac:dyDescent="0.35">
      <c r="B1877" s="5" t="str">
        <f t="shared" si="1983"/>
        <v>SPS1</v>
      </c>
      <c r="C1877" s="5" t="str">
        <f t="shared" si="1984"/>
        <v>CH</v>
      </c>
      <c r="D1877" t="s">
        <v>2107</v>
      </c>
      <c r="E1877" t="str">
        <f t="shared" si="1888"/>
        <v>GWth/yr.</v>
      </c>
      <c r="F1877" s="1">
        <f>F1878</f>
        <v>2.9860759506449799E-2</v>
      </c>
      <c r="G1877" s="1">
        <f t="shared" ref="G1877:L1877" si="1989">G1878</f>
        <v>4.0362078771685593E-2</v>
      </c>
      <c r="H1877" s="1">
        <f t="shared" si="1989"/>
        <v>4.2730081397943251E-2</v>
      </c>
      <c r="I1877" s="1">
        <f t="shared" si="1989"/>
        <v>4.4468930722632229E-2</v>
      </c>
      <c r="J1877" s="1">
        <f t="shared" si="1989"/>
        <v>4.0769817114820535E-2</v>
      </c>
      <c r="K1877" s="1">
        <f t="shared" si="1989"/>
        <v>4.2864638451267582E-2</v>
      </c>
      <c r="L1877" s="1">
        <f t="shared" si="1989"/>
        <v>4.204743854502381E-2</v>
      </c>
      <c r="N1877" s="1"/>
    </row>
    <row r="1878" spans="2:14" x14ac:dyDescent="0.35">
      <c r="B1878" s="5" t="str">
        <f t="shared" si="1983"/>
        <v>SPS1</v>
      </c>
      <c r="C1878" s="5" t="str">
        <f t="shared" si="1984"/>
        <v>CH</v>
      </c>
      <c r="D1878" t="s">
        <v>2108</v>
      </c>
      <c r="E1878" t="str">
        <f t="shared" si="1888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4.0362078771685593E-2</v>
      </c>
      <c r="H1878" s="1" cm="1">
        <f t="array" ref="H1878">SUMPRODUCT(([1]OUT_FinalEnergyCons!$B$4:$B$10000="Var_cap")*1,  (ISNUMBER(SEARCH("ITOT-SWHPLT*BR",[1]OUT_FinalEnergyCons!$A$4:$A$10000)))*1,[1]OUT_FinalEnergyCons!F$4:F$10000)</f>
        <v>4.2730081397943251E-2</v>
      </c>
      <c r="I1878" s="1" cm="1">
        <f t="array" ref="I1878">SUMPRODUCT(([1]OUT_FinalEnergyCons!$B$4:$B$10000="Var_cap")*1,  (ISNUMBER(SEARCH("ITOT-SWHPLT*BR",[1]OUT_FinalEnergyCons!$A$4:$A$10000)))*1,[1]OUT_FinalEnergyCons!G$4:G$10000)</f>
        <v>4.4468930722632229E-2</v>
      </c>
      <c r="J1878" s="1" cm="1">
        <f t="array" ref="J1878">SUMPRODUCT(([2]OUT_FinalEnergyCons!$B$4:$B$10000="Var_cap")*1,  (ISNUMBER(SEARCH("ITOT-SWHPLT*BR",[2]OUT_FinalEnergyCons!$A$4:$A$10000)))*1,[2]OUT_FinalEnergyCons!H$4:H$10000)</f>
        <v>4.0769817114820535E-2</v>
      </c>
      <c r="K1878" s="1" cm="1">
        <f t="array" ref="K1878">SUMPRODUCT(([2]OUT_FinalEnergyCons!$B$4:$B$10000="Var_cap")*1,  (ISNUMBER(SEARCH("ITOT-SWHPLT*BR",[2]OUT_FinalEnergyCons!$A$4:$A$10000)))*1,[2]OUT_FinalEnergyCons!I$4:I$10000)</f>
        <v>4.2864638451267582E-2</v>
      </c>
      <c r="L1878" s="1" cm="1">
        <f t="array" ref="L1878">SUMPRODUCT(([2]OUT_FinalEnergyCons!$B$4:$B$10000="Var_cap")*1,  (ISNUMBER(SEARCH("ITOT-SWHPLT*BR",[2]OUT_FinalEnergyCons!$A$4:$A$10000)))*1,[2]OUT_FinalEnergyCons!J$4:J$10000)</f>
        <v>4.204743854502381E-2</v>
      </c>
      <c r="N1878" s="1"/>
    </row>
    <row r="1879" spans="2:14" x14ac:dyDescent="0.35">
      <c r="B1879" s="5" t="str">
        <f t="shared" si="1983"/>
        <v>SPS1</v>
      </c>
      <c r="C1879" s="5" t="str">
        <f t="shared" si="1984"/>
        <v>CH</v>
      </c>
      <c r="D1879" t="s">
        <v>2109</v>
      </c>
      <c r="E1879" t="str">
        <f t="shared" si="1888"/>
        <v>GWth/yr.</v>
      </c>
      <c r="F1879" s="1">
        <f>F1880</f>
        <v>0.35954682816669398</v>
      </c>
      <c r="G1879" s="1">
        <f t="shared" ref="G1879:L1879" si="1990">G1880</f>
        <v>0.35972166923393006</v>
      </c>
      <c r="H1879" s="1">
        <f t="shared" si="1990"/>
        <v>0.3627477669035265</v>
      </c>
      <c r="I1879" s="1">
        <f t="shared" si="1990"/>
        <v>0.3624702228908267</v>
      </c>
      <c r="J1879" s="1">
        <f t="shared" si="1990"/>
        <v>0.33443513839301531</v>
      </c>
      <c r="K1879" s="1">
        <f t="shared" si="1990"/>
        <v>0.3863098888913819</v>
      </c>
      <c r="L1879" s="1">
        <f t="shared" si="1990"/>
        <v>0.22708251261415408</v>
      </c>
      <c r="N1879" s="1"/>
    </row>
    <row r="1880" spans="2:14" x14ac:dyDescent="0.35">
      <c r="B1880" s="5" t="str">
        <f t="shared" si="1983"/>
        <v>SPS1</v>
      </c>
      <c r="C1880" s="5" t="str">
        <f t="shared" si="1984"/>
        <v>CH</v>
      </c>
      <c r="D1880" t="s">
        <v>2110</v>
      </c>
      <c r="E1880" t="str">
        <f t="shared" si="1888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0.35972166923393006</v>
      </c>
      <c r="H1880" s="1" cm="1">
        <f t="array" ref="H1880">SUMPRODUCT(([1]OUT_FinalEnergyCons!$B$4:$B$10000="Var_cap")*1,  (ISNUMBER(SEARCH("ITOT-SWHWST*BR",[1]OUT_FinalEnergyCons!$A$4:$A$10000)))*1,[1]OUT_FinalEnergyCons!F$4:F$10000)</f>
        <v>0.3627477669035265</v>
      </c>
      <c r="I1880" s="1" cm="1">
        <f t="array" ref="I1880">SUMPRODUCT(([1]OUT_FinalEnergyCons!$B$4:$B$10000="Var_cap")*1,  (ISNUMBER(SEARCH("ITOT-SWHWST*BR",[1]OUT_FinalEnergyCons!$A$4:$A$10000)))*1,[1]OUT_FinalEnergyCons!G$4:G$10000)</f>
        <v>0.3624702228908267</v>
      </c>
      <c r="J1880" s="1" cm="1">
        <f t="array" ref="J1880">SUMPRODUCT(([2]OUT_FinalEnergyCons!$B$4:$B$10000="Var_cap")*1,  (ISNUMBER(SEARCH("ITOT-SWHWST*BR",[2]OUT_FinalEnergyCons!$A$4:$A$10000)))*1,[2]OUT_FinalEnergyCons!H$4:H$10000)</f>
        <v>0.33443513839301531</v>
      </c>
      <c r="K1880" s="1" cm="1">
        <f t="array" ref="K1880">SUMPRODUCT(([2]OUT_FinalEnergyCons!$B$4:$B$10000="Var_cap")*1,  (ISNUMBER(SEARCH("ITOT-SWHWST*BR",[2]OUT_FinalEnergyCons!$A$4:$A$10000)))*1,[2]OUT_FinalEnergyCons!I$4:I$10000)</f>
        <v>0.3863098888913819</v>
      </c>
      <c r="L1880" s="1" cm="1">
        <f t="array" ref="L1880">SUMPRODUCT(([2]OUT_FinalEnergyCons!$B$4:$B$10000="Var_cap")*1,  (ISNUMBER(SEARCH("ITOT-SWHWST*BR",[2]OUT_FinalEnergyCons!$A$4:$A$10000)))*1,[2]OUT_FinalEnergyCons!J$4:J$10000)</f>
        <v>0.22708251261415408</v>
      </c>
      <c r="N1880" s="1"/>
    </row>
    <row r="1881" spans="2:14" x14ac:dyDescent="0.35">
      <c r="B1881" s="5" t="str">
        <f t="shared" si="1983"/>
        <v>SPS1</v>
      </c>
      <c r="C1881" s="5" t="str">
        <f t="shared" si="1984"/>
        <v>CH</v>
      </c>
      <c r="D1881" t="s">
        <v>2111</v>
      </c>
      <c r="E1881" t="str">
        <f t="shared" si="1888"/>
        <v>GWth/yr.</v>
      </c>
      <c r="F1881" s="1">
        <f>F1882</f>
        <v>9.8214799778629808E-3</v>
      </c>
      <c r="G1881" s="1">
        <f t="shared" ref="G1881:L1881" si="1991">G1882</f>
        <v>0.35295475498380796</v>
      </c>
      <c r="H1881" s="1">
        <f t="shared" si="1991"/>
        <v>0.35295563986406198</v>
      </c>
      <c r="I1881" s="1">
        <f t="shared" si="1991"/>
        <v>0.35295669300295796</v>
      </c>
      <c r="J1881" s="1">
        <f t="shared" si="1991"/>
        <v>3.7064001059489683E-2</v>
      </c>
      <c r="K1881" s="1">
        <f t="shared" si="1991"/>
        <v>3.7062748374679599E-2</v>
      </c>
      <c r="L1881" s="1">
        <f t="shared" si="1991"/>
        <v>3.70694322559302E-2</v>
      </c>
      <c r="N1881" s="1"/>
    </row>
    <row r="1882" spans="2:14" x14ac:dyDescent="0.35">
      <c r="B1882" s="5" t="str">
        <f t="shared" si="1983"/>
        <v>SPS1</v>
      </c>
      <c r="C1882" s="5" t="str">
        <f t="shared" si="1984"/>
        <v>CH</v>
      </c>
      <c r="D1882" t="s">
        <v>2112</v>
      </c>
      <c r="E1882" t="str">
        <f t="shared" si="1888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0.35295475498380796</v>
      </c>
      <c r="H1882" s="1" cm="1">
        <f t="array" ref="H1882">SUMPRODUCT(([1]OUT_FinalEnergyCons!$B$4:$B$10000="Var_cap")*1, (ISNUMBER(SEARCH("ITOT-SWHSOLBR",[1]OUT_FinalEnergyCons!$A$4:$A$10000)))*1,[1]OUT_FinalEnergyCons!F$4:F$10000)</f>
        <v>0.35295563986406198</v>
      </c>
      <c r="I1882" s="1" cm="1">
        <f t="array" ref="I1882">SUMPRODUCT(([1]OUT_FinalEnergyCons!$B$4:$B$10000="Var_cap")*1, (ISNUMBER(SEARCH("ITOT-SWHSOLBR",[1]OUT_FinalEnergyCons!$A$4:$A$10000)))*1,[1]OUT_FinalEnergyCons!G$4:G$10000)</f>
        <v>0.35295669300295796</v>
      </c>
      <c r="J1882" s="1" cm="1">
        <f t="array" ref="J1882">SUMPRODUCT(([2]OUT_FinalEnergyCons!$B$4:$B$10000="Var_cap")*1, (ISNUMBER(SEARCH("ITOT-SWHSOLBR",[2]OUT_FinalEnergyCons!$A$4:$A$10000)))*1,[2]OUT_FinalEnergyCons!H$4:H$10000)</f>
        <v>3.7064001059489683E-2</v>
      </c>
      <c r="K1882" s="1" cm="1">
        <f t="array" ref="K1882">SUMPRODUCT(([2]OUT_FinalEnergyCons!$B$4:$B$10000="Var_cap")*1, (ISNUMBER(SEARCH("ITOT-SWHSOLBR",[2]OUT_FinalEnergyCons!$A$4:$A$10000)))*1,[2]OUT_FinalEnergyCons!I$4:I$10000)</f>
        <v>3.7062748374679599E-2</v>
      </c>
      <c r="L1882" s="1" cm="1">
        <f t="array" ref="L1882">SUMPRODUCT(([2]OUT_FinalEnergyCons!$B$4:$B$10000="Var_cap")*1, (ISNUMBER(SEARCH("ITOT-SWHSOLBR",[2]OUT_FinalEnergyCons!$A$4:$A$10000)))*1,[2]OUT_FinalEnergyCons!J$4:J$10000)</f>
        <v>3.70694322559302E-2</v>
      </c>
      <c r="N1882" s="1"/>
    </row>
    <row r="1883" spans="2:14" x14ac:dyDescent="0.35">
      <c r="B1883" s="5" t="str">
        <f t="shared" si="1983"/>
        <v>SPS1</v>
      </c>
      <c r="C1883" s="5" t="str">
        <f t="shared" si="1984"/>
        <v>CH</v>
      </c>
      <c r="D1883" t="s">
        <v>2113</v>
      </c>
      <c r="E1883" t="str">
        <f t="shared" si="1888"/>
        <v>GWth/yr.</v>
      </c>
      <c r="F1883" s="1">
        <f>F1884</f>
        <v>0</v>
      </c>
      <c r="G1883" s="1">
        <f t="shared" ref="G1883:L1883" si="1992">G1884</f>
        <v>0</v>
      </c>
      <c r="H1883" s="1">
        <f t="shared" si="1992"/>
        <v>0</v>
      </c>
      <c r="I1883" s="1">
        <f t="shared" si="1992"/>
        <v>0</v>
      </c>
      <c r="J1883" s="1">
        <f t="shared" si="1992"/>
        <v>0.64119208525891502</v>
      </c>
      <c r="K1883" s="1">
        <f t="shared" si="1992"/>
        <v>0.81991520616548774</v>
      </c>
      <c r="L1883" s="1">
        <f t="shared" si="1992"/>
        <v>0.75513525728836539</v>
      </c>
      <c r="N1883" s="1"/>
    </row>
    <row r="1884" spans="2:14" x14ac:dyDescent="0.35">
      <c r="B1884" s="5" t="str">
        <f t="shared" si="1983"/>
        <v>SPS1</v>
      </c>
      <c r="C1884" s="5" t="str">
        <f t="shared" si="1984"/>
        <v>CH</v>
      </c>
      <c r="D1884" t="s">
        <v>2114</v>
      </c>
      <c r="E1884" t="str">
        <f t="shared" si="1888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0</v>
      </c>
      <c r="J1884" s="1" cm="1">
        <f t="array" ref="J1884">SUMPRODUCT(([2]OUT_FinalEnergyCons!$B$4:$B$10000="Var_cap")*1, (ISNUMBER(SEARCH("ITOT-SWHH2BR",[2]OUT_FinalEnergyCons!$A$4:$A$10000)))*1,[2]OUT_FinalEnergyCons!H$4:H$10000)</f>
        <v>0.64119208525891502</v>
      </c>
      <c r="K1884" s="1" cm="1">
        <f t="array" ref="K1884">SUMPRODUCT(([2]OUT_FinalEnergyCons!$B$4:$B$10000="Var_cap")*1, (ISNUMBER(SEARCH("ITOT-SWHH2BR",[2]OUT_FinalEnergyCons!$A$4:$A$10000)))*1,[2]OUT_FinalEnergyCons!I$4:I$10000)</f>
        <v>0.81991520616548774</v>
      </c>
      <c r="L1884" s="1" cm="1">
        <f t="array" ref="L1884">SUMPRODUCT(([2]OUT_FinalEnergyCons!$B$4:$B$10000="Var_cap")*1, (ISNUMBER(SEARCH("ITOT-SWHH2BR",[2]OUT_FinalEnergyCons!$A$4:$A$10000)))*1,[2]OUT_FinalEnergyCons!J$4:J$10000)</f>
        <v>0.75513525728836539</v>
      </c>
      <c r="N1884" s="1"/>
    </row>
    <row r="1885" spans="2:14" x14ac:dyDescent="0.3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1888"/>
        <v>GWth/yr.</v>
      </c>
      <c r="F1885" s="17">
        <f>SUM(F1886,F1889,F1891,F1895,F1897,F1899,F1901)</f>
        <v>6.1446799839116268</v>
      </c>
      <c r="G1885" s="17">
        <f t="shared" ref="G1885:K1885" si="1993">SUM(G1886,G1889,G1891,G1895,G1897,G1899,G1901)</f>
        <v>5.9017206401676399</v>
      </c>
      <c r="H1885" s="17">
        <f t="shared" si="1993"/>
        <v>5.6685198679802156</v>
      </c>
      <c r="I1885" s="17">
        <f t="shared" si="1993"/>
        <v>6.1621914730770904</v>
      </c>
      <c r="J1885" s="17">
        <f t="shared" si="1993"/>
        <v>4.464610830476726</v>
      </c>
      <c r="K1885" s="17">
        <f t="shared" si="1993"/>
        <v>4.5679617142248485</v>
      </c>
      <c r="L1885" s="17">
        <f t="shared" ref="L1885" si="1994">SUM(L1886,L1889,L1891,L1895,L1897,L1899,L1901)</f>
        <v>4.1840725463741233</v>
      </c>
      <c r="N1885" s="1"/>
    </row>
    <row r="1886" spans="2:14" x14ac:dyDescent="0.3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1888"/>
        <v>GWth/yr.</v>
      </c>
      <c r="F1886" s="1">
        <f>SUM(F1887:F1888)</f>
        <v>0.61570884020246319</v>
      </c>
      <c r="G1886" s="1">
        <f t="shared" ref="G1886:K1886" si="1995">SUM(G1887:G1888)</f>
        <v>0.51217596557686984</v>
      </c>
      <c r="H1886" s="1">
        <f t="shared" si="1995"/>
        <v>0.5039183831589481</v>
      </c>
      <c r="I1886" s="1">
        <f t="shared" si="1995"/>
        <v>0.67456292919835825</v>
      </c>
      <c r="J1886" s="1">
        <f t="shared" si="1995"/>
        <v>0.9178108395502913</v>
      </c>
      <c r="K1886" s="1">
        <f t="shared" si="1995"/>
        <v>1.2495939837783625</v>
      </c>
      <c r="L1886" s="1">
        <f t="shared" ref="L1886" si="1996">SUM(L1887:L1888)</f>
        <v>1.4517807741471009</v>
      </c>
      <c r="N1886" s="1"/>
    </row>
    <row r="1887" spans="2:14" x14ac:dyDescent="0.3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1888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0.18508487809019883</v>
      </c>
      <c r="G1887" s="1" cm="1">
        <f t="array" ref="G1887">SUMPRODUCT(([1]OUT_FinalEnergyCons!$B$4:$B$10000="Var_cap")*1, (ISNUMBER(SEARCH("SCOM-SHELCBR",[1]OUT_FinalEnergyCons!$A$4:$A$10000)))*1,[1]OUT_FinalEnergyCons!E$4:E$10000)</f>
        <v>8.1554873922687815E-2</v>
      </c>
      <c r="H1887" s="1" cm="1">
        <f t="array" ref="H1887">SUMPRODUCT(([1]OUT_FinalEnergyCons!$B$4:$B$10000="Var_cap")*1, (ISNUMBER(SEARCH("SCOM-SHELCBR",[1]OUT_FinalEnergyCons!$A$4:$A$10000)))*1,[1]OUT_FinalEnergyCons!F$4:F$10000)</f>
        <v>7.32616740861914E-2</v>
      </c>
      <c r="I1887" s="1" cm="1">
        <f t="array" ref="I1887">SUMPRODUCT(([1]OUT_FinalEnergyCons!$B$4:$B$10000="Var_cap")*1, (ISNUMBER(SEARCH("SCOM-SHELCBR",[1]OUT_FinalEnergyCons!$A$4:$A$10000)))*1,[1]OUT_FinalEnergyCons!G$4:G$10000)</f>
        <v>4.1944413715354539E-2</v>
      </c>
      <c r="J1887" s="1" cm="1">
        <f t="array" ref="J1887">SUMPRODUCT(([2]OUT_FinalEnergyCons!$B$4:$B$10000="Var_cap")*1, (ISNUMBER(SEARCH("SCOM-SHELCBR",[2]OUT_FinalEnergyCons!$A$4:$A$10000)))*1,[2]OUT_FinalEnergyCons!H$4:H$10000)</f>
        <v>2.2593968163452396E-2</v>
      </c>
      <c r="K1887" s="1" cm="1">
        <f t="array" ref="K1887">SUMPRODUCT(([2]OUT_FinalEnergyCons!$B$4:$B$10000="Var_cap")*1, (ISNUMBER(SEARCH("SCOM-SHELCBR",[2]OUT_FinalEnergyCons!$A$4:$A$10000)))*1,[2]OUT_FinalEnergyCons!I$4:I$10000)</f>
        <v>2.2747455019180268E-2</v>
      </c>
      <c r="L1887" s="1" cm="1">
        <f t="array" ref="L1887">SUMPRODUCT(([2]OUT_FinalEnergyCons!$B$4:$B$10000="Var_cap")*1, (ISNUMBER(SEARCH("SCOM-SHELCBR",[2]OUT_FinalEnergyCons!$A$4:$A$10000)))*1,[2]OUT_FinalEnergyCons!J$4:J$10000)</f>
        <v>1.6452983891464098E-2</v>
      </c>
      <c r="N1887" s="1"/>
    </row>
    <row r="1888" spans="2:14" x14ac:dyDescent="0.35">
      <c r="B1888" s="5" t="str">
        <f t="shared" ref="B1888:C1888" si="1997">B1887</f>
        <v>SPS1</v>
      </c>
      <c r="C1888" s="5" t="str">
        <f t="shared" si="1997"/>
        <v>CH</v>
      </c>
      <c r="D1888" t="s">
        <v>1903</v>
      </c>
      <c r="E1888" t="str">
        <f t="shared" si="1888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0.43062396211226439</v>
      </c>
      <c r="G1888" s="1" cm="1">
        <f t="array" ref="G1888">SUMPRODUCT(([1]OUT_FinalEnergyCons!$B$4:$B$10000="Var_cap")*1, (ISNUMBER(SEARCH("SCOM-SHELCHP",[1]OUT_FinalEnergyCons!$A$4:$A$10000)))*1,[1]OUT_FinalEnergyCons!E$4:E$10000)</f>
        <v>0.43062109165418205</v>
      </c>
      <c r="H1888" s="1" cm="1">
        <f t="array" ref="H1888">SUMPRODUCT(([1]OUT_FinalEnergyCons!$B$4:$B$10000="Var_cap")*1, (ISNUMBER(SEARCH("SCOM-SHELCHP",[1]OUT_FinalEnergyCons!$A$4:$A$10000)))*1,[1]OUT_FinalEnergyCons!F$4:F$10000)</f>
        <v>0.43065670907275672</v>
      </c>
      <c r="I1888" s="1" cm="1">
        <f t="array" ref="I1888">SUMPRODUCT(([1]OUT_FinalEnergyCons!$B$4:$B$10000="Var_cap")*1, (ISNUMBER(SEARCH("SCOM-SHELCHP",[1]OUT_FinalEnergyCons!$A$4:$A$10000)))*1,[1]OUT_FinalEnergyCons!G$4:G$10000)</f>
        <v>0.63261851548300374</v>
      </c>
      <c r="J1888" s="1" cm="1">
        <f t="array" ref="J1888">SUMPRODUCT(([2]OUT_FinalEnergyCons!$B$4:$B$10000="Var_cap")*1, (ISNUMBER(SEARCH("SCOM-SHELCHP",[2]OUT_FinalEnergyCons!$A$4:$A$10000)))*1,[2]OUT_FinalEnergyCons!H$4:H$10000)</f>
        <v>0.89521687138683892</v>
      </c>
      <c r="K1888" s="1" cm="1">
        <f t="array" ref="K1888">SUMPRODUCT(([2]OUT_FinalEnergyCons!$B$4:$B$10000="Var_cap")*1, (ISNUMBER(SEARCH("SCOM-SHELCHP",[2]OUT_FinalEnergyCons!$A$4:$A$10000)))*1,[2]OUT_FinalEnergyCons!I$4:I$10000)</f>
        <v>1.2268465287591823</v>
      </c>
      <c r="L1888" s="1" cm="1">
        <f t="array" ref="L1888">SUMPRODUCT(([2]OUT_FinalEnergyCons!$B$4:$B$10000="Var_cap")*1, (ISNUMBER(SEARCH("SCOM-SHELCHP",[2]OUT_FinalEnergyCons!$A$4:$A$10000)))*1,[2]OUT_FinalEnergyCons!J$4:J$10000)</f>
        <v>1.4353277902556369</v>
      </c>
      <c r="N1888" s="1"/>
    </row>
    <row r="1889" spans="2:14" x14ac:dyDescent="0.35">
      <c r="B1889" s="5" t="str">
        <f t="shared" ref="B1889:C1889" si="1998">B1888</f>
        <v>SPS1</v>
      </c>
      <c r="C1889" s="5" t="str">
        <f t="shared" si="1998"/>
        <v>CH</v>
      </c>
      <c r="D1889" t="s">
        <v>1904</v>
      </c>
      <c r="E1889" t="str">
        <f t="shared" si="1888"/>
        <v>GWth/yr.</v>
      </c>
      <c r="F1889" s="1">
        <f>F1890</f>
        <v>1.9286181872626562</v>
      </c>
      <c r="G1889" s="1">
        <f t="shared" ref="G1889:L1889" si="1999">G1890</f>
        <v>1.7632298083626252</v>
      </c>
      <c r="H1889" s="1">
        <f t="shared" si="1999"/>
        <v>1.739096190723606</v>
      </c>
      <c r="I1889" s="1">
        <f t="shared" si="1999"/>
        <v>1.7364734098863761</v>
      </c>
      <c r="J1889" s="1">
        <f t="shared" si="1999"/>
        <v>0.77700328556130815</v>
      </c>
      <c r="K1889" s="1">
        <f t="shared" si="1999"/>
        <v>0.34549198321145907</v>
      </c>
      <c r="L1889" s="1">
        <f t="shared" si="1999"/>
        <v>5.8594894157872196E-2</v>
      </c>
      <c r="N1889" s="1"/>
    </row>
    <row r="1890" spans="2:14" x14ac:dyDescent="0.35">
      <c r="B1890" s="5" t="str">
        <f t="shared" ref="B1890:C1890" si="2000">B1889</f>
        <v>SPS1</v>
      </c>
      <c r="C1890" s="5" t="str">
        <f t="shared" si="2000"/>
        <v>CH</v>
      </c>
      <c r="D1890" t="s">
        <v>1905</v>
      </c>
      <c r="E1890" t="str">
        <f t="shared" ref="E1890:E1902" si="2001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1.9286181872626562</v>
      </c>
      <c r="G1890" s="1" cm="1">
        <f t="array" ref="G1890">SUMPRODUCT(([1]OUT_FinalEnergyCons!$B$4:$B$10000="Var_cap")*1,(ISNUMBER(SEARCH("SCOM-SHLFOBR",[1]OUT_FinalEnergyCons!$A$4:$A$10000)))*1,[1]OUT_FinalEnergyCons!E$4:E$10000)</f>
        <v>1.7632298083626252</v>
      </c>
      <c r="H1890" s="1" cm="1">
        <f t="array" ref="H1890">SUMPRODUCT(([1]OUT_FinalEnergyCons!$B$4:$B$10000="Var_cap")*1,(ISNUMBER(SEARCH("SCOM-SHLFOBR",[1]OUT_FinalEnergyCons!$A$4:$A$10000)))*1,[1]OUT_FinalEnergyCons!F$4:F$10000)</f>
        <v>1.739096190723606</v>
      </c>
      <c r="I1890" s="1" cm="1">
        <f t="array" ref="I1890">SUMPRODUCT(([1]OUT_FinalEnergyCons!$B$4:$B$10000="Var_cap")*1,(ISNUMBER(SEARCH("SCOM-SHLFOBR",[1]OUT_FinalEnergyCons!$A$4:$A$10000)))*1,[1]OUT_FinalEnergyCons!G$4:G$10000)</f>
        <v>1.7364734098863761</v>
      </c>
      <c r="J1890" s="1" cm="1">
        <f t="array" ref="J1890">SUMPRODUCT(([2]OUT_FinalEnergyCons!$B$4:$B$10000="Var_cap")*1,(ISNUMBER(SEARCH("SCOM-SHLFOBR",[2]OUT_FinalEnergyCons!$A$4:$A$10000)))*1,[2]OUT_FinalEnergyCons!H$4:H$10000)</f>
        <v>0.77700328556130815</v>
      </c>
      <c r="K1890" s="1" cm="1">
        <f t="array" ref="K1890">SUMPRODUCT(([2]OUT_FinalEnergyCons!$B$4:$B$10000="Var_cap")*1,(ISNUMBER(SEARCH("SCOM-SHLFOBR",[2]OUT_FinalEnergyCons!$A$4:$A$10000)))*1,[2]OUT_FinalEnergyCons!I$4:I$10000)</f>
        <v>0.34549198321145907</v>
      </c>
      <c r="L1890" s="1" cm="1">
        <f t="array" ref="L1890">SUMPRODUCT(([2]OUT_FinalEnergyCons!$B$4:$B$10000="Var_cap")*1,(ISNUMBER(SEARCH("SCOM-SHLFOBR",[2]OUT_FinalEnergyCons!$A$4:$A$10000)))*1,[2]OUT_FinalEnergyCons!J$4:J$10000)</f>
        <v>5.8594894157872196E-2</v>
      </c>
      <c r="N1890" s="1"/>
    </row>
    <row r="1891" spans="2:14" x14ac:dyDescent="0.35">
      <c r="B1891" s="5" t="str">
        <f t="shared" ref="B1891:C1891" si="2002">B1890</f>
        <v>SPS1</v>
      </c>
      <c r="C1891" s="5" t="str">
        <f t="shared" si="2002"/>
        <v>CH</v>
      </c>
      <c r="D1891" t="s">
        <v>1906</v>
      </c>
      <c r="E1891" t="str">
        <f t="shared" si="2001"/>
        <v>GWth/yr.</v>
      </c>
      <c r="F1891" s="1">
        <f>SUM(F1892:F1894)</f>
        <v>2.8800494018162022</v>
      </c>
      <c r="G1891" s="1">
        <f t="shared" ref="G1891:K1891" si="2003">SUM(G1892:G1894)</f>
        <v>2.870227461918831</v>
      </c>
      <c r="H1891" s="1">
        <f t="shared" si="2003"/>
        <v>2.7450216028520646</v>
      </c>
      <c r="I1891" s="1">
        <f t="shared" si="2003"/>
        <v>3.070580044560431</v>
      </c>
      <c r="J1891" s="1">
        <f t="shared" si="2003"/>
        <v>1.8274978553341119</v>
      </c>
      <c r="K1891" s="1">
        <f t="shared" si="2003"/>
        <v>1.3757980145890938</v>
      </c>
      <c r="L1891" s="1">
        <f t="shared" ref="L1891" si="2004">SUM(L1892:L1894)</f>
        <v>1.1105173495208656</v>
      </c>
      <c r="N1891" s="1"/>
    </row>
    <row r="1892" spans="2:14" x14ac:dyDescent="0.35">
      <c r="B1892" s="5" t="str">
        <f t="shared" ref="B1892:C1892" si="2005">B1891</f>
        <v>SPS1</v>
      </c>
      <c r="C1892" s="5" t="str">
        <f t="shared" si="2005"/>
        <v>CH</v>
      </c>
      <c r="D1892" t="s">
        <v>1907</v>
      </c>
      <c r="E1892" t="str">
        <f t="shared" si="2001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2.7746843991209991</v>
      </c>
      <c r="G1892" s="1" cm="1">
        <f t="array" ref="G1892">SUMPRODUCT(([1]OUT_FinalEnergyCons!$B$4:$B$10000="Var_cap")*1, (ISNUMBER(SEARCH("SCOM-SHNGABR",[1]OUT_FinalEnergyCons!$A$4:$A$10000)))*1,[1]OUT_FinalEnergyCons!E$4:E$10000)</f>
        <v>2.7634927996358405</v>
      </c>
      <c r="H1892" s="1" cm="1">
        <f t="array" ref="H1892">SUMPRODUCT(([1]OUT_FinalEnergyCons!$B$4:$B$10000="Var_cap")*1, (ISNUMBER(SEARCH("SCOM-SHNGABR",[1]OUT_FinalEnergyCons!$A$4:$A$10000)))*1,[1]OUT_FinalEnergyCons!F$4:F$10000)</f>
        <v>2.4548937160890181</v>
      </c>
      <c r="I1892" s="1" cm="1">
        <f t="array" ref="I1892">SUMPRODUCT(([1]OUT_FinalEnergyCons!$B$4:$B$10000="Var_cap")*1, (ISNUMBER(SEARCH("SCOM-SHNGABR",[1]OUT_FinalEnergyCons!$A$4:$A$10000)))*1,[1]OUT_FinalEnergyCons!G$4:G$10000)</f>
        <v>2.4530584458586695</v>
      </c>
      <c r="J1892" s="1" cm="1">
        <f t="array" ref="J1892">SUMPRODUCT(([2]OUT_FinalEnergyCons!$B$4:$B$10000="Var_cap")*1, (ISNUMBER(SEARCH("SCOM-SHNGABR",[2]OUT_FinalEnergyCons!$A$4:$A$10000)))*1,[2]OUT_FinalEnergyCons!H$4:H$10000)</f>
        <v>1.1327663000750707</v>
      </c>
      <c r="K1892" s="1" cm="1">
        <f t="array" ref="K1892">SUMPRODUCT(([2]OUT_FinalEnergyCons!$B$4:$B$10000="Var_cap")*1, (ISNUMBER(SEARCH("SCOM-SHNGABR",[2]OUT_FinalEnergyCons!$A$4:$A$10000)))*1,[2]OUT_FinalEnergyCons!I$4:I$10000)</f>
        <v>0.5165236148326362</v>
      </c>
      <c r="L1892" s="1" cm="1">
        <f t="array" ref="L1892">SUMPRODUCT(([2]OUT_FinalEnergyCons!$B$4:$B$10000="Var_cap")*1, (ISNUMBER(SEARCH("SCOM-SHNGABR",[2]OUT_FinalEnergyCons!$A$4:$A$10000)))*1,[2]OUT_FinalEnergyCons!J$4:J$10000)</f>
        <v>0.22689638313227578</v>
      </c>
      <c r="N1892" s="1"/>
    </row>
    <row r="1893" spans="2:14" x14ac:dyDescent="0.35">
      <c r="B1893" s="5" t="str">
        <f t="shared" ref="B1893:C1893" si="2006">B1892</f>
        <v>SPS1</v>
      </c>
      <c r="C1893" s="5" t="str">
        <f t="shared" si="2006"/>
        <v>CH</v>
      </c>
      <c r="D1893" t="s">
        <v>1908</v>
      </c>
      <c r="E1893" t="str">
        <f t="shared" si="2001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7.2945082589676304E-6</v>
      </c>
      <c r="G1893" s="1" cm="1">
        <f t="array" ref="G1893">SUMPRODUCT(([1]OUT_FinalEnergyCons!$B$4:$B$10000="Var_cap")*1, (ISNUMBER(SEARCH("SCOM-SHngahp",[1]OUT_FinalEnergyCons!$A$4:$A$10000)))*1,[1]OUT_FinalEnergyCons!E$4:E$10000)</f>
        <v>1.1029641355939169E-3</v>
      </c>
      <c r="H1893" s="1" cm="1">
        <f t="array" ref="H1893">SUMPRODUCT(([1]OUT_FinalEnergyCons!$B$4:$B$10000="Var_cap")*1, (ISNUMBER(SEARCH("SCOM-SHngahp",[1]OUT_FinalEnergyCons!$A$4:$A$10000)))*1,[1]OUT_FinalEnergyCons!F$4:F$10000)</f>
        <v>0.18519308585200112</v>
      </c>
      <c r="I1893" s="1" cm="1">
        <f t="array" ref="I1893">SUMPRODUCT(([1]OUT_FinalEnergyCons!$B$4:$B$10000="Var_cap")*1, (ISNUMBER(SEARCH("SCOM-SHngahp",[1]OUT_FinalEnergyCons!$A$4:$A$10000)))*1,[1]OUT_FinalEnergyCons!G$4:G$10000)</f>
        <v>0.51279718208965319</v>
      </c>
      <c r="J1893" s="1" cm="1">
        <f t="array" ref="J1893">SUMPRODUCT(([2]OUT_FinalEnergyCons!$B$4:$B$10000="Var_cap")*1, (ISNUMBER(SEARCH("SCOM-SHngahp",[2]OUT_FinalEnergyCons!$A$4:$A$10000)))*1,[2]OUT_FinalEnergyCons!H$4:H$10000)</f>
        <v>0.66739770757772188</v>
      </c>
      <c r="K1893" s="1" cm="1">
        <f t="array" ref="K1893">SUMPRODUCT(([2]OUT_FinalEnergyCons!$B$4:$B$10000="Var_cap")*1, (ISNUMBER(SEARCH("SCOM-SHngahp",[2]OUT_FinalEnergyCons!$A$4:$A$10000)))*1,[2]OUT_FinalEnergyCons!I$4:I$10000)</f>
        <v>0.85921810574566304</v>
      </c>
      <c r="L1893" s="1" cm="1">
        <f t="array" ref="L1893">SUMPRODUCT(([2]OUT_FinalEnergyCons!$B$4:$B$10000="Var_cap")*1, (ISNUMBER(SEARCH("SCOM-SHngahp",[2]OUT_FinalEnergyCons!$A$4:$A$10000)))*1,[2]OUT_FinalEnergyCons!J$4:J$10000)</f>
        <v>0.88357076130385537</v>
      </c>
      <c r="N1893" s="1"/>
    </row>
    <row r="1894" spans="2:14" x14ac:dyDescent="0.35">
      <c r="B1894" s="5" t="str">
        <f t="shared" ref="B1894:C1894" si="2007">B1893</f>
        <v>SPS1</v>
      </c>
      <c r="C1894" s="5" t="str">
        <f t="shared" si="2007"/>
        <v>CH</v>
      </c>
      <c r="D1894" t="s">
        <v>1909</v>
      </c>
      <c r="E1894" t="str">
        <f t="shared" si="2001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0.10535770818694436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0.10563169814739681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0.10493480091104547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0.10472441661210848</v>
      </c>
      <c r="J1894" s="1" cm="1">
        <f t="array" ref="J1894">SUMPRODUCT(([2]OUT_FinalEnergyCons!$B$4:$B$10000="Var_cap")*1, (("SCOM-SHBIOBR"=[2]OUT_FinalEnergyCons!$A$4:$A$10000)*1+("SCOM-SHBNGABR"=[2]OUT_FinalEnergyCons!$A$4:$A$10000)*1),[2]OUT_FinalEnergyCons!H$4:H$10000)</f>
        <v>2.7333847681319089E-2</v>
      </c>
      <c r="K1894" s="1" cm="1">
        <f t="array" ref="K1894">SUMPRODUCT(([2]OUT_FinalEnergyCons!$B$4:$B$10000="Var_cap")*1, (("SCOM-SHBIOBR"=[2]OUT_FinalEnergyCons!$A$4:$A$10000)*1+("SCOM-SHBNGABR"=[2]OUT_FinalEnergyCons!$A$4:$A$10000)*1),[2]OUT_FinalEnergyCons!I$4:I$10000)</f>
        <v>5.6294010794449631E-5</v>
      </c>
      <c r="L1894" s="1" cm="1">
        <f t="array" ref="L1894">SUMPRODUCT(([2]OUT_FinalEnergyCons!$B$4:$B$10000="Var_cap")*1, (("SCOM-SHBIOBR"=[2]OUT_FinalEnergyCons!$A$4:$A$10000)*1+("SCOM-SHBNGABR"=[2]OUT_FinalEnergyCons!$A$4:$A$10000)*1),[2]OUT_FinalEnergyCons!J$4:J$10000)</f>
        <v>5.0205084734402889E-5</v>
      </c>
      <c r="N1894" s="1"/>
    </row>
    <row r="1895" spans="2:14" x14ac:dyDescent="0.35">
      <c r="B1895" s="5" t="str">
        <f t="shared" ref="B1895:C1895" si="2008">B1894</f>
        <v>SPS1</v>
      </c>
      <c r="C1895" s="5" t="str">
        <f t="shared" si="2008"/>
        <v>CH</v>
      </c>
      <c r="D1895" t="s">
        <v>1910</v>
      </c>
      <c r="E1895" t="str">
        <f t="shared" si="2001"/>
        <v>GWth/yr.</v>
      </c>
      <c r="F1895" s="1">
        <f>F1896</f>
        <v>0.47855153906786441</v>
      </c>
      <c r="G1895" s="1">
        <f t="shared" ref="G1895:L1895" si="2009">G1896</f>
        <v>0.47864425585781628</v>
      </c>
      <c r="H1895" s="1">
        <f t="shared" si="2009"/>
        <v>0.52643129802286148</v>
      </c>
      <c r="I1895" s="1">
        <f t="shared" si="2009"/>
        <v>0.52634695596744452</v>
      </c>
      <c r="J1895" s="1">
        <f t="shared" si="2009"/>
        <v>0.44293539149050853</v>
      </c>
      <c r="K1895" s="1">
        <f t="shared" si="2009"/>
        <v>0.37831820765679053</v>
      </c>
      <c r="L1895" s="1">
        <f t="shared" si="2009"/>
        <v>0.26747246303299649</v>
      </c>
      <c r="N1895" s="1"/>
    </row>
    <row r="1896" spans="2:14" x14ac:dyDescent="0.35">
      <c r="B1896" s="5" t="str">
        <f t="shared" ref="B1896:C1896" si="2010">B1895</f>
        <v>SPS1</v>
      </c>
      <c r="C1896" s="5" t="str">
        <f t="shared" si="2010"/>
        <v>CH</v>
      </c>
      <c r="D1896" t="s">
        <v>1911</v>
      </c>
      <c r="E1896" t="str">
        <f t="shared" si="2001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0.47855153906786441</v>
      </c>
      <c r="G1896" s="1" cm="1">
        <f t="array" ref="G1896">SUMPRODUCT(([1]OUT_FinalEnergyCons!$B$4:$B$10000="Var_cap")*1, (ISNUMBER(SEARCH("SCOM-SHWODBR",[1]OUT_FinalEnergyCons!$A$4:$A$10000)))*1,[1]OUT_FinalEnergyCons!E$4:E$10000)</f>
        <v>0.47864425585781628</v>
      </c>
      <c r="H1896" s="1" cm="1">
        <f t="array" ref="H1896">SUMPRODUCT(([1]OUT_FinalEnergyCons!$B$4:$B$10000="Var_cap")*1, (ISNUMBER(SEARCH("SCOM-SHWODBR",[1]OUT_FinalEnergyCons!$A$4:$A$10000)))*1,[1]OUT_FinalEnergyCons!F$4:F$10000)</f>
        <v>0.52643129802286148</v>
      </c>
      <c r="I1896" s="1" cm="1">
        <f t="array" ref="I1896">SUMPRODUCT(([1]OUT_FinalEnergyCons!$B$4:$B$10000="Var_cap")*1, (ISNUMBER(SEARCH("SCOM-SHWODBR",[1]OUT_FinalEnergyCons!$A$4:$A$10000)))*1,[1]OUT_FinalEnergyCons!G$4:G$10000)</f>
        <v>0.52634695596744452</v>
      </c>
      <c r="J1896" s="1" cm="1">
        <f t="array" ref="J1896">SUMPRODUCT(([2]OUT_FinalEnergyCons!$B$4:$B$10000="Var_cap")*1, (ISNUMBER(SEARCH("SCOM-SHWODBR",[2]OUT_FinalEnergyCons!$A$4:$A$10000)))*1,[2]OUT_FinalEnergyCons!H$4:H$10000)</f>
        <v>0.44293539149050853</v>
      </c>
      <c r="K1896" s="1" cm="1">
        <f t="array" ref="K1896">SUMPRODUCT(([2]OUT_FinalEnergyCons!$B$4:$B$10000="Var_cap")*1, (ISNUMBER(SEARCH("SCOM-SHWODBR",[2]OUT_FinalEnergyCons!$A$4:$A$10000)))*1,[2]OUT_FinalEnergyCons!I$4:I$10000)</f>
        <v>0.37831820765679053</v>
      </c>
      <c r="L1896" s="1" cm="1">
        <f t="array" ref="L1896">SUMPRODUCT(([2]OUT_FinalEnergyCons!$B$4:$B$10000="Var_cap")*1, (ISNUMBER(SEARCH("SCOM-SHWODBR",[2]OUT_FinalEnergyCons!$A$4:$A$10000)))*1,[2]OUT_FinalEnergyCons!J$4:J$10000)</f>
        <v>0.26747246303299649</v>
      </c>
      <c r="N1896" s="1"/>
    </row>
    <row r="1897" spans="2:14" x14ac:dyDescent="0.35">
      <c r="B1897" s="5" t="str">
        <f t="shared" ref="B1897:C1897" si="2011">B1896</f>
        <v>SPS1</v>
      </c>
      <c r="C1897" s="5" t="str">
        <f t="shared" si="2011"/>
        <v>CH</v>
      </c>
      <c r="D1897" t="s">
        <v>1912</v>
      </c>
      <c r="E1897" t="str">
        <f t="shared" si="2001"/>
        <v>GWth/yr.</v>
      </c>
      <c r="F1897" s="1">
        <f>F1898</f>
        <v>0.15053506826628146</v>
      </c>
      <c r="G1897" s="1">
        <f t="shared" ref="G1897:L1897" si="2012">G1898</f>
        <v>0.17682883389726675</v>
      </c>
      <c r="H1897" s="1">
        <f t="shared" si="2012"/>
        <v>5.3415176111420312E-2</v>
      </c>
      <c r="I1897" s="1">
        <f t="shared" si="2012"/>
        <v>5.3496630464142103E-2</v>
      </c>
      <c r="J1897" s="1">
        <f t="shared" si="2012"/>
        <v>4.5117125481251005E-2</v>
      </c>
      <c r="K1897" s="1">
        <f t="shared" si="2012"/>
        <v>5.8761517200739598E-2</v>
      </c>
      <c r="L1897" s="1">
        <f t="shared" si="2012"/>
        <v>6.1496733431544368E-2</v>
      </c>
      <c r="N1897" s="1"/>
    </row>
    <row r="1898" spans="2:14" x14ac:dyDescent="0.35">
      <c r="B1898" s="5" t="str">
        <f t="shared" ref="B1898:C1898" si="2013">B1897</f>
        <v>SPS1</v>
      </c>
      <c r="C1898" s="5" t="str">
        <f t="shared" si="2013"/>
        <v>CH</v>
      </c>
      <c r="D1898" t="s">
        <v>1913</v>
      </c>
      <c r="E1898" t="str">
        <f t="shared" si="2001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0.15053506826628146</v>
      </c>
      <c r="G1898" s="1" cm="1">
        <f t="array" ref="G1898">SUMPRODUCT(([1]OUT_FinalEnergyCons!$B$4:$B$10000="Var_cap")*1,(ISNUMBER(SEARCH("SCOM-SHPLTBR",[1]OUT_FinalEnergyCons!$A$4:$A$10000)))*1,[1]OUT_FinalEnergyCons!E$4:E$10000)</f>
        <v>0.17682883389726675</v>
      </c>
      <c r="H1898" s="1" cm="1">
        <f t="array" ref="H1898">SUMPRODUCT(([1]OUT_FinalEnergyCons!$B$4:$B$10000="Var_cap")*1,(ISNUMBER(SEARCH("SCOM-SHPLTBR",[1]OUT_FinalEnergyCons!$A$4:$A$10000)))*1,[1]OUT_FinalEnergyCons!F$4:F$10000)</f>
        <v>5.3415176111420312E-2</v>
      </c>
      <c r="I1898" s="1" cm="1">
        <f t="array" ref="I1898">SUMPRODUCT(([1]OUT_FinalEnergyCons!$B$4:$B$10000="Var_cap")*1,(ISNUMBER(SEARCH("SCOM-SHPLTBR",[1]OUT_FinalEnergyCons!$A$4:$A$10000)))*1,[1]OUT_FinalEnergyCons!G$4:G$10000)</f>
        <v>5.3496630464142103E-2</v>
      </c>
      <c r="J1898" s="1" cm="1">
        <f t="array" ref="J1898">SUMPRODUCT(([2]OUT_FinalEnergyCons!$B$4:$B$10000="Var_cap")*1,(ISNUMBER(SEARCH("SCOM-SHPLTBR",[2]OUT_FinalEnergyCons!$A$4:$A$10000)))*1,[2]OUT_FinalEnergyCons!H$4:H$10000)</f>
        <v>4.5117125481251005E-2</v>
      </c>
      <c r="K1898" s="1" cm="1">
        <f t="array" ref="K1898">SUMPRODUCT(([2]OUT_FinalEnergyCons!$B$4:$B$10000="Var_cap")*1,(ISNUMBER(SEARCH("SCOM-SHPLTBR",[2]OUT_FinalEnergyCons!$A$4:$A$10000)))*1,[2]OUT_FinalEnergyCons!I$4:I$10000)</f>
        <v>5.8761517200739598E-2</v>
      </c>
      <c r="L1898" s="1" cm="1">
        <f t="array" ref="L1898">SUMPRODUCT(([2]OUT_FinalEnergyCons!$B$4:$B$10000="Var_cap")*1,(ISNUMBER(SEARCH("SCOM-SHPLTBR",[2]OUT_FinalEnergyCons!$A$4:$A$10000)))*1,[2]OUT_FinalEnergyCons!J$4:J$10000)</f>
        <v>6.1496733431544368E-2</v>
      </c>
      <c r="N1898" s="1"/>
    </row>
    <row r="1899" spans="2:14" x14ac:dyDescent="0.35">
      <c r="B1899" s="5" t="str">
        <f t="shared" ref="B1899:C1899" si="2014">B1898</f>
        <v>SPS1</v>
      </c>
      <c r="C1899" s="5" t="str">
        <f t="shared" si="2014"/>
        <v>CH</v>
      </c>
      <c r="D1899" t="s">
        <v>1914</v>
      </c>
      <c r="E1899" t="str">
        <f t="shared" si="2001"/>
        <v>GWth/yr.</v>
      </c>
      <c r="F1899" s="1">
        <f>F1900</f>
        <v>9.1216947296159298E-2</v>
      </c>
      <c r="G1899" s="1">
        <f t="shared" ref="G1899:L1899" si="2015">G1900</f>
        <v>0.10061431455423141</v>
      </c>
      <c r="H1899" s="1">
        <f t="shared" si="2015"/>
        <v>0.10063721711131521</v>
      </c>
      <c r="I1899" s="1">
        <f t="shared" si="2015"/>
        <v>0.10071645995903808</v>
      </c>
      <c r="J1899" s="1">
        <f t="shared" si="2015"/>
        <v>9.5967259434961552E-2</v>
      </c>
      <c r="K1899" s="1">
        <f t="shared" si="2015"/>
        <v>0.11005751319698548</v>
      </c>
      <c r="L1899" s="1">
        <f t="shared" si="2015"/>
        <v>0.12246422754537661</v>
      </c>
      <c r="N1899" s="1"/>
    </row>
    <row r="1900" spans="2:14" x14ac:dyDescent="0.35">
      <c r="B1900" s="5" t="str">
        <f t="shared" ref="B1900:C1900" si="2016">B1899</f>
        <v>SPS1</v>
      </c>
      <c r="C1900" s="5" t="str">
        <f t="shared" si="2016"/>
        <v>CH</v>
      </c>
      <c r="D1900" t="s">
        <v>1915</v>
      </c>
      <c r="E1900" t="str">
        <f t="shared" si="2001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9.1216947296159298E-2</v>
      </c>
      <c r="G1900" s="1" cm="1">
        <f t="array" ref="G1900">SUMPRODUCT(([1]OUT_FinalEnergyCons!$B$4:$B$10000="Var_cap")*1, (ISNUMBER(SEARCH("SCOM-SHSOLBR",[1]OUT_FinalEnergyCons!$A$4:$A$10000)))*1,[1]OUT_FinalEnergyCons!E$4:E$10000)</f>
        <v>0.10061431455423141</v>
      </c>
      <c r="H1900" s="1" cm="1">
        <f t="array" ref="H1900">SUMPRODUCT(([1]OUT_FinalEnergyCons!$B$4:$B$10000="Var_cap")*1, (ISNUMBER(SEARCH("SCOM-SHSOLBR",[1]OUT_FinalEnergyCons!$A$4:$A$10000)))*1,[1]OUT_FinalEnergyCons!F$4:F$10000)</f>
        <v>0.10063721711131521</v>
      </c>
      <c r="I1900" s="1" cm="1">
        <f t="array" ref="I1900">SUMPRODUCT(([1]OUT_FinalEnergyCons!$B$4:$B$10000="Var_cap")*1, (ISNUMBER(SEARCH("SCOM-SHSOLBR",[1]OUT_FinalEnergyCons!$A$4:$A$10000)))*1,[1]OUT_FinalEnergyCons!G$4:G$10000)</f>
        <v>0.10071645995903808</v>
      </c>
      <c r="J1900" s="1" cm="1">
        <f t="array" ref="J1900">SUMPRODUCT(([2]OUT_FinalEnergyCons!$B$4:$B$10000="Var_cap")*1, (ISNUMBER(SEARCH("SCOM-SHSOLBR",[2]OUT_FinalEnergyCons!$A$4:$A$10000)))*1,[2]OUT_FinalEnergyCons!H$4:H$10000)</f>
        <v>9.5967259434961552E-2</v>
      </c>
      <c r="K1900" s="1" cm="1">
        <f t="array" ref="K1900">SUMPRODUCT(([2]OUT_FinalEnergyCons!$B$4:$B$10000="Var_cap")*1, (ISNUMBER(SEARCH("SCOM-SHSOLBR",[2]OUT_FinalEnergyCons!$A$4:$A$10000)))*1,[2]OUT_FinalEnergyCons!I$4:I$10000)</f>
        <v>0.11005751319698548</v>
      </c>
      <c r="L1900" s="1" cm="1">
        <f t="array" ref="L1900">SUMPRODUCT(([2]OUT_FinalEnergyCons!$B$4:$B$10000="Var_cap")*1, (ISNUMBER(SEARCH("SCOM-SHSOLBR",[2]OUT_FinalEnergyCons!$A$4:$A$10000)))*1,[2]OUT_FinalEnergyCons!J$4:J$10000)</f>
        <v>0.12246422754537661</v>
      </c>
      <c r="N1900" s="1"/>
    </row>
    <row r="1901" spans="2:14" x14ac:dyDescent="0.35">
      <c r="B1901" s="5" t="str">
        <f t="shared" ref="B1901:C1901" si="2017">B1900</f>
        <v>SPS1</v>
      </c>
      <c r="C1901" s="5" t="str">
        <f t="shared" si="2017"/>
        <v>CH</v>
      </c>
      <c r="D1901" t="s">
        <v>1916</v>
      </c>
      <c r="E1901" t="str">
        <f t="shared" si="2001"/>
        <v>GWth/yr.</v>
      </c>
      <c r="F1901" s="1">
        <f>F1902</f>
        <v>0</v>
      </c>
      <c r="G1901" s="1">
        <f t="shared" ref="G1901:L1901" si="2018">G1902</f>
        <v>0</v>
      </c>
      <c r="H1901" s="1">
        <f t="shared" si="2018"/>
        <v>0</v>
      </c>
      <c r="I1901" s="1">
        <f t="shared" si="2018"/>
        <v>1.50430412996553E-5</v>
      </c>
      <c r="J1901" s="1">
        <f t="shared" si="2018"/>
        <v>0.35827907362429384</v>
      </c>
      <c r="K1901" s="1">
        <f t="shared" si="2018"/>
        <v>1.0499404945914166</v>
      </c>
      <c r="L1901" s="1">
        <f t="shared" si="2018"/>
        <v>1.1117461045383674</v>
      </c>
      <c r="N1901" s="1"/>
    </row>
    <row r="1902" spans="2:14" x14ac:dyDescent="0.35">
      <c r="B1902" s="5" t="str">
        <f t="shared" ref="B1902:C1902" si="2019">B1901</f>
        <v>SPS1</v>
      </c>
      <c r="C1902" s="5" t="str">
        <f t="shared" si="2019"/>
        <v>CH</v>
      </c>
      <c r="D1902" t="s">
        <v>1917</v>
      </c>
      <c r="E1902" t="str">
        <f t="shared" si="2001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1.50430412996553E-5</v>
      </c>
      <c r="J1902" s="1" cm="1">
        <f t="array" ref="J1902">SUMPRODUCT(([2]OUT_FinalEnergyCons!$B$4:$B$10000="Var_cap")*1, (ISNUMBER(SEARCH("SCOM-SHH2BR",[2]OUT_FinalEnergyCons!$A$4:$A$10000)))*1,[2]OUT_FinalEnergyCons!H$4:H$10000)</f>
        <v>0.35827907362429384</v>
      </c>
      <c r="K1902" s="1" cm="1">
        <f t="array" ref="K1902">SUMPRODUCT(([2]OUT_FinalEnergyCons!$B$4:$B$10000="Var_cap")*1, (ISNUMBER(SEARCH("SCOM-SHH2BR",[2]OUT_FinalEnergyCons!$A$4:$A$10000)))*1,[2]OUT_FinalEnergyCons!I$4:I$10000)</f>
        <v>1.0499404945914166</v>
      </c>
      <c r="L1902" s="1" cm="1">
        <f t="array" ref="L1902">SUMPRODUCT(([2]OUT_FinalEnergyCons!$B$4:$B$10000="Var_cap")*1, (ISNUMBER(SEARCH("SCOM-SHH2BR",[2]OUT_FinalEnergyCons!$A$4:$A$10000)))*1,[2]OUT_FinalEnergyCons!J$4:J$10000)</f>
        <v>1.1117461045383674</v>
      </c>
      <c r="N1902" s="1"/>
    </row>
    <row r="1903" spans="2:14" x14ac:dyDescent="0.3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4.6792384290546805</v>
      </c>
      <c r="G1903" s="3">
        <f t="shared" ref="G1903:K1903" si="2020">SUM(G1904:G1953)</f>
        <v>4.8043450610310634</v>
      </c>
      <c r="H1903" s="3">
        <f t="shared" si="2020"/>
        <v>4.9093979796557674</v>
      </c>
      <c r="I1903" s="3">
        <f t="shared" si="2020"/>
        <v>5.2170617057558886</v>
      </c>
      <c r="J1903" s="3">
        <f t="shared" si="2020"/>
        <v>5.3794502264971085</v>
      </c>
      <c r="K1903" s="3">
        <f t="shared" si="2020"/>
        <v>5.5472305387269421</v>
      </c>
      <c r="L1903" s="3">
        <f t="shared" ref="L1903" si="2021">SUM(L1904:L1953)</f>
        <v>5.7556743657290799</v>
      </c>
      <c r="N1903" s="1"/>
    </row>
    <row r="1904" spans="2:14" x14ac:dyDescent="0.35">
      <c r="B1904" s="5" t="str">
        <f t="shared" ref="B1904:B1953" si="2022">B1903</f>
        <v>SPS1</v>
      </c>
      <c r="C1904" s="5" t="str">
        <f t="shared" ref="C1904:C1953" si="2023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4.2040000000000001E-2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3.6434666666666699E-2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2.801066841291143E-2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1.4013021769846845E-2</v>
      </c>
      <c r="J1904" s="1" cm="1">
        <f t="array" ref="J1904">SUMPRODUCT(("Var_Cap"=[2]OUT_TransportEnergyCons!$B$4:$B$10000)*1,("-"=[2]OUT_TransportEnergyCons!$C$4:$C$10000)*1,ISNUMBER(SEARCH("T_C*bat*ext",[2]OUT_TransportEnergyCons!$A$4:$A$10000))*1,[2]OUT_TransportEnergyCons!H$4:H$10000)</f>
        <v>0</v>
      </c>
      <c r="K1904" s="1" cm="1">
        <f t="array" ref="K1904">SUMPRODUCT(("Var_Cap"=[2]OUT_TransportEnergyCons!$B$4:$B$10000)*1,("-"=[2]OUT_TransportEnergyCons!$C$4:$C$10000)*1,ISNUMBER(SEARCH("T_C*bat*ext",[2]OUT_TransportEnergyCons!$A$4:$A$10000))*1,[2]OUT_TransportEnergyCons!I$4:I$10000)</f>
        <v>0</v>
      </c>
      <c r="L1904" s="1" cm="1">
        <f t="array" ref="L1904">SUMPRODUCT(("Var_Cap"=[2]OUT_TransportEnergyCons!$B$4:$B$10000)*1,("-"=[2]OUT_TransportEnergyCons!$C$4:$C$10000)*1,ISNUMBER(SEARCH("T_C*bat*ext",[2]OUT_TransportEnergyCons!$A$4:$A$10000))*1,[2]OUT_TransportEnergyCons!J$4:J$10000)</f>
        <v>0</v>
      </c>
      <c r="N1904" s="1"/>
    </row>
    <row r="1905" spans="2:14" x14ac:dyDescent="0.35">
      <c r="B1905" s="5" t="str">
        <f t="shared" si="2022"/>
        <v>SPS1</v>
      </c>
      <c r="C1905" s="5" t="str">
        <f t="shared" si="2023"/>
        <v>CH</v>
      </c>
      <c r="D1905" t="s">
        <v>1922</v>
      </c>
      <c r="E1905" t="str">
        <f t="shared" ref="E1905:E1953" si="2024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2.4198384931383926E-3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4.3310014059226428E-3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5.5780900361345111E-3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0.13048795164583002</v>
      </c>
      <c r="J1905" s="1" cm="1">
        <f t="array" ref="J1905">SUMPRODUCT(("Var_Cap"=[2]OUT_TransportEnergyCons!$B$4:$B$10000)*1,("-"=[2]OUT_TransportEnergyCons!$C$4:$C$10000)*1,ISNUMBER(SEARCH("T_C*bat*s1",[2]OUT_TransportEnergyCons!$A$4:$A$10000))*1,[2]OUT_TransportEnergyCons!H$4:H$10000)</f>
        <v>0.28435348451563336</v>
      </c>
      <c r="K1905" s="1" cm="1">
        <f t="array" ref="K1905">SUMPRODUCT(("Var_Cap"=[2]OUT_TransportEnergyCons!$B$4:$B$10000)*1,("-"=[2]OUT_TransportEnergyCons!$C$4:$C$10000)*1,ISNUMBER(SEARCH("T_C*bat*s1",[2]OUT_TransportEnergyCons!$A$4:$A$10000))*1,[2]OUT_TransportEnergyCons!I$4:I$10000)</f>
        <v>0.35202265105939334</v>
      </c>
      <c r="L1905" s="1" cm="1">
        <f t="array" ref="L1905">SUMPRODUCT(("Var_Cap"=[2]OUT_TransportEnergyCons!$B$4:$B$10000)*1,("-"=[2]OUT_TransportEnergyCons!$C$4:$C$10000)*1,ISNUMBER(SEARCH("T_C*bat*s1",[2]OUT_TransportEnergyCons!$A$4:$A$10000))*1,[2]OUT_TransportEnergyCons!J$4:J$10000)</f>
        <v>0.37186836417493863</v>
      </c>
      <c r="N1905" s="1"/>
    </row>
    <row r="1906" spans="2:14" x14ac:dyDescent="0.35">
      <c r="B1906" s="5" t="str">
        <f t="shared" si="2022"/>
        <v>SPS1</v>
      </c>
      <c r="C1906" s="5" t="str">
        <f t="shared" si="2023"/>
        <v>CH</v>
      </c>
      <c r="D1906" t="s">
        <v>1923</v>
      </c>
      <c r="E1906" t="str">
        <f t="shared" si="2024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7.8075998491253544E-3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1.3672975628669938E-2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1.8215287595082352E-2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0.57038143366586347</v>
      </c>
      <c r="J1906" s="1" cm="1">
        <f t="array" ref="J1906">SUMPRODUCT(("Var_Cap"=[2]OUT_TransportEnergyCons!$B$4:$B$10000)*1,("-"=[2]OUT_TransportEnergyCons!$C$4:$C$10000)*1,ISNUMBER(SEARCH("T_C*bat*s2",[2]OUT_TransportEnergyCons!$A$4:$A$10000))*1,[2]OUT_TransportEnergyCons!H$4:H$10000)</f>
        <v>1.6919419856565683</v>
      </c>
      <c r="K1906" s="1" cm="1">
        <f t="array" ref="K1906">SUMPRODUCT(("Var_Cap"=[2]OUT_TransportEnergyCons!$B$4:$B$10000)*1,("-"=[2]OUT_TransportEnergyCons!$C$4:$C$10000)*1,ISNUMBER(SEARCH("T_C*bat*s2",[2]OUT_TransportEnergyCons!$A$4:$A$10000))*1,[2]OUT_TransportEnergyCons!I$4:I$10000)</f>
        <v>1.9180520025323522</v>
      </c>
      <c r="L1906" s="1" cm="1">
        <f t="array" ref="L1906">SUMPRODUCT(("Var_Cap"=[2]OUT_TransportEnergyCons!$B$4:$B$10000)*1,("-"=[2]OUT_TransportEnergyCons!$C$4:$C$10000)*1,ISNUMBER(SEARCH("T_C*bat*s2",[2]OUT_TransportEnergyCons!$A$4:$A$10000))*1,[2]OUT_TransportEnergyCons!J$4:J$10000)</f>
        <v>1.9029103491046431</v>
      </c>
      <c r="N1906" s="1"/>
    </row>
    <row r="1907" spans="2:14" x14ac:dyDescent="0.35">
      <c r="B1907" s="5" t="str">
        <f t="shared" si="2022"/>
        <v>SPS1</v>
      </c>
      <c r="C1907" s="5" t="str">
        <f t="shared" si="2023"/>
        <v>CH</v>
      </c>
      <c r="D1907" t="s">
        <v>1924</v>
      </c>
      <c r="E1907" t="str">
        <f t="shared" si="2024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5.0070995158856962E-3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2.3739012591040397E-2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7.7396536904448643E-2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8.1312508161985347E-2</v>
      </c>
      <c r="J1907" s="1" cm="1">
        <f t="array" ref="J1907">SUMPRODUCT(("Var_Cap"=[2]OUT_TransportEnergyCons!$B$4:$B$10000)*1,("-"=[2]OUT_TransportEnergyCons!$C$4:$C$10000)*1,ISNUMBER(SEARCH("T_C*bat*s3",[2]OUT_TransportEnergyCons!$A$4:$A$10000))*1,[2]OUT_TransportEnergyCons!H$4:H$10000)</f>
        <v>6.6245853652147996E-2</v>
      </c>
      <c r="K1907" s="1" cm="1">
        <f t="array" ref="K1907">SUMPRODUCT(("Var_Cap"=[2]OUT_TransportEnergyCons!$B$4:$B$10000)*1,("-"=[2]OUT_TransportEnergyCons!$C$4:$C$10000)*1,ISNUMBER(SEARCH("T_C*bat*s3",[2]OUT_TransportEnergyCons!$A$4:$A$10000))*1,[2]OUT_TransportEnergyCons!I$4:I$10000)</f>
        <v>0.62133897092593171</v>
      </c>
      <c r="L1907" s="1" cm="1">
        <f t="array" ref="L1907">SUMPRODUCT(("Var_Cap"=[2]OUT_TransportEnergyCons!$B$4:$B$10000)*1,("-"=[2]OUT_TransportEnergyCons!$C$4:$C$10000)*1,ISNUMBER(SEARCH("T_C*bat*s3",[2]OUT_TransportEnergyCons!$A$4:$A$10000))*1,[2]OUT_TransportEnergyCons!J$4:J$10000)</f>
        <v>0.99585590429963056</v>
      </c>
      <c r="N1907" s="1"/>
    </row>
    <row r="1908" spans="2:14" x14ac:dyDescent="0.35">
      <c r="B1908" s="5" t="str">
        <f t="shared" si="2022"/>
        <v>SPS1</v>
      </c>
      <c r="C1908" s="5" t="str">
        <f t="shared" si="2023"/>
        <v>CH</v>
      </c>
      <c r="D1908" t="s">
        <v>1925</v>
      </c>
      <c r="E1908" t="str">
        <f t="shared" si="2024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1.6424914539134985E-2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9.1926390101677607E-2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0.29194670110932724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1.0104067736591091</v>
      </c>
      <c r="J1908" s="1" cm="1">
        <f t="array" ref="J1908">SUMPRODUCT(("Var_Cap"=[2]OUT_TransportEnergyCons!$B$4:$B$10000)*1,("-"=[2]OUT_TransportEnergyCons!$C$4:$C$10000)*1,ISNUMBER(SEARCH("T_C*bat*s4",[2]OUT_TransportEnergyCons!$A$4:$A$10000))*1,[2]OUT_TransportEnergyCons!H$4:H$10000)</f>
        <v>1.6866076618004979</v>
      </c>
      <c r="K1908" s="1" cm="1">
        <f t="array" ref="K1908">SUMPRODUCT(("Var_Cap"=[2]OUT_TransportEnergyCons!$B$4:$B$10000)*1,("-"=[2]OUT_TransportEnergyCons!$C$4:$C$10000)*1,ISNUMBER(SEARCH("T_C*bat*s4",[2]OUT_TransportEnergyCons!$A$4:$A$10000))*1,[2]OUT_TransportEnergyCons!I$4:I$10000)</f>
        <v>1.7895487342064196</v>
      </c>
      <c r="L1908" s="1" cm="1">
        <f t="array" ref="L1908">SUMPRODUCT(("Var_Cap"=[2]OUT_TransportEnergyCons!$B$4:$B$10000)*1,("-"=[2]OUT_TransportEnergyCons!$C$4:$C$10000)*1,ISNUMBER(SEARCH("T_C*bat*s4",[2]OUT_TransportEnergyCons!$A$4:$A$10000))*1,[2]OUT_TransportEnergyCons!J$4:J$10000)</f>
        <v>2.3056326169393739</v>
      </c>
      <c r="N1908" s="1"/>
    </row>
    <row r="1909" spans="2:14" x14ac:dyDescent="0.35">
      <c r="B1909" s="5" t="str">
        <f t="shared" si="2022"/>
        <v>SPS1</v>
      </c>
      <c r="C1909" s="5" t="str">
        <f t="shared" si="2023"/>
        <v>CH</v>
      </c>
      <c r="D1909" t="s">
        <v>1926</v>
      </c>
      <c r="E1909" t="str">
        <f t="shared" si="2024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2.5896952972139742E-5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1.1351695119772092E-3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1.9394645460583245E-3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5.6970432944380076E-3</v>
      </c>
      <c r="J1909" s="1" cm="1">
        <f t="array" ref="J1909">SUMPRODUCT(("Var_Cap"=[2]OUT_TransportEnergyCons!$B$4:$B$10000)*1,("-"=[2]OUT_TransportEnergyCons!$C$4:$C$10000)*1,ISNUMBER(SEARCH("T_C*pev*GSL*s1",[2]OUT_TransportEnergyCons!$A$4:$A$10000))*1,[2]OUT_TransportEnergyCons!H$4:H$10000)</f>
        <v>2.9981912038876276E-4</v>
      </c>
      <c r="K1909" s="1" cm="1">
        <f t="array" ref="K1909">SUMPRODUCT(("Var_Cap"=[2]OUT_TransportEnergyCons!$B$4:$B$10000)*1,("-"=[2]OUT_TransportEnergyCons!$C$4:$C$10000)*1,ISNUMBER(SEARCH("T_C*pev*GSL*s1",[2]OUT_TransportEnergyCons!$A$4:$A$10000))*1,[2]OUT_TransportEnergyCons!I$4:I$10000)</f>
        <v>1.7803967431513176E-4</v>
      </c>
      <c r="L1909" s="1" cm="1">
        <f t="array" ref="L1909">SUMPRODUCT(("Var_Cap"=[2]OUT_TransportEnergyCons!$B$4:$B$10000)*1,("-"=[2]OUT_TransportEnergyCons!$C$4:$C$10000)*1,ISNUMBER(SEARCH("T_C*pev*GSL*s1",[2]OUT_TransportEnergyCons!$A$4:$A$10000))*1,[2]OUT_TransportEnergyCons!J$4:J$10000)</f>
        <v>3.1957668874921344E-5</v>
      </c>
      <c r="N1909" s="1"/>
    </row>
    <row r="1910" spans="2:14" x14ac:dyDescent="0.35">
      <c r="B1910" s="5" t="str">
        <f t="shared" si="2022"/>
        <v>SPS1</v>
      </c>
      <c r="C1910" s="5" t="str">
        <f t="shared" si="2023"/>
        <v>CH</v>
      </c>
      <c r="D1910" t="s">
        <v>1927</v>
      </c>
      <c r="E1910" t="str">
        <f t="shared" si="2024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4.8571634819299363E-3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7.9623017473377175E-3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8.8333527742429901E-3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1.1139370316629335E-2</v>
      </c>
      <c r="J1910" s="1" cm="1">
        <f t="array" ref="J1910">SUMPRODUCT(("Var_Cap"=[2]OUT_TransportEnergyCons!$B$4:$B$10000)*1,("-"=[2]OUT_TransportEnergyCons!$C$4:$C$10000)*1,ISNUMBER(SEARCH("T_C*pev*GSL*s2",[2]OUT_TransportEnergyCons!$A$4:$A$10000))*1,[2]OUT_TransportEnergyCons!H$4:H$10000)</f>
        <v>1.8636575779545357E-3</v>
      </c>
      <c r="K1910" s="1" cm="1">
        <f t="array" ref="K1910">SUMPRODUCT(("Var_Cap"=[2]OUT_TransportEnergyCons!$B$4:$B$10000)*1,("-"=[2]OUT_TransportEnergyCons!$C$4:$C$10000)*1,ISNUMBER(SEARCH("T_C*pev*GSL*s2",[2]OUT_TransportEnergyCons!$A$4:$A$10000))*1,[2]OUT_TransportEnergyCons!I$4:I$10000)</f>
        <v>7.5232638745972955E-4</v>
      </c>
      <c r="L1910" s="1" cm="1">
        <f t="array" ref="L1910">SUMPRODUCT(("Var_Cap"=[2]OUT_TransportEnergyCons!$B$4:$B$10000)*1,("-"=[2]OUT_TransportEnergyCons!$C$4:$C$10000)*1,ISNUMBER(SEARCH("T_C*pev*GSL*s2",[2]OUT_TransportEnergyCons!$A$4:$A$10000))*1,[2]OUT_TransportEnergyCons!J$4:J$10000)</f>
        <v>1.9986984231500944E-4</v>
      </c>
      <c r="N1910" s="1"/>
    </row>
    <row r="1911" spans="2:14" x14ac:dyDescent="0.35">
      <c r="B1911" s="5" t="str">
        <f t="shared" si="2022"/>
        <v>SPS1</v>
      </c>
      <c r="C1911" s="5" t="str">
        <f t="shared" si="2023"/>
        <v>CH</v>
      </c>
      <c r="D1911" t="s">
        <v>1928</v>
      </c>
      <c r="E1911" t="str">
        <f t="shared" si="2024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4.0402657902614322E-3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2.5741393130315513E-2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7.247214574647394E-2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0.34190038780595772</v>
      </c>
      <c r="J1911" s="1" cm="1">
        <f t="array" ref="J1911">SUMPRODUCT(("Var_Cap"=[2]OUT_TransportEnergyCons!$B$4:$B$10000)*1,("-"=[2]OUT_TransportEnergyCons!$C$4:$C$10000)*1,ISNUMBER(SEARCH("T_C*pev*GSL*s3",[2]OUT_TransportEnergyCons!$A$4:$A$10000))*1,[2]OUT_TransportEnergyCons!H$4:H$10000)</f>
        <v>0.68744593973451795</v>
      </c>
      <c r="K1911" s="1" cm="1">
        <f t="array" ref="K1911">SUMPRODUCT(("Var_Cap"=[2]OUT_TransportEnergyCons!$B$4:$B$10000)*1,("-"=[2]OUT_TransportEnergyCons!$C$4:$C$10000)*1,ISNUMBER(SEARCH("T_C*pev*GSL*s3",[2]OUT_TransportEnergyCons!$A$4:$A$10000))*1,[2]OUT_TransportEnergyCons!I$4:I$10000)</f>
        <v>0.48071588113125557</v>
      </c>
      <c r="L1911" s="1" cm="1">
        <f t="array" ref="L1911">SUMPRODUCT(("Var_Cap"=[2]OUT_TransportEnergyCons!$B$4:$B$10000)*1,("-"=[2]OUT_TransportEnergyCons!$C$4:$C$10000)*1,ISNUMBER(SEARCH("T_C*pev*GSL*s3",[2]OUT_TransportEnergyCons!$A$4:$A$10000))*1,[2]OUT_TransportEnergyCons!J$4:J$10000)</f>
        <v>0.10503094742286501</v>
      </c>
      <c r="N1911" s="1"/>
    </row>
    <row r="1912" spans="2:14" x14ac:dyDescent="0.35">
      <c r="B1912" s="5" t="str">
        <f t="shared" si="2022"/>
        <v>SPS1</v>
      </c>
      <c r="C1912" s="5" t="str">
        <f t="shared" si="2023"/>
        <v>CH</v>
      </c>
      <c r="D1912" t="s">
        <v>1929</v>
      </c>
      <c r="E1912" t="str">
        <f t="shared" si="2024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7.235117308671944E-3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1.5439618163207299E-2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1.7595795588699774E-2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1.9194078800756235E-2</v>
      </c>
      <c r="J1912" s="1" cm="1">
        <f t="array" ref="J1912">SUMPRODUCT(("Var_Cap"=[2]OUT_TransportEnergyCons!$B$4:$B$10000)*1,("-"=[2]OUT_TransportEnergyCons!$C$4:$C$10000)*1,ISNUMBER(SEARCH("T_C*pev*GSL*s4",[2]OUT_TransportEnergyCons!$A$4:$A$10000))*1,[2]OUT_TransportEnergyCons!H$4:H$10000)</f>
        <v>2.4612928625533529E-3</v>
      </c>
      <c r="K1912" s="1" cm="1">
        <f t="array" ref="K1912">SUMPRODUCT(("Var_Cap"=[2]OUT_TransportEnergyCons!$B$4:$B$10000)*1,("-"=[2]OUT_TransportEnergyCons!$C$4:$C$10000)*1,ISNUMBER(SEARCH("T_C*pev*GSL*s4",[2]OUT_TransportEnergyCons!$A$4:$A$10000))*1,[2]OUT_TransportEnergyCons!I$4:I$10000)</f>
        <v>4.3566811583275593E-4</v>
      </c>
      <c r="L1912" s="1" cm="1">
        <f t="array" ref="L1912">SUMPRODUCT(("Var_Cap"=[2]OUT_TransportEnergyCons!$B$4:$B$10000)*1,("-"=[2]OUT_TransportEnergyCons!$C$4:$C$10000)*1,ISNUMBER(SEARCH("T_C*pev*GSL*s4",[2]OUT_TransportEnergyCons!$A$4:$A$10000))*1,[2]OUT_TransportEnergyCons!J$4:J$10000)</f>
        <v>9.5685323681271432E-5</v>
      </c>
      <c r="N1912" s="1"/>
    </row>
    <row r="1913" spans="2:14" x14ac:dyDescent="0.35">
      <c r="B1913" s="5" t="str">
        <f t="shared" si="2022"/>
        <v>SPS1</v>
      </c>
      <c r="C1913" s="5" t="str">
        <f t="shared" si="2023"/>
        <v>CH</v>
      </c>
      <c r="D1913" t="s">
        <v>1930</v>
      </c>
      <c r="E1913" t="str">
        <f t="shared" si="2024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1.5069422569588742E-6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1.123166914021443E-3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1.9245346919758732E-3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5.8909128185001287E-3</v>
      </c>
      <c r="J1913" s="1" cm="1">
        <f t="array" ref="J1913">SUMPRODUCT(("Var_Cap"=[2]OUT_TransportEnergyCons!$B$4:$B$10000)*1,("-"=[2]OUT_TransportEnergyCons!$C$4:$C$10000)*1,ISNUMBER(SEARCH("T_C*pev*dsl*s1",[2]OUT_TransportEnergyCons!$A$4:$A$10000))*1,[2]OUT_TransportEnergyCons!H$4:H$10000)</f>
        <v>3.0689673953589067E-4</v>
      </c>
      <c r="K1913" s="1" cm="1">
        <f t="array" ref="K1913">SUMPRODUCT(("Var_Cap"=[2]OUT_TransportEnergyCons!$B$4:$B$10000)*1,("-"=[2]OUT_TransportEnergyCons!$C$4:$C$10000)*1,ISNUMBER(SEARCH("T_C*pev*dsl*s1",[2]OUT_TransportEnergyCons!$A$4:$A$10000))*1,[2]OUT_TransportEnergyCons!I$4:I$10000)</f>
        <v>1.8229545634438718E-4</v>
      </c>
      <c r="L1913" s="1" cm="1">
        <f t="array" ref="L1913">SUMPRODUCT(("Var_Cap"=[2]OUT_TransportEnergyCons!$B$4:$B$10000)*1,("-"=[2]OUT_TransportEnergyCons!$C$4:$C$10000)*1,ISNUMBER(SEARCH("T_C*pev*dsl*s1",[2]OUT_TransportEnergyCons!$A$4:$A$10000))*1,[2]OUT_TransportEnergyCons!J$4:J$10000)</f>
        <v>3.2323077074964821E-5</v>
      </c>
      <c r="N1913" s="1"/>
    </row>
    <row r="1914" spans="2:14" x14ac:dyDescent="0.35">
      <c r="B1914" s="5" t="str">
        <f t="shared" si="2022"/>
        <v>SPS1</v>
      </c>
      <c r="C1914" s="5" t="str">
        <f t="shared" si="2023"/>
        <v>CH</v>
      </c>
      <c r="D1914" t="s">
        <v>1931</v>
      </c>
      <c r="E1914" t="str">
        <f t="shared" si="2024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6.7283509062103714E-4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1.9407437403485151E-3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5.6058465284343677E-3</v>
      </c>
      <c r="J1914" s="1" cm="1">
        <f t="array" ref="J1914">SUMPRODUCT(("Var_Cap"=[2]OUT_TransportEnergyCons!$B$4:$B$10000)*1,("-"=[2]OUT_TransportEnergyCons!$C$4:$C$10000)*1,ISNUMBER(SEARCH("T_C*pev*dsl*s2",[2]OUT_TransportEnergyCons!$A$4:$A$10000))*1,[2]OUT_TransportEnergyCons!H$4:H$10000)</f>
        <v>1.1236141307784486E-3</v>
      </c>
      <c r="K1914" s="1" cm="1">
        <f t="array" ref="K1914">SUMPRODUCT(("Var_Cap"=[2]OUT_TransportEnergyCons!$B$4:$B$10000)*1,("-"=[2]OUT_TransportEnergyCons!$C$4:$C$10000)*1,ISNUMBER(SEARCH("T_C*pev*dsl*s2",[2]OUT_TransportEnergyCons!$A$4:$A$10000))*1,[2]OUT_TransportEnergyCons!I$4:I$10000)</f>
        <v>8.8532628285402793E-4</v>
      </c>
      <c r="L1914" s="1" cm="1">
        <f t="array" ref="L1914">SUMPRODUCT(("Var_Cap"=[2]OUT_TransportEnergyCons!$B$4:$B$10000)*1,("-"=[2]OUT_TransportEnergyCons!$C$4:$C$10000)*1,ISNUMBER(SEARCH("T_C*pev*dsl*s2",[2]OUT_TransportEnergyCons!$A$4:$A$10000))*1,[2]OUT_TransportEnergyCons!J$4:J$10000)</f>
        <v>2.3509813354938888E-4</v>
      </c>
      <c r="N1914" s="1"/>
    </row>
    <row r="1915" spans="2:14" x14ac:dyDescent="0.35">
      <c r="B1915" s="5" t="str">
        <f t="shared" si="2022"/>
        <v>SPS1</v>
      </c>
      <c r="C1915" s="5" t="str">
        <f t="shared" si="2023"/>
        <v>CH</v>
      </c>
      <c r="D1915" t="s">
        <v>1932</v>
      </c>
      <c r="E1915" t="str">
        <f t="shared" si="2024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4.013753844852821E-6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1.156849404315257E-2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5.8323733122126409E-2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0.24182333836203476</v>
      </c>
      <c r="J1915" s="1" cm="1">
        <f t="array" ref="J1915">SUMPRODUCT(("Var_Cap"=[2]OUT_TransportEnergyCons!$B$4:$B$10000)*1,("-"=[2]OUT_TransportEnergyCons!$C$4:$C$10000)*1,ISNUMBER(SEARCH("T_C*pev*dsl*s3",[2]OUT_TransportEnergyCons!$A$4:$A$10000))*1,[2]OUT_TransportEnergyCons!H$4:H$10000)</f>
        <v>0.49672470735959501</v>
      </c>
      <c r="K1915" s="1" cm="1">
        <f t="array" ref="K1915">SUMPRODUCT(("Var_Cap"=[2]OUT_TransportEnergyCons!$B$4:$B$10000)*1,("-"=[2]OUT_TransportEnergyCons!$C$4:$C$10000)*1,ISNUMBER(SEARCH("T_C*pev*dsl*s3",[2]OUT_TransportEnergyCons!$A$4:$A$10000))*1,[2]OUT_TransportEnergyCons!I$4:I$10000)</f>
        <v>0.33910230215458603</v>
      </c>
      <c r="L1915" s="1" cm="1">
        <f t="array" ref="L1915">SUMPRODUCT(("Var_Cap"=[2]OUT_TransportEnergyCons!$B$4:$B$10000)*1,("-"=[2]OUT_TransportEnergyCons!$C$4:$C$10000)*1,ISNUMBER(SEARCH("T_C*pev*dsl*s3",[2]OUT_TransportEnergyCons!$A$4:$A$10000))*1,[2]OUT_TransportEnergyCons!J$4:J$10000)</f>
        <v>7.3671148121883204E-2</v>
      </c>
      <c r="N1915" s="1"/>
    </row>
    <row r="1916" spans="2:14" x14ac:dyDescent="0.35">
      <c r="B1916" s="5" t="str">
        <f t="shared" si="2022"/>
        <v>SPS1</v>
      </c>
      <c r="C1916" s="5" t="str">
        <f t="shared" si="2023"/>
        <v>CH</v>
      </c>
      <c r="D1916" t="s">
        <v>1933</v>
      </c>
      <c r="E1916" t="str">
        <f t="shared" si="2024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2.5883004702203827E-4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4.1482161396717955E-3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7.0624102310165304E-3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1.0902234661451097E-2</v>
      </c>
      <c r="J1916" s="1" cm="1">
        <f t="array" ref="J1916">SUMPRODUCT(("Var_Cap"=[2]OUT_TransportEnergyCons!$B$4:$B$10000)*1,("-"=[2]OUT_TransportEnergyCons!$C$4:$C$10000)*1,ISNUMBER(SEARCH("T_C*pev*dsl*s4",[2]OUT_TransportEnergyCons!$A$4:$A$10000))*1,[2]OUT_TransportEnergyCons!H$4:H$10000)</f>
        <v>8.6281940133461031E-4</v>
      </c>
      <c r="K1916" s="1" cm="1">
        <f t="array" ref="K1916">SUMPRODUCT(("Var_Cap"=[2]OUT_TransportEnergyCons!$B$4:$B$10000)*1,("-"=[2]OUT_TransportEnergyCons!$C$4:$C$10000)*1,ISNUMBER(SEARCH("T_C*pev*dsl*s4",[2]OUT_TransportEnergyCons!$A$4:$A$10000))*1,[2]OUT_TransportEnergyCons!I$4:I$10000)</f>
        <v>4.7388629267815837E-4</v>
      </c>
      <c r="L1916" s="1" cm="1">
        <f t="array" ref="L1916">SUMPRODUCT(("Var_Cap"=[2]OUT_TransportEnergyCons!$B$4:$B$10000)*1,("-"=[2]OUT_TransportEnergyCons!$C$4:$C$10000)*1,ISNUMBER(SEARCH("T_C*pev*dsl*s4",[2]OUT_TransportEnergyCons!$A$4:$A$10000))*1,[2]OUT_TransportEnergyCons!J$4:J$10000)</f>
        <v>1.0397395406222381E-4</v>
      </c>
      <c r="N1916" s="1"/>
    </row>
    <row r="1917" spans="2:14" x14ac:dyDescent="0.35">
      <c r="B1917" s="5" t="str">
        <f t="shared" si="2022"/>
        <v>SPS1</v>
      </c>
      <c r="C1917" s="5" t="str">
        <f t="shared" si="2023"/>
        <v>CH</v>
      </c>
      <c r="D1917" t="s">
        <v>1934</v>
      </c>
      <c r="E1917" t="str">
        <f t="shared" si="2024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5.5354937067383398E-5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7.5082175277578581E-5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1.8038721112814107E-5</v>
      </c>
      <c r="J1917" s="1" cm="1">
        <f t="array" ref="J1917">SUMPRODUCT(("Var_Cap"=[2]OUT_TransportEnergyCons!$B$4:$B$10000)*1,("-"=[2]OUT_TransportEnergyCons!$C$4:$C$10000)*1,ISNUMBER(SEARCH("T_C*h2o*s1",[2]OUT_TransportEnergyCons!$A$4:$A$10000))*1,[2]OUT_TransportEnergyCons!H$4:H$10000)</f>
        <v>1.6232688891404519E-6</v>
      </c>
      <c r="K1917" s="1" cm="1">
        <f t="array" ref="K1917">SUMPRODUCT(("Var_Cap"=[2]OUT_TransportEnergyCons!$B$4:$B$10000)*1,("-"=[2]OUT_TransportEnergyCons!$C$4:$C$10000)*1,ISNUMBER(SEARCH("T_C*h2o*s1",[2]OUT_TransportEnergyCons!$A$4:$A$10000))*1,[2]OUT_TransportEnergyCons!I$4:I$10000)</f>
        <v>1.80644728545511E-6</v>
      </c>
      <c r="L1917" s="1" cm="1">
        <f t="array" ref="L1917">SUMPRODUCT(("Var_Cap"=[2]OUT_TransportEnergyCons!$B$4:$B$10000)*1,("-"=[2]OUT_TransportEnergyCons!$C$4:$C$10000)*1,ISNUMBER(SEARCH("T_C*h2o*s1",[2]OUT_TransportEnergyCons!$A$4:$A$10000))*1,[2]OUT_TransportEnergyCons!J$4:J$10000)</f>
        <v>1.5397551517679299E-6</v>
      </c>
      <c r="N1917" s="1"/>
    </row>
    <row r="1918" spans="2:14" x14ac:dyDescent="0.35">
      <c r="B1918" s="5" t="str">
        <f t="shared" si="2022"/>
        <v>SPS1</v>
      </c>
      <c r="C1918" s="5" t="str">
        <f t="shared" si="2023"/>
        <v>CH</v>
      </c>
      <c r="D1918" t="s">
        <v>1935</v>
      </c>
      <c r="E1918" t="str">
        <f t="shared" si="2024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6.2831666479506751E-6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3.4537847083725739E-5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5.2110501948287521E-5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2.5550803446840391E-5</v>
      </c>
      <c r="J1918" s="1" cm="1">
        <f t="array" ref="J1918">SUMPRODUCT(("Var_Cap"=[2]OUT_TransportEnergyCons!$B$4:$B$10000)*1,("-"=[2]OUT_TransportEnergyCons!$C$4:$C$10000)*1,ISNUMBER(SEARCH("T_C*h2o*s2",[2]OUT_TransportEnergyCons!$A$4:$A$10000))*1,[2]OUT_TransportEnergyCons!H$4:H$10000)</f>
        <v>1.4987661889186611E-6</v>
      </c>
      <c r="K1918" s="1" cm="1">
        <f t="array" ref="K1918">SUMPRODUCT(("Var_Cap"=[2]OUT_TransportEnergyCons!$B$4:$B$10000)*1,("-"=[2]OUT_TransportEnergyCons!$C$4:$C$10000)*1,ISNUMBER(SEARCH("T_C*h2o*s2",[2]OUT_TransportEnergyCons!$A$4:$A$10000))*1,[2]OUT_TransportEnergyCons!I$4:I$10000)</f>
        <v>1.52996110852899E-6</v>
      </c>
      <c r="L1918" s="1" cm="1">
        <f t="array" ref="L1918">SUMPRODUCT(("Var_Cap"=[2]OUT_TransportEnergyCons!$B$4:$B$10000)*1,("-"=[2]OUT_TransportEnergyCons!$C$4:$C$10000)*1,ISNUMBER(SEARCH("T_C*h2o*s2",[2]OUT_TransportEnergyCons!$A$4:$A$10000))*1,[2]OUT_TransportEnergyCons!J$4:J$10000)</f>
        <v>1.472715428368E-6</v>
      </c>
      <c r="N1918" s="1"/>
    </row>
    <row r="1919" spans="2:14" x14ac:dyDescent="0.35">
      <c r="B1919" s="5" t="str">
        <f t="shared" si="2022"/>
        <v>SPS1</v>
      </c>
      <c r="C1919" s="5" t="str">
        <f t="shared" si="2023"/>
        <v>CH</v>
      </c>
      <c r="D1919" t="s">
        <v>1936</v>
      </c>
      <c r="E1919" t="str">
        <f t="shared" si="2024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5.3593683227500278E-5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1.3037117849924328E-4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1.3824734746197454E-4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3.732306702197E-5</v>
      </c>
      <c r="J1919" s="1" cm="1">
        <f t="array" ref="J1919">SUMPRODUCT(("Var_Cap"=[2]OUT_TransportEnergyCons!$B$4:$B$10000)*1,("-"=[2]OUT_TransportEnergyCons!$C$4:$C$10000)*1,ISNUMBER(SEARCH("T_C*h2o*s3",[2]OUT_TransportEnergyCons!$A$4:$A$10000))*1,[2]OUT_TransportEnergyCons!H$4:H$10000)</f>
        <v>1.6793374771008694E-6</v>
      </c>
      <c r="K1919" s="1" cm="1">
        <f t="array" ref="K1919">SUMPRODUCT(("Var_Cap"=[2]OUT_TransportEnergyCons!$B$4:$B$10000)*1,("-"=[2]OUT_TransportEnergyCons!$C$4:$C$10000)*1,ISNUMBER(SEARCH("T_C*h2o*s3",[2]OUT_TransportEnergyCons!$A$4:$A$10000))*1,[2]OUT_TransportEnergyCons!I$4:I$10000)</f>
        <v>1.2992830739662301E-6</v>
      </c>
      <c r="L1919" s="1" cm="1">
        <f t="array" ref="L1919">SUMPRODUCT(("Var_Cap"=[2]OUT_TransportEnergyCons!$B$4:$B$10000)*1,("-"=[2]OUT_TransportEnergyCons!$C$4:$C$10000)*1,ISNUMBER(SEARCH("T_C*h2o*s3",[2]OUT_TransportEnergyCons!$A$4:$A$10000))*1,[2]OUT_TransportEnergyCons!J$4:J$10000)</f>
        <v>1.3860908132098501E-6</v>
      </c>
      <c r="N1919" s="1"/>
    </row>
    <row r="1920" spans="2:14" x14ac:dyDescent="0.35">
      <c r="B1920" s="5" t="str">
        <f t="shared" si="2022"/>
        <v>SPS1</v>
      </c>
      <c r="C1920" s="5" t="str">
        <f t="shared" si="2023"/>
        <v>CH</v>
      </c>
      <c r="D1920" t="s">
        <v>1937</v>
      </c>
      <c r="E1920" t="str">
        <f t="shared" si="2024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3.2194302584244299E-5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4.9281645416991686E-5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2.1959387575278099E-5</v>
      </c>
      <c r="J1920" s="1" cm="1">
        <f t="array" ref="J1920">SUMPRODUCT(("Var_Cap"=[2]OUT_TransportEnergyCons!$B$4:$B$10000)*1,("-"=[2]OUT_TransportEnergyCons!$C$4:$C$10000)*1,ISNUMBER(SEARCH("T_C*h2o*s4",[2]OUT_TransportEnergyCons!$A$4:$A$10000))*1,[2]OUT_TransportEnergyCons!H$4:H$10000)</f>
        <v>1.5304255109995353E-6</v>
      </c>
      <c r="K1920" s="1" cm="1">
        <f t="array" ref="K1920">SUMPRODUCT(("Var_Cap"=[2]OUT_TransportEnergyCons!$B$4:$B$10000)*1,("-"=[2]OUT_TransportEnergyCons!$C$4:$C$10000)*1,ISNUMBER(SEARCH("T_C*h2o*s4",[2]OUT_TransportEnergyCons!$A$4:$A$10000))*1,[2]OUT_TransportEnergyCons!I$4:I$10000)</f>
        <v>1.59454004715063E-6</v>
      </c>
      <c r="L1920" s="1" cm="1">
        <f t="array" ref="L1920">SUMPRODUCT(("Var_Cap"=[2]OUT_TransportEnergyCons!$B$4:$B$10000)*1,("-"=[2]OUT_TransportEnergyCons!$C$4:$C$10000)*1,ISNUMBER(SEARCH("T_C*h2o*s4",[2]OUT_TransportEnergyCons!$A$4:$A$10000))*1,[2]OUT_TransportEnergyCons!J$4:J$10000)</f>
        <v>1.72910479561065E-6</v>
      </c>
      <c r="N1920" s="1"/>
    </row>
    <row r="1921" spans="2:14" x14ac:dyDescent="0.35">
      <c r="B1921" s="5" t="str">
        <f t="shared" si="2022"/>
        <v>SPS1</v>
      </c>
      <c r="C1921" s="5" t="str">
        <f t="shared" si="2023"/>
        <v>CH</v>
      </c>
      <c r="D1921" t="s">
        <v>1938</v>
      </c>
      <c r="E1921" t="str">
        <f t="shared" si="2024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6.5841999999999998E-2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4.3891675459153422E-2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2.1946877235544528E-2</v>
      </c>
      <c r="J1921" s="1" cm="1">
        <f t="array" ref="J1921">SUMPRODUCT(("Var_Cap"=[2]OUT_TransportEnergyCons!$B$4:$B$10000)*1,("-"=[2]OUT_TransportEnergyCons!$C$4:$C$10000)*1,ISNUMBER(SEARCH("T_C*hy*GSL*ext",[2]OUT_TransportEnergyCons!$A$4:$A$10000))*1,[2]OUT_TransportEnergyCons!H$4:H$10000)</f>
        <v>0</v>
      </c>
      <c r="K1921" s="1" cm="1">
        <f t="array" ref="K1921">SUMPRODUCT(("Var_Cap"=[2]OUT_TransportEnergyCons!$B$4:$B$10000)*1,("-"=[2]OUT_TransportEnergyCons!$C$4:$C$10000)*1,ISNUMBER(SEARCH("T_C*hy*GSL*ext",[2]OUT_TransportEnergyCons!$A$4:$A$10000))*1,[2]OUT_TransportEnergyCons!I$4:I$10000)</f>
        <v>0</v>
      </c>
      <c r="L1921" s="1" cm="1">
        <f t="array" ref="L1921">SUMPRODUCT(("Var_Cap"=[2]OUT_TransportEnergyCons!$B$4:$B$10000)*1,("-"=[2]OUT_TransportEnergyCons!$C$4:$C$10000)*1,ISNUMBER(SEARCH("T_C*hy*GSL*ext",[2]OUT_TransportEnergyCons!$A$4:$A$10000))*1,[2]OUT_TransportEnergyCons!J$4:J$10000)</f>
        <v>0</v>
      </c>
      <c r="N1921" s="1"/>
    </row>
    <row r="1922" spans="2:14" x14ac:dyDescent="0.35">
      <c r="B1922" s="5" t="str">
        <f t="shared" si="2022"/>
        <v>SPS1</v>
      </c>
      <c r="C1922" s="5" t="str">
        <f t="shared" si="2023"/>
        <v>CH</v>
      </c>
      <c r="D1922" t="s">
        <v>1939</v>
      </c>
      <c r="E1922" t="str">
        <f t="shared" si="2024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5.6529398338992396E-3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9.2201639887080997E-3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1.0362003700418598E-2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9.5121656295448324E-3</v>
      </c>
      <c r="J1922" s="1" cm="1">
        <f t="array" ref="J1922">SUMPRODUCT(("Var_Cap"=[2]OUT_TransportEnergyCons!$B$4:$B$10000)*1,("-"=[2]OUT_TransportEnergyCons!$C$4:$C$10000)*1,ISNUMBER(SEARCH("T_C*hy*GSL*s1",[2]OUT_TransportEnergyCons!$A$4:$A$10000))*1,[2]OUT_TransportEnergyCons!H$4:H$10000)</f>
        <v>4.6726483196550219E-4</v>
      </c>
      <c r="K1922" s="1" cm="1">
        <f t="array" ref="K1922">SUMPRODUCT(("Var_Cap"=[2]OUT_TransportEnergyCons!$B$4:$B$10000)*1,("-"=[2]OUT_TransportEnergyCons!$C$4:$C$10000)*1,ISNUMBER(SEARCH("T_C*hy*GSL*s1",[2]OUT_TransportEnergyCons!$A$4:$A$10000))*1,[2]OUT_TransportEnergyCons!I$4:I$10000)</f>
        <v>3.2109805497475564E-5</v>
      </c>
      <c r="L1922" s="1" cm="1">
        <f t="array" ref="L1922">SUMPRODUCT(("Var_Cap"=[2]OUT_TransportEnergyCons!$B$4:$B$10000)*1,("-"=[2]OUT_TransportEnergyCons!$C$4:$C$10000)*1,ISNUMBER(SEARCH("T_C*hy*GSL*s1",[2]OUT_TransportEnergyCons!$A$4:$A$10000))*1,[2]OUT_TransportEnergyCons!J$4:J$10000)</f>
        <v>0</v>
      </c>
      <c r="N1922" s="1"/>
    </row>
    <row r="1923" spans="2:14" x14ac:dyDescent="0.35">
      <c r="B1923" s="5" t="str">
        <f t="shared" si="2022"/>
        <v>SPS1</v>
      </c>
      <c r="C1923" s="5" t="str">
        <f t="shared" si="2023"/>
        <v>CH</v>
      </c>
      <c r="D1923" t="s">
        <v>1940</v>
      </c>
      <c r="E1923" t="str">
        <f t="shared" si="2024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1.720754687688909E-2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4.0594676149835758E-2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0.13379953840312062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0.11515041655413692</v>
      </c>
      <c r="J1923" s="1" cm="1">
        <f t="array" ref="J1923">SUMPRODUCT(("Var_Cap"=[2]OUT_TransportEnergyCons!$B$4:$B$10000)*1,("-"=[2]OUT_TransportEnergyCons!$C$4:$C$10000)*1,ISNUMBER(SEARCH("T_C*hy*GSL*s2",[2]OUT_TransportEnergyCons!$A$4:$A$10000))*1,[2]OUT_TransportEnergyCons!H$4:H$10000)</f>
        <v>6.9369121862879107E-2</v>
      </c>
      <c r="K1923" s="1" cm="1">
        <f t="array" ref="K1923">SUMPRODUCT(("Var_Cap"=[2]OUT_TransportEnergyCons!$B$4:$B$10000)*1,("-"=[2]OUT_TransportEnergyCons!$C$4:$C$10000)*1,ISNUMBER(SEARCH("T_C*hy*GSL*s2",[2]OUT_TransportEnergyCons!$A$4:$A$10000))*1,[2]OUT_TransportEnergyCons!I$4:I$10000)</f>
        <v>8.8208288795081236E-3</v>
      </c>
      <c r="L1923" s="1" cm="1">
        <f t="array" ref="L1923">SUMPRODUCT(("Var_Cap"=[2]OUT_TransportEnergyCons!$B$4:$B$10000)*1,("-"=[2]OUT_TransportEnergyCons!$C$4:$C$10000)*1,ISNUMBER(SEARCH("T_C*hy*GSL*s2",[2]OUT_TransportEnergyCons!$A$4:$A$10000))*1,[2]OUT_TransportEnergyCons!J$4:J$10000)</f>
        <v>0</v>
      </c>
      <c r="N1923" s="1"/>
    </row>
    <row r="1924" spans="2:14" x14ac:dyDescent="0.35">
      <c r="B1924" s="5" t="str">
        <f t="shared" si="2022"/>
        <v>SPS1</v>
      </c>
      <c r="C1924" s="5" t="str">
        <f t="shared" si="2023"/>
        <v>CH</v>
      </c>
      <c r="D1924" t="s">
        <v>1941</v>
      </c>
      <c r="E1924" t="str">
        <f t="shared" si="2024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1.423208466707343E-2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0.19173110832080234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0.18233934776974342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0.1472635628971482</v>
      </c>
      <c r="J1924" s="1" cm="1">
        <f t="array" ref="J1924">SUMPRODUCT(("Var_Cap"=[2]OUT_TransportEnergyCons!$B$4:$B$10000)*1,("-"=[2]OUT_TransportEnergyCons!$C$4:$C$10000)*1,ISNUMBER(SEARCH("T_C*hy*GSL*s3",[2]OUT_TransportEnergyCons!$A$4:$A$10000))*1,[2]OUT_TransportEnergyCons!H$4:H$10000)</f>
        <v>4.8362961835964037E-2</v>
      </c>
      <c r="K1924" s="1" cm="1">
        <f t="array" ref="K1924">SUMPRODUCT(("Var_Cap"=[2]OUT_TransportEnergyCons!$B$4:$B$10000)*1,("-"=[2]OUT_TransportEnergyCons!$C$4:$C$10000)*1,ISNUMBER(SEARCH("T_C*hy*GSL*s3",[2]OUT_TransportEnergyCons!$A$4:$A$10000))*1,[2]OUT_TransportEnergyCons!I$4:I$10000)</f>
        <v>1.0840842833421375E-5</v>
      </c>
      <c r="L1924" s="1" cm="1">
        <f t="array" ref="L1924">SUMPRODUCT(("Var_Cap"=[2]OUT_TransportEnergyCons!$B$4:$B$10000)*1,("-"=[2]OUT_TransportEnergyCons!$C$4:$C$10000)*1,ISNUMBER(SEARCH("T_C*hy*GSL*s3",[2]OUT_TransportEnergyCons!$A$4:$A$10000))*1,[2]OUT_TransportEnergyCons!J$4:J$10000)</f>
        <v>0</v>
      </c>
      <c r="N1924" s="1"/>
    </row>
    <row r="1925" spans="2:14" x14ac:dyDescent="0.35">
      <c r="B1925" s="5" t="str">
        <f t="shared" si="2022"/>
        <v>SPS1</v>
      </c>
      <c r="C1925" s="5" t="str">
        <f t="shared" si="2023"/>
        <v>CH</v>
      </c>
      <c r="D1925" t="s">
        <v>1942</v>
      </c>
      <c r="E1925" t="str">
        <f t="shared" si="2024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8.2998524796518564E-3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1.5892285637599732E-2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1.6450270134229041E-2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1.421719547282181E-2</v>
      </c>
      <c r="J1925" s="1" cm="1">
        <f t="array" ref="J1925">SUMPRODUCT(("Var_Cap"=[2]OUT_TransportEnergyCons!$B$4:$B$10000)*1,("-"=[2]OUT_TransportEnergyCons!$C$4:$C$10000)*1,ISNUMBER(SEARCH("T_C*hy*GSL*s4",[2]OUT_TransportEnergyCons!$A$4:$A$10000))*1,[2]OUT_TransportEnergyCons!H$4:H$10000)</f>
        <v>2.0309213795132361E-3</v>
      </c>
      <c r="K1925" s="1" cm="1">
        <f t="array" ref="K1925">SUMPRODUCT(("Var_Cap"=[2]OUT_TransportEnergyCons!$B$4:$B$10000)*1,("-"=[2]OUT_TransportEnergyCons!$C$4:$C$10000)*1,ISNUMBER(SEARCH("T_C*hy*GSL*s4",[2]OUT_TransportEnergyCons!$A$4:$A$10000))*1,[2]OUT_TransportEnergyCons!I$4:I$10000)</f>
        <v>1.201985171501308E-5</v>
      </c>
      <c r="L1925" s="1" cm="1">
        <f t="array" ref="L1925">SUMPRODUCT(("Var_Cap"=[2]OUT_TransportEnergyCons!$B$4:$B$10000)*1,("-"=[2]OUT_TransportEnergyCons!$C$4:$C$10000)*1,ISNUMBER(SEARCH("T_C*hy*GSL*s4",[2]OUT_TransportEnergyCons!$A$4:$A$10000))*1,[2]OUT_TransportEnergyCons!J$4:J$10000)</f>
        <v>0</v>
      </c>
      <c r="N1925" s="1"/>
    </row>
    <row r="1926" spans="2:14" x14ac:dyDescent="0.35">
      <c r="B1926" s="5" t="str">
        <f t="shared" si="2022"/>
        <v>SPS1</v>
      </c>
      <c r="C1926" s="5" t="str">
        <f t="shared" si="2023"/>
        <v>CH</v>
      </c>
      <c r="D1926" t="s">
        <v>1943</v>
      </c>
      <c r="E1926" t="str">
        <f t="shared" si="2024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2.4943270000000002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2.16175006666667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1.6628831723417365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0.83140870666471711</v>
      </c>
      <c r="J1926" s="1" cm="1">
        <f t="array" ref="J1926">SUMPRODUCT(("Var_Cap"=[2]OUT_TransportEnergyCons!$B$4:$B$10000)*1,("-"=[2]OUT_TransportEnergyCons!$C$4:$C$10000)*1,ISNUMBER(SEARCH("T_C*ICE*GSL*ext",[2]OUT_TransportEnergyCons!$A$4:$A$10000))*1,[2]OUT_TransportEnergyCons!H$4:H$10000)</f>
        <v>0</v>
      </c>
      <c r="K1926" s="1" cm="1">
        <f t="array" ref="K1926">SUMPRODUCT(("Var_Cap"=[2]OUT_TransportEnergyCons!$B$4:$B$10000)*1,("-"=[2]OUT_TransportEnergyCons!$C$4:$C$10000)*1,ISNUMBER(SEARCH("T_C*ICE*GSL*ext",[2]OUT_TransportEnergyCons!$A$4:$A$10000))*1,[2]OUT_TransportEnergyCons!I$4:I$10000)</f>
        <v>0</v>
      </c>
      <c r="L1926" s="1" cm="1">
        <f t="array" ref="L1926">SUMPRODUCT(("Var_Cap"=[2]OUT_TransportEnergyCons!$B$4:$B$10000)*1,("-"=[2]OUT_TransportEnergyCons!$C$4:$C$10000)*1,ISNUMBER(SEARCH("T_C*ICE*GSL*ext",[2]OUT_TransportEnergyCons!$A$4:$A$10000))*1,[2]OUT_TransportEnergyCons!J$4:J$10000)</f>
        <v>0</v>
      </c>
      <c r="N1926" s="1"/>
    </row>
    <row r="1927" spans="2:14" x14ac:dyDescent="0.35">
      <c r="B1927" s="5" t="str">
        <f t="shared" si="2022"/>
        <v>SPS1</v>
      </c>
      <c r="C1927" s="5" t="str">
        <f t="shared" si="2023"/>
        <v>CH</v>
      </c>
      <c r="D1927" t="s">
        <v>1944</v>
      </c>
      <c r="E1927" t="str">
        <f t="shared" si="2024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3.6490627745920649E-2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4.2724068188990112E-2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0.12580638795372376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0.10651032311906861</v>
      </c>
      <c r="J1927" s="1" cm="1">
        <f t="array" ref="J1927">SUMPRODUCT(("Var_Cap"=[2]OUT_TransportEnergyCons!$B$4:$B$10000)*1,("-"=[2]OUT_TransportEnergyCons!$C$4:$C$10000)*1,ISNUMBER(SEARCH("T_C*ICE*GSL*s1",[2]OUT_TransportEnergyCons!$A$4:$A$10000))*1,[2]OUT_TransportEnergyCons!H$4:H$10000)</f>
        <v>5.9213222139162344E-2</v>
      </c>
      <c r="K1927" s="1" cm="1">
        <f t="array" ref="K1927">SUMPRODUCT(("Var_Cap"=[2]OUT_TransportEnergyCons!$B$4:$B$10000)*1,("-"=[2]OUT_TransportEnergyCons!$C$4:$C$10000)*1,ISNUMBER(SEARCH("T_C*ICE*GSL*s1",[2]OUT_TransportEnergyCons!$A$4:$A$10000))*1,[2]OUT_TransportEnergyCons!I$4:I$10000)</f>
        <v>7.8113754836855601E-3</v>
      </c>
      <c r="L1927" s="1" cm="1">
        <f t="array" ref="L1927">SUMPRODUCT(("Var_Cap"=[2]OUT_TransportEnergyCons!$B$4:$B$10000)*1,("-"=[2]OUT_TransportEnergyCons!$C$4:$C$10000)*1,ISNUMBER(SEARCH("T_C*ICE*GSL*s1",[2]OUT_TransportEnergyCons!$A$4:$A$10000))*1,[2]OUT_TransportEnergyCons!J$4:J$10000)</f>
        <v>0</v>
      </c>
      <c r="N1927" s="1"/>
    </row>
    <row r="1928" spans="2:14" x14ac:dyDescent="0.35">
      <c r="B1928" s="5" t="str">
        <f t="shared" si="2022"/>
        <v>SPS1</v>
      </c>
      <c r="C1928" s="5" t="str">
        <f t="shared" si="2023"/>
        <v>CH</v>
      </c>
      <c r="D1928" t="s">
        <v>1945</v>
      </c>
      <c r="E1928" t="str">
        <f t="shared" si="2024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0.21737650387413221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0.24394087849292206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0.27028948245918288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0.21645220881217433</v>
      </c>
      <c r="J1928" s="1" cm="1">
        <f t="array" ref="J1928">SUMPRODUCT(("Var_Cap"=[2]OUT_TransportEnergyCons!$B$4:$B$10000)*1,("-"=[2]OUT_TransportEnergyCons!$C$4:$C$10000)*1,ISNUMBER(SEARCH("T_C*ICE*GSL*s2",[2]OUT_TransportEnergyCons!$A$4:$A$10000))*1,[2]OUT_TransportEnergyCons!H$4:H$10000)</f>
        <v>3.5048562506028696E-2</v>
      </c>
      <c r="K1928" s="1" cm="1">
        <f t="array" ref="K1928">SUMPRODUCT(("Var_Cap"=[2]OUT_TransportEnergyCons!$B$4:$B$10000)*1,("-"=[2]OUT_TransportEnergyCons!$C$4:$C$10000)*1,ISNUMBER(SEARCH("T_C*ICE*GSL*s2",[2]OUT_TransportEnergyCons!$A$4:$A$10000))*1,[2]OUT_TransportEnergyCons!I$4:I$10000)</f>
        <v>3.3532630194542802E-3</v>
      </c>
      <c r="L1928" s="1" cm="1">
        <f t="array" ref="L1928">SUMPRODUCT(("Var_Cap"=[2]OUT_TransportEnergyCons!$B$4:$B$10000)*1,("-"=[2]OUT_TransportEnergyCons!$C$4:$C$10000)*1,ISNUMBER(SEARCH("T_C*ICE*GSL*s2",[2]OUT_TransportEnergyCons!$A$4:$A$10000))*1,[2]OUT_TransportEnergyCons!J$4:J$10000)</f>
        <v>0</v>
      </c>
      <c r="N1928" s="1"/>
    </row>
    <row r="1929" spans="2:14" x14ac:dyDescent="0.35">
      <c r="B1929" s="5" t="str">
        <f t="shared" si="2022"/>
        <v>SPS1</v>
      </c>
      <c r="C1929" s="5" t="str">
        <f t="shared" si="2023"/>
        <v>CH</v>
      </c>
      <c r="D1929" t="s">
        <v>1946</v>
      </c>
      <c r="E1929" t="str">
        <f t="shared" si="2024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0.18196604051142468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0.20461391320185032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0.20794063429645313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0.16948670125419235</v>
      </c>
      <c r="J1929" s="1" cm="1">
        <f t="array" ref="J1929">SUMPRODUCT(("Var_Cap"=[2]OUT_TransportEnergyCons!$B$4:$B$10000)*1,("-"=[2]OUT_TransportEnergyCons!$C$4:$C$10000)*1,ISNUMBER(SEARCH("T_C*ICE*GSL*s3",[2]OUT_TransportEnergyCons!$A$4:$A$10000))*1,[2]OUT_TransportEnergyCons!H$4:H$10000)</f>
        <v>3.2579270145414674E-2</v>
      </c>
      <c r="K1929" s="1" cm="1">
        <f t="array" ref="K1929">SUMPRODUCT(("Var_Cap"=[2]OUT_TransportEnergyCons!$B$4:$B$10000)*1,("-"=[2]OUT_TransportEnergyCons!$C$4:$C$10000)*1,ISNUMBER(SEARCH("T_C*ICE*GSL*s3",[2]OUT_TransportEnergyCons!$A$4:$A$10000))*1,[2]OUT_TransportEnergyCons!I$4:I$10000)</f>
        <v>3.1602106663845336E-3</v>
      </c>
      <c r="L1929" s="1" cm="1">
        <f t="array" ref="L1929">SUMPRODUCT(("Var_Cap"=[2]OUT_TransportEnergyCons!$B$4:$B$10000)*1,("-"=[2]OUT_TransportEnergyCons!$C$4:$C$10000)*1,ISNUMBER(SEARCH("T_C*ICE*GSL*s3",[2]OUT_TransportEnergyCons!$A$4:$A$10000))*1,[2]OUT_TransportEnergyCons!J$4:J$10000)</f>
        <v>0</v>
      </c>
      <c r="N1929" s="1"/>
    </row>
    <row r="1930" spans="2:14" x14ac:dyDescent="0.35">
      <c r="B1930" s="5" t="str">
        <f t="shared" si="2022"/>
        <v>SPS1</v>
      </c>
      <c r="C1930" s="5" t="str">
        <f t="shared" si="2023"/>
        <v>CH</v>
      </c>
      <c r="D1930" t="s">
        <v>1947</v>
      </c>
      <c r="E1930" t="str">
        <f t="shared" si="2024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0.15702371703118254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0.17991997422044659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0.34617237452715471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0.29127573113345617</v>
      </c>
      <c r="J1930" s="1" cm="1">
        <f t="array" ref="J1930">SUMPRODUCT(("Var_Cap"=[2]OUT_TransportEnergyCons!$B$4:$B$10000)*1,("-"=[2]OUT_TransportEnergyCons!$C$4:$C$10000)*1,ISNUMBER(SEARCH("T_C*ICE*GSL*s4",[2]OUT_TransportEnergyCons!$A$4:$A$10000))*1,[2]OUT_TransportEnergyCons!H$4:H$10000)</f>
        <v>9.3672663418864266E-2</v>
      </c>
      <c r="K1930" s="1" cm="1">
        <f t="array" ref="K1930">SUMPRODUCT(("Var_Cap"=[2]OUT_TransportEnergyCons!$B$4:$B$10000)*1,("-"=[2]OUT_TransportEnergyCons!$C$4:$C$10000)*1,ISNUMBER(SEARCH("T_C*ICE*GSL*s4",[2]OUT_TransportEnergyCons!$A$4:$A$10000))*1,[2]OUT_TransportEnergyCons!I$4:I$10000)</f>
        <v>1.1460910526173703E-2</v>
      </c>
      <c r="L1930" s="1" cm="1">
        <f t="array" ref="L1930">SUMPRODUCT(("Var_Cap"=[2]OUT_TransportEnergyCons!$B$4:$B$10000)*1,("-"=[2]OUT_TransportEnergyCons!$C$4:$C$10000)*1,ISNUMBER(SEARCH("T_C*ICE*GSL*s4",[2]OUT_TransportEnergyCons!$A$4:$A$10000))*1,[2]OUT_TransportEnergyCons!J$4:J$10000)</f>
        <v>0</v>
      </c>
      <c r="N1930" s="1"/>
    </row>
    <row r="1931" spans="2:14" x14ac:dyDescent="0.35">
      <c r="B1931" s="5" t="str">
        <f t="shared" si="2022"/>
        <v>SPS1</v>
      </c>
      <c r="C1931" s="5" t="str">
        <f t="shared" si="2023"/>
        <v>CH</v>
      </c>
      <c r="D1931" t="s">
        <v>1948</v>
      </c>
      <c r="E1931" t="str">
        <f t="shared" si="2024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3.1437036483584802E-4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7.8336918597091696E-4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1.10480659379235E-3</v>
      </c>
      <c r="J1931" s="1" cm="1">
        <f t="array" ref="J1931">SUMPRODUCT(("Var_Cap"=[2]OUT_TransportEnergyCons!$B$4:$B$10000)*1,("-"=[2]OUT_TransportEnergyCons!$C$4:$C$10000)*1,ISNUMBER(SEARCH("T_C*mhy*GSL*s1",[2]OUT_TransportEnergyCons!$A$4:$A$10000))*1,[2]OUT_TransportEnergyCons!H$4:H$10000)</f>
        <v>3.5884907396694598E-5</v>
      </c>
      <c r="K1931" s="1" cm="1">
        <f t="array" ref="K1931">SUMPRODUCT(("Var_Cap"=[2]OUT_TransportEnergyCons!$B$4:$B$10000)*1,("-"=[2]OUT_TransportEnergyCons!$C$4:$C$10000)*1,ISNUMBER(SEARCH("T_C*mhy*GSL*s1",[2]OUT_TransportEnergyCons!$A$4:$A$10000))*1,[2]OUT_TransportEnergyCons!I$4:I$10000)</f>
        <v>1.10524345872905E-5</v>
      </c>
      <c r="L1931" s="1" cm="1">
        <f t="array" ref="L1931">SUMPRODUCT(("Var_Cap"=[2]OUT_TransportEnergyCons!$B$4:$B$10000)*1,("-"=[2]OUT_TransportEnergyCons!$C$4:$C$10000)*1,ISNUMBER(SEARCH("T_C*mhy*GSL*s1",[2]OUT_TransportEnergyCons!$A$4:$A$10000))*1,[2]OUT_TransportEnergyCons!J$4:J$10000)</f>
        <v>0</v>
      </c>
      <c r="N1931" s="1"/>
    </row>
    <row r="1932" spans="2:14" x14ac:dyDescent="0.35">
      <c r="B1932" s="5" t="str">
        <f t="shared" si="2022"/>
        <v>SPS1</v>
      </c>
      <c r="C1932" s="5" t="str">
        <f t="shared" si="2023"/>
        <v>CH</v>
      </c>
      <c r="D1932" t="s">
        <v>1949</v>
      </c>
      <c r="E1932" t="str">
        <f t="shared" si="2024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1.6093117902288501E-4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5.1276785596746002E-4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6.6998433071625602E-4</v>
      </c>
      <c r="J1932" s="1" cm="1">
        <f t="array" ref="J1932">SUMPRODUCT(("Var_Cap"=[2]OUT_TransportEnergyCons!$B$4:$B$10000)*1,("-"=[2]OUT_TransportEnergyCons!$C$4:$C$10000)*1,ISNUMBER(SEARCH("T_C*mhy*GSL*s2",[2]OUT_TransportEnergyCons!$A$4:$A$10000))*1,[2]OUT_TransportEnergyCons!H$4:H$10000)</f>
        <v>1.7906911381587001E-5</v>
      </c>
      <c r="K1932" s="1" cm="1">
        <f t="array" ref="K1932">SUMPRODUCT(("Var_Cap"=[2]OUT_TransportEnergyCons!$B$4:$B$10000)*1,("-"=[2]OUT_TransportEnergyCons!$C$4:$C$10000)*1,ISNUMBER(SEARCH("T_C*mhy*GSL*s2",[2]OUT_TransportEnergyCons!$A$4:$A$10000))*1,[2]OUT_TransportEnergyCons!I$4:I$10000)</f>
        <v>4.9786755806760604E-6</v>
      </c>
      <c r="L1932" s="1" cm="1">
        <f t="array" ref="L1932">SUMPRODUCT(("Var_Cap"=[2]OUT_TransportEnergyCons!$B$4:$B$10000)*1,("-"=[2]OUT_TransportEnergyCons!$C$4:$C$10000)*1,ISNUMBER(SEARCH("T_C*mhy*GSL*s2",[2]OUT_TransportEnergyCons!$A$4:$A$10000))*1,[2]OUT_TransportEnergyCons!J$4:J$10000)</f>
        <v>0</v>
      </c>
      <c r="N1932" s="1"/>
    </row>
    <row r="1933" spans="2:14" x14ac:dyDescent="0.35">
      <c r="B1933" s="5" t="str">
        <f t="shared" si="2022"/>
        <v>SPS1</v>
      </c>
      <c r="C1933" s="5" t="str">
        <f t="shared" si="2023"/>
        <v>CH</v>
      </c>
      <c r="D1933" t="s">
        <v>1950</v>
      </c>
      <c r="E1933" t="str">
        <f t="shared" si="2024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1.75244981242855E-4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4.9172988840748397E-4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6.0442619453453901E-4</v>
      </c>
      <c r="J1933" s="1" cm="1">
        <f t="array" ref="J1933">SUMPRODUCT(("Var_Cap"=[2]OUT_TransportEnergyCons!$B$4:$B$10000)*1,("-"=[2]OUT_TransportEnergyCons!$C$4:$C$10000)*1,ISNUMBER(SEARCH("T_C*mhy*GSL*s3",[2]OUT_TransportEnergyCons!$A$4:$A$10000))*1,[2]OUT_TransportEnergyCons!H$4:H$10000)</f>
        <v>1.5684379691346998E-5</v>
      </c>
      <c r="K1933" s="1" cm="1">
        <f t="array" ref="K1933">SUMPRODUCT(("Var_Cap"=[2]OUT_TransportEnergyCons!$B$4:$B$10000)*1,("-"=[2]OUT_TransportEnergyCons!$C$4:$C$10000)*1,ISNUMBER(SEARCH("T_C*mhy*GSL*s3",[2]OUT_TransportEnergyCons!$A$4:$A$10000))*1,[2]OUT_TransportEnergyCons!I$4:I$10000)</f>
        <v>4.0617464647938499E-6</v>
      </c>
      <c r="L1933" s="1" cm="1">
        <f t="array" ref="L1933">SUMPRODUCT(("Var_Cap"=[2]OUT_TransportEnergyCons!$B$4:$B$10000)*1,("-"=[2]OUT_TransportEnergyCons!$C$4:$C$10000)*1,ISNUMBER(SEARCH("T_C*mhy*GSL*s3",[2]OUT_TransportEnergyCons!$A$4:$A$10000))*1,[2]OUT_TransportEnergyCons!J$4:J$10000)</f>
        <v>0</v>
      </c>
      <c r="N1933" s="1"/>
    </row>
    <row r="1934" spans="2:14" x14ac:dyDescent="0.35">
      <c r="B1934" s="5" t="str">
        <f t="shared" si="2022"/>
        <v>SPS1</v>
      </c>
      <c r="C1934" s="5" t="str">
        <f t="shared" si="2023"/>
        <v>CH</v>
      </c>
      <c r="D1934" t="s">
        <v>1951</v>
      </c>
      <c r="E1934" t="str">
        <f t="shared" si="2024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2.38716207620712E-4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7.2340774290020795E-4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8.7233148999211303E-4</v>
      </c>
      <c r="J1934" s="1" cm="1">
        <f t="array" ref="J1934">SUMPRODUCT(("Var_Cap"=[2]OUT_TransportEnergyCons!$B$4:$B$10000)*1,("-"=[2]OUT_TransportEnergyCons!$C$4:$C$10000)*1,ISNUMBER(SEARCH("T_C*mhy*GSL*s4",[2]OUT_TransportEnergyCons!$A$4:$A$10000))*1,[2]OUT_TransportEnergyCons!H$4:H$10000)</f>
        <v>2.24625688474068E-5</v>
      </c>
      <c r="K1934" s="1" cm="1">
        <f t="array" ref="K1934">SUMPRODUCT(("Var_Cap"=[2]OUT_TransportEnergyCons!$B$4:$B$10000)*1,("-"=[2]OUT_TransportEnergyCons!$C$4:$C$10000)*1,ISNUMBER(SEARCH("T_C*mhy*GSL*s4",[2]OUT_TransportEnergyCons!$A$4:$A$10000))*1,[2]OUT_TransportEnergyCons!I$4:I$10000)</f>
        <v>5.7567174036994502E-6</v>
      </c>
      <c r="L1934" s="1" cm="1">
        <f t="array" ref="L1934">SUMPRODUCT(("Var_Cap"=[2]OUT_TransportEnergyCons!$B$4:$B$10000)*1,("-"=[2]OUT_TransportEnergyCons!$C$4:$C$10000)*1,ISNUMBER(SEARCH("T_C*mhy*GSL*s4",[2]OUT_TransportEnergyCons!$A$4:$A$10000))*1,[2]OUT_TransportEnergyCons!J$4:J$10000)</f>
        <v>0</v>
      </c>
      <c r="N1934" s="1"/>
    </row>
    <row r="1935" spans="2:14" x14ac:dyDescent="0.35">
      <c r="B1935" s="5" t="str">
        <f t="shared" si="2022"/>
        <v>SPS1</v>
      </c>
      <c r="C1935" s="5" t="str">
        <f t="shared" si="2023"/>
        <v>CH</v>
      </c>
      <c r="D1935" t="s">
        <v>1952</v>
      </c>
      <c r="E1935" t="str">
        <f t="shared" si="2024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SUMPRODUCT(("Var_Cap"=[2]OUT_TransportEnergyCons!$B$4:$B$10000)*1,("-"=[2]OUT_TransportEnergyCons!$C$4:$C$10000)*1,ISNUMBER(SEARCH("T_C*hy*dsl*ext",[2]OUT_TransportEnergyCons!$A$4:$A$10000))*1,[2]OUT_TransportEnergyCons!H$4:H$10000)</f>
        <v>0</v>
      </c>
      <c r="K1935" s="1" cm="1">
        <f t="array" ref="K1935">SUMPRODUCT(("Var_Cap"=[2]OUT_TransportEnergyCons!$B$4:$B$10000)*1,("-"=[2]OUT_TransportEnergyCons!$C$4:$C$10000)*1,ISNUMBER(SEARCH("T_C*hy*dsl*ext",[2]OUT_TransportEnergyCons!$A$4:$A$10000))*1,[2]OUT_TransportEnergyCons!I$4:I$10000)</f>
        <v>0</v>
      </c>
      <c r="L1935" s="1" cm="1">
        <f t="array" ref="L1935">SUMPRODUCT(("Var_Cap"=[2]OUT_TransportEnergyCons!$B$4:$B$10000)*1,("-"=[2]OUT_TransportEnergyCons!$C$4:$C$10000)*1,ISNUMBER(SEARCH("T_C*hy*dsl*ext",[2]OUT_TransportEnergyCons!$A$4:$A$10000))*1,[2]OUT_TransportEnergyCons!J$4:J$10000)</f>
        <v>0</v>
      </c>
      <c r="N1935" s="1"/>
    </row>
    <row r="1936" spans="2:14" x14ac:dyDescent="0.35">
      <c r="B1936" s="5" t="str">
        <f t="shared" si="2022"/>
        <v>SPS1</v>
      </c>
      <c r="C1936" s="5" t="str">
        <f t="shared" si="2023"/>
        <v>CH</v>
      </c>
      <c r="D1936" t="s">
        <v>1953</v>
      </c>
      <c r="E1936" t="str">
        <f t="shared" si="2024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1.5868161048817774E-6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2.0749397836406398E-2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2.1049467206396975E-2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1.7792111926739011E-2</v>
      </c>
      <c r="J1936" s="1" cm="1">
        <f t="array" ref="J1936">SUMPRODUCT(("Var_Cap"=[2]OUT_TransportEnergyCons!$B$4:$B$10000)*1,("-"=[2]OUT_TransportEnergyCons!$C$4:$C$10000)*1,ISNUMBER(SEARCH("T_C*hy*dsl*s1",[2]OUT_TransportEnergyCons!$A$4:$A$10000))*1,[2]OUT_TransportEnergyCons!H$4:H$10000)</f>
        <v>8.0447394050796647E-3</v>
      </c>
      <c r="K1936" s="1" cm="1">
        <f t="array" ref="K1936">SUMPRODUCT(("Var_Cap"=[2]OUT_TransportEnergyCons!$B$4:$B$10000)*1,("-"=[2]OUT_TransportEnergyCons!$C$4:$C$10000)*1,ISNUMBER(SEARCH("T_C*hy*dsl*s1",[2]OUT_TransportEnergyCons!$A$4:$A$10000))*1,[2]OUT_TransportEnergyCons!I$4:I$10000)</f>
        <v>2.1580047013621041E-5</v>
      </c>
      <c r="L1936" s="1" cm="1">
        <f t="array" ref="L1936">SUMPRODUCT(("Var_Cap"=[2]OUT_TransportEnergyCons!$B$4:$B$10000)*1,("-"=[2]OUT_TransportEnergyCons!$C$4:$C$10000)*1,ISNUMBER(SEARCH("T_C*hy*dsl*s1",[2]OUT_TransportEnergyCons!$A$4:$A$10000))*1,[2]OUT_TransportEnergyCons!J$4:J$10000)</f>
        <v>0</v>
      </c>
      <c r="N1936" s="1"/>
    </row>
    <row r="1937" spans="2:14" x14ac:dyDescent="0.35">
      <c r="B1937" s="5" t="str">
        <f t="shared" si="2022"/>
        <v>SPS1</v>
      </c>
      <c r="C1937" s="5" t="str">
        <f t="shared" si="2023"/>
        <v>CH</v>
      </c>
      <c r="D1937" t="s">
        <v>1954</v>
      </c>
      <c r="E1937" t="str">
        <f t="shared" si="2024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2.5959187828813481E-4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0.11096724214448449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0.22000221734218892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0.18585853412121145</v>
      </c>
      <c r="J1937" s="1" cm="1">
        <f t="array" ref="J1937">SUMPRODUCT(("Var_Cap"=[2]OUT_TransportEnergyCons!$B$4:$B$10000)*1,("-"=[2]OUT_TransportEnergyCons!$C$4:$C$10000)*1,ISNUMBER(SEARCH("T_C*hy*dsl*s2",[2]OUT_TransportEnergyCons!$A$4:$A$10000))*1,[2]OUT_TransportEnergyCons!H$4:H$10000)</f>
        <v>9.7149729252107742E-2</v>
      </c>
      <c r="K1937" s="1" cm="1">
        <f t="array" ref="K1937">SUMPRODUCT(("Var_Cap"=[2]OUT_TransportEnergyCons!$B$4:$B$10000)*1,("-"=[2]OUT_TransportEnergyCons!$C$4:$C$10000)*1,ISNUMBER(SEARCH("T_C*hy*dsl*s2",[2]OUT_TransportEnergyCons!$A$4:$A$10000))*1,[2]OUT_TransportEnergyCons!I$4:I$10000)</f>
        <v>8.7727603906224989E-3</v>
      </c>
      <c r="L1937" s="1" cm="1">
        <f t="array" ref="L1937">SUMPRODUCT(("Var_Cap"=[2]OUT_TransportEnergyCons!$B$4:$B$10000)*1,("-"=[2]OUT_TransportEnergyCons!$C$4:$C$10000)*1,ISNUMBER(SEARCH("T_C*hy*dsl*s2",[2]OUT_TransportEnergyCons!$A$4:$A$10000))*1,[2]OUT_TransportEnergyCons!J$4:J$10000)</f>
        <v>0</v>
      </c>
      <c r="N1937" s="1"/>
    </row>
    <row r="1938" spans="2:14" x14ac:dyDescent="0.35">
      <c r="B1938" s="5" t="str">
        <f t="shared" si="2022"/>
        <v>SPS1</v>
      </c>
      <c r="C1938" s="5" t="str">
        <f t="shared" si="2023"/>
        <v>CH</v>
      </c>
      <c r="D1938" t="s">
        <v>1955</v>
      </c>
      <c r="E1938" t="str">
        <f t="shared" si="2024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1.8547760842216104E-3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5.1278157685974582E-3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5.6753049076309139E-3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4.8651450463116025E-3</v>
      </c>
      <c r="J1938" s="1" cm="1">
        <f t="array" ref="J1938">SUMPRODUCT(("Var_Cap"=[2]OUT_TransportEnergyCons!$B$4:$B$10000)*1,("-"=[2]OUT_TransportEnergyCons!$C$4:$C$10000)*1,ISNUMBER(SEARCH("T_C*hy*dsl*s3",[2]OUT_TransportEnergyCons!$A$4:$A$10000))*1,[2]OUT_TransportEnergyCons!H$4:H$10000)</f>
        <v>6.5461739771221681E-4</v>
      </c>
      <c r="K1938" s="1" cm="1">
        <f t="array" ref="K1938">SUMPRODUCT(("Var_Cap"=[2]OUT_TransportEnergyCons!$B$4:$B$10000)*1,("-"=[2]OUT_TransportEnergyCons!$C$4:$C$10000)*1,ISNUMBER(SEARCH("T_C*hy*dsl*s3",[2]OUT_TransportEnergyCons!$A$4:$A$10000))*1,[2]OUT_TransportEnergyCons!I$4:I$10000)</f>
        <v>7.5111654645669118E-6</v>
      </c>
      <c r="L1938" s="1" cm="1">
        <f t="array" ref="L1938">SUMPRODUCT(("Var_Cap"=[2]OUT_TransportEnergyCons!$B$4:$B$10000)*1,("-"=[2]OUT_TransportEnergyCons!$C$4:$C$10000)*1,ISNUMBER(SEARCH("T_C*hy*dsl*s3",[2]OUT_TransportEnergyCons!$A$4:$A$10000))*1,[2]OUT_TransportEnergyCons!J$4:J$10000)</f>
        <v>0</v>
      </c>
      <c r="N1938" s="1"/>
    </row>
    <row r="1939" spans="2:14" x14ac:dyDescent="0.35">
      <c r="B1939" s="5" t="str">
        <f t="shared" si="2022"/>
        <v>SPS1</v>
      </c>
      <c r="C1939" s="5" t="str">
        <f t="shared" si="2023"/>
        <v>CH</v>
      </c>
      <c r="D1939" t="s">
        <v>1956</v>
      </c>
      <c r="E1939" t="str">
        <f t="shared" si="2024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3.7723079663037453E-3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1.0840238870749226E-2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1.1240903188961275E-2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9.6812722969768523E-3</v>
      </c>
      <c r="J1939" s="1" cm="1">
        <f t="array" ref="J1939">SUMPRODUCT(("Var_Cap"=[2]OUT_TransportEnergyCons!$B$4:$B$10000)*1,("-"=[2]OUT_TransportEnergyCons!$C$4:$C$10000)*1,ISNUMBER(SEARCH("T_C*hy*dsl*s4",[2]OUT_TransportEnergyCons!$A$4:$A$10000))*1,[2]OUT_TransportEnergyCons!H$4:H$10000)</f>
        <v>1.5820415229305012E-3</v>
      </c>
      <c r="K1939" s="1" cm="1">
        <f t="array" ref="K1939">SUMPRODUCT(("Var_Cap"=[2]OUT_TransportEnergyCons!$B$4:$B$10000)*1,("-"=[2]OUT_TransportEnergyCons!$C$4:$C$10000)*1,ISNUMBER(SEARCH("T_C*hy*dsl*s4",[2]OUT_TransportEnergyCons!$A$4:$A$10000))*1,[2]OUT_TransportEnergyCons!I$4:I$10000)</f>
        <v>7.8809141799953849E-6</v>
      </c>
      <c r="L1939" s="1" cm="1">
        <f t="array" ref="L1939">SUMPRODUCT(("Var_Cap"=[2]OUT_TransportEnergyCons!$B$4:$B$10000)*1,("-"=[2]OUT_TransportEnergyCons!$C$4:$C$10000)*1,ISNUMBER(SEARCH("T_C*hy*dsl*s4",[2]OUT_TransportEnergyCons!$A$4:$A$10000))*1,[2]OUT_TransportEnergyCons!J$4:J$10000)</f>
        <v>0</v>
      </c>
      <c r="N1939" s="1"/>
    </row>
    <row r="1940" spans="2:14" x14ac:dyDescent="0.35">
      <c r="B1940" s="5" t="str">
        <f t="shared" si="2022"/>
        <v>SPS1</v>
      </c>
      <c r="C1940" s="5" t="str">
        <f t="shared" si="2023"/>
        <v>CH</v>
      </c>
      <c r="D1940" t="s">
        <v>1957</v>
      </c>
      <c r="E1940" t="str">
        <f t="shared" si="2024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1.059558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0.70636159731272663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0.35318452728045824</v>
      </c>
      <c r="J1940" s="1" cm="1">
        <f t="array" ref="J1940">SUMPRODUCT(("Var_Cap"=[2]OUT_TransportEnergyCons!$B$4:$B$10000)*1,("-"=[2]OUT_TransportEnergyCons!$C$4:$C$10000)*1,ISNUMBER(SEARCH("T_C*ICE*dsl*ext",[2]OUT_TransportEnergyCons!$A$4:$A$10000))*1,[2]OUT_TransportEnergyCons!H$4:H$10000)</f>
        <v>0</v>
      </c>
      <c r="K1940" s="1" cm="1">
        <f t="array" ref="K1940">SUMPRODUCT(("Var_Cap"=[2]OUT_TransportEnergyCons!$B$4:$B$10000)*1,("-"=[2]OUT_TransportEnergyCons!$C$4:$C$10000)*1,ISNUMBER(SEARCH("T_C*ICE*dsl*ext",[2]OUT_TransportEnergyCons!$A$4:$A$10000))*1,[2]OUT_TransportEnergyCons!I$4:I$10000)</f>
        <v>0</v>
      </c>
      <c r="L1940" s="1" cm="1">
        <f t="array" ref="L1940">SUMPRODUCT(("Var_Cap"=[2]OUT_TransportEnergyCons!$B$4:$B$10000)*1,("-"=[2]OUT_TransportEnergyCons!$C$4:$C$10000)*1,ISNUMBER(SEARCH("T_C*ICE*dsl*ext",[2]OUT_TransportEnergyCons!$A$4:$A$10000))*1,[2]OUT_TransportEnergyCons!J$4:J$10000)</f>
        <v>0</v>
      </c>
      <c r="N1940" s="1"/>
    </row>
    <row r="1941" spans="2:14" x14ac:dyDescent="0.35">
      <c r="B1941" s="5" t="str">
        <f t="shared" si="2022"/>
        <v>SPS1</v>
      </c>
      <c r="C1941" s="5" t="str">
        <f t="shared" si="2023"/>
        <v>CH</v>
      </c>
      <c r="D1941" t="s">
        <v>1958</v>
      </c>
      <c r="E1941" t="str">
        <f t="shared" si="2024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4.4434453544773254E-4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1.8238228472858974E-3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2.6315798173359717E-3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2.4293511691288305E-3</v>
      </c>
      <c r="J1941" s="1" cm="1">
        <f t="array" ref="J1941">SUMPRODUCT(("Var_Cap"=[2]OUT_TransportEnergyCons!$B$4:$B$10000)*1,("-"=[2]OUT_TransportEnergyCons!$C$4:$C$10000)*1,ISNUMBER(SEARCH("T_C*ICE*dsl*s1",[2]OUT_TransportEnergyCons!$A$4:$A$10000))*1,[2]OUT_TransportEnergyCons!H$4:H$10000)</f>
        <v>7.0009466229589251E-5</v>
      </c>
      <c r="K1941" s="1" cm="1">
        <f t="array" ref="K1941">SUMPRODUCT(("Var_Cap"=[2]OUT_TransportEnergyCons!$B$4:$B$10000)*1,("-"=[2]OUT_TransportEnergyCons!$C$4:$C$10000)*1,ISNUMBER(SEARCH("T_C*ICE*dsl*s1",[2]OUT_TransportEnergyCons!$A$4:$A$10000))*1,[2]OUT_TransportEnergyCons!I$4:I$10000)</f>
        <v>9.4442968421980961E-6</v>
      </c>
      <c r="L1941" s="1" cm="1">
        <f t="array" ref="L1941">SUMPRODUCT(("Var_Cap"=[2]OUT_TransportEnergyCons!$B$4:$B$10000)*1,("-"=[2]OUT_TransportEnergyCons!$C$4:$C$10000)*1,ISNUMBER(SEARCH("T_C*ICE*dsl*s1",[2]OUT_TransportEnergyCons!$A$4:$A$10000))*1,[2]OUT_TransportEnergyCons!J$4:J$10000)</f>
        <v>0</v>
      </c>
      <c r="N1941" s="1"/>
    </row>
    <row r="1942" spans="2:14" x14ac:dyDescent="0.35">
      <c r="B1942" s="5" t="str">
        <f t="shared" si="2022"/>
        <v>SPS1</v>
      </c>
      <c r="C1942" s="5" t="str">
        <f t="shared" si="2023"/>
        <v>CH</v>
      </c>
      <c r="D1942" t="s">
        <v>1959</v>
      </c>
      <c r="E1942" t="str">
        <f t="shared" si="2024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6.4554974894972653E-2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6.8857431230479146E-2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6.8749746811901741E-2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5.2355343712743363E-2</v>
      </c>
      <c r="J1942" s="1" cm="1">
        <f t="array" ref="J1942">SUMPRODUCT(("Var_Cap"=[2]OUT_TransportEnergyCons!$B$4:$B$10000)*1,("-"=[2]OUT_TransportEnergyCons!$C$4:$C$10000)*1,ISNUMBER(SEARCH("T_C*ICE*dsl*s2",[2]OUT_TransportEnergyCons!$A$4:$A$10000))*1,[2]OUT_TransportEnergyCons!H$4:H$10000)</f>
        <v>1.7887409729613424E-3</v>
      </c>
      <c r="K1942" s="1" cm="1">
        <f t="array" ref="K1942">SUMPRODUCT(("Var_Cap"=[2]OUT_TransportEnergyCons!$B$4:$B$10000)*1,("-"=[2]OUT_TransportEnergyCons!$C$4:$C$10000)*1,ISNUMBER(SEARCH("T_C*ICE*dsl*s2",[2]OUT_TransportEnergyCons!$A$4:$A$10000))*1,[2]OUT_TransportEnergyCons!I$4:I$10000)</f>
        <v>4.4580854589878218E-6</v>
      </c>
      <c r="L1942" s="1" cm="1">
        <f t="array" ref="L1942">SUMPRODUCT(("Var_Cap"=[2]OUT_TransportEnergyCons!$B$4:$B$10000)*1,("-"=[2]OUT_TransportEnergyCons!$C$4:$C$10000)*1,ISNUMBER(SEARCH("T_C*ICE*dsl*s2",[2]OUT_TransportEnergyCons!$A$4:$A$10000))*1,[2]OUT_TransportEnergyCons!J$4:J$10000)</f>
        <v>0</v>
      </c>
      <c r="N1942" s="1"/>
    </row>
    <row r="1943" spans="2:14" x14ac:dyDescent="0.35">
      <c r="B1943" s="5" t="str">
        <f t="shared" si="2022"/>
        <v>SPS1</v>
      </c>
      <c r="C1943" s="5" t="str">
        <f t="shared" si="2023"/>
        <v>CH</v>
      </c>
      <c r="D1943" t="s">
        <v>1960</v>
      </c>
      <c r="E1943" t="str">
        <f t="shared" si="2024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0.1832273960318711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0.19531384666076756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0.19363509322040501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0.1506125832853325</v>
      </c>
      <c r="J1943" s="1" cm="1">
        <f t="array" ref="J1943">SUMPRODUCT(("Var_Cap"=[2]OUT_TransportEnergyCons!$B$4:$B$10000)*1,("-"=[2]OUT_TransportEnergyCons!$C$4:$C$10000)*1,ISNUMBER(SEARCH("T_C*ICE*dsl*s3",[2]OUT_TransportEnergyCons!$A$4:$A$10000))*1,[2]OUT_TransportEnergyCons!H$4:H$10000)</f>
        <v>5.6288940858969516E-3</v>
      </c>
      <c r="K1943" s="1" cm="1">
        <f t="array" ref="K1943">SUMPRODUCT(("Var_Cap"=[2]OUT_TransportEnergyCons!$B$4:$B$10000)*1,("-"=[2]OUT_TransportEnergyCons!$C$4:$C$10000)*1,ISNUMBER(SEARCH("T_C*ICE*dsl*s3",[2]OUT_TransportEnergyCons!$A$4:$A$10000))*1,[2]OUT_TransportEnergyCons!I$4:I$10000)</f>
        <v>3.257228631395116E-6</v>
      </c>
      <c r="L1943" s="1" cm="1">
        <f t="array" ref="L1943">SUMPRODUCT(("Var_Cap"=[2]OUT_TransportEnergyCons!$B$4:$B$10000)*1,("-"=[2]OUT_TransportEnergyCons!$C$4:$C$10000)*1,ISNUMBER(SEARCH("T_C*ICE*dsl*s3",[2]OUT_TransportEnergyCons!$A$4:$A$10000))*1,[2]OUT_TransportEnergyCons!J$4:J$10000)</f>
        <v>0</v>
      </c>
      <c r="N1943" s="1"/>
    </row>
    <row r="1944" spans="2:14" x14ac:dyDescent="0.35">
      <c r="B1944" s="5" t="str">
        <f t="shared" si="2022"/>
        <v>SPS1</v>
      </c>
      <c r="C1944" s="5" t="str">
        <f t="shared" si="2023"/>
        <v>CH</v>
      </c>
      <c r="D1944" t="s">
        <v>1961</v>
      </c>
      <c r="E1944" t="str">
        <f t="shared" si="2024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7.1260147372555399E-2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7.9471854687805557E-2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7.8554303440861478E-2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6.1464383763062243E-2</v>
      </c>
      <c r="J1944" s="1" cm="1">
        <f t="array" ref="J1944">SUMPRODUCT(("Var_Cap"=[2]OUT_TransportEnergyCons!$B$4:$B$10000)*1,("-"=[2]OUT_TransportEnergyCons!$C$4:$C$10000)*1,ISNUMBER(SEARCH("T_C*ICE*dsl*s4",[2]OUT_TransportEnergyCons!$A$4:$A$10000))*1,[2]OUT_TransportEnergyCons!H$4:H$10000)</f>
        <v>3.3748154498291949E-3</v>
      </c>
      <c r="K1944" s="1" cm="1">
        <f t="array" ref="K1944">SUMPRODUCT(("Var_Cap"=[2]OUT_TransportEnergyCons!$B$4:$B$10000)*1,("-"=[2]OUT_TransportEnergyCons!$C$4:$C$10000)*1,ISNUMBER(SEARCH("T_C*ICE*dsl*s4",[2]OUT_TransportEnergyCons!$A$4:$A$10000))*1,[2]OUT_TransportEnergyCons!I$4:I$10000)</f>
        <v>2.3964936572514426E-6</v>
      </c>
      <c r="L1944" s="1" cm="1">
        <f t="array" ref="L1944">SUMPRODUCT(("Var_Cap"=[2]OUT_TransportEnergyCons!$B$4:$B$10000)*1,("-"=[2]OUT_TransportEnergyCons!$C$4:$C$10000)*1,ISNUMBER(SEARCH("T_C*ICE*dsl*s4",[2]OUT_TransportEnergyCons!$A$4:$A$10000))*1,[2]OUT_TransportEnergyCons!J$4:J$10000)</f>
        <v>0</v>
      </c>
      <c r="N1944" s="1"/>
    </row>
    <row r="1945" spans="2:14" x14ac:dyDescent="0.35">
      <c r="B1945" s="5" t="str">
        <f t="shared" si="2022"/>
        <v>SPS1</v>
      </c>
      <c r="C1945" s="5" t="str">
        <f t="shared" si="2023"/>
        <v>CH</v>
      </c>
      <c r="D1945" t="s">
        <v>1962</v>
      </c>
      <c r="E1945" t="str">
        <f t="shared" si="2024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2.77435138416105E-4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6.5242338728946196E-4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8.9217492029737804E-4</v>
      </c>
      <c r="J1945" s="1" cm="1">
        <f t="array" ref="J1945">SUMPRODUCT(("Var_Cap"=[2]OUT_TransportEnergyCons!$B$4:$B$10000)*1,("-"=[2]OUT_TransportEnergyCons!$C$4:$C$10000)*1,ISNUMBER(SEARCH("T_C*mhy*dsl*s1",[2]OUT_TransportEnergyCons!$A$4:$A$10000))*1,[2]OUT_TransportEnergyCons!H$4:H$10000)</f>
        <v>2.82378128715721E-5</v>
      </c>
      <c r="K1945" s="1" cm="1">
        <f t="array" ref="K1945">SUMPRODUCT(("Var_Cap"=[2]OUT_TransportEnergyCons!$B$4:$B$10000)*1,("-"=[2]OUT_TransportEnergyCons!$C$4:$C$10000)*1,ISNUMBER(SEARCH("T_C*mhy*dsl*s1",[2]OUT_TransportEnergyCons!$A$4:$A$10000))*1,[2]OUT_TransportEnergyCons!I$4:I$10000)</f>
        <v>8.4519362162188E-6</v>
      </c>
      <c r="L1945" s="1" cm="1">
        <f t="array" ref="L1945">SUMPRODUCT(("Var_Cap"=[2]OUT_TransportEnergyCons!$B$4:$B$10000)*1,("-"=[2]OUT_TransportEnergyCons!$C$4:$C$10000)*1,ISNUMBER(SEARCH("T_C*mhy*dsl*s1",[2]OUT_TransportEnergyCons!$A$4:$A$10000))*1,[2]OUT_TransportEnergyCons!J$4:J$10000)</f>
        <v>0</v>
      </c>
      <c r="N1945" s="1"/>
    </row>
    <row r="1946" spans="2:14" x14ac:dyDescent="0.35">
      <c r="B1946" s="5" t="str">
        <f t="shared" si="2022"/>
        <v>SPS1</v>
      </c>
      <c r="C1946" s="5" t="str">
        <f t="shared" si="2023"/>
        <v>CH</v>
      </c>
      <c r="D1946" t="s">
        <v>1963</v>
      </c>
      <c r="E1946" t="str">
        <f t="shared" si="2024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1.4751489547181899E-4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4.1805575886992699E-4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5.3974750101408995E-4</v>
      </c>
      <c r="J1946" s="1" cm="1">
        <f t="array" ref="J1946">SUMPRODUCT(("Var_Cap"=[2]OUT_TransportEnergyCons!$B$4:$B$10000)*1,("-"=[2]OUT_TransportEnergyCons!$C$4:$C$10000)*1,ISNUMBER(SEARCH("T_C*mhy*dsl*s2",[2]OUT_TransportEnergyCons!$A$4:$A$10000))*1,[2]OUT_TransportEnergyCons!H$4:H$10000)</f>
        <v>1.43277743770911E-5</v>
      </c>
      <c r="K1946" s="1" cm="1">
        <f t="array" ref="K1946">SUMPRODUCT(("Var_Cap"=[2]OUT_TransportEnergyCons!$B$4:$B$10000)*1,("-"=[2]OUT_TransportEnergyCons!$C$4:$C$10000)*1,ISNUMBER(SEARCH("T_C*mhy*dsl*s2",[2]OUT_TransportEnergyCons!$A$4:$A$10000))*1,[2]OUT_TransportEnergyCons!I$4:I$10000)</f>
        <v>3.9540503146651504E-6</v>
      </c>
      <c r="L1946" s="1" cm="1">
        <f t="array" ref="L1946">SUMPRODUCT(("Var_Cap"=[2]OUT_TransportEnergyCons!$B$4:$B$10000)*1,("-"=[2]OUT_TransportEnergyCons!$C$4:$C$10000)*1,ISNUMBER(SEARCH("T_C*mhy*dsl*s2",[2]OUT_TransportEnergyCons!$A$4:$A$10000))*1,[2]OUT_TransportEnergyCons!J$4:J$10000)</f>
        <v>0</v>
      </c>
      <c r="N1946" s="1"/>
    </row>
    <row r="1947" spans="2:14" x14ac:dyDescent="0.35">
      <c r="B1947" s="5" t="str">
        <f t="shared" si="2022"/>
        <v>SPS1</v>
      </c>
      <c r="C1947" s="5" t="str">
        <f t="shared" si="2023"/>
        <v>CH</v>
      </c>
      <c r="D1947" t="s">
        <v>1964</v>
      </c>
      <c r="E1947" t="str">
        <f t="shared" si="2024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1.54427882487099E-4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3.89562575957813E-4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4.7580632677896202E-4</v>
      </c>
      <c r="J1947" s="1" cm="1">
        <f t="array" ref="J1947">SUMPRODUCT(("Var_Cap"=[2]OUT_TransportEnergyCons!$B$4:$B$10000)*1,("-"=[2]OUT_TransportEnergyCons!$C$4:$C$10000)*1,ISNUMBER(SEARCH("T_C*mhy*dsl*s3",[2]OUT_TransportEnergyCons!$A$4:$A$10000))*1,[2]OUT_TransportEnergyCons!H$4:H$10000)</f>
        <v>1.2155762632375001E-5</v>
      </c>
      <c r="K1947" s="1" cm="1">
        <f t="array" ref="K1947">SUMPRODUCT(("Var_Cap"=[2]OUT_TransportEnergyCons!$B$4:$B$10000)*1,("-"=[2]OUT_TransportEnergyCons!$C$4:$C$10000)*1,ISNUMBER(SEARCH("T_C*mhy*dsl*s3",[2]OUT_TransportEnergyCons!$A$4:$A$10000))*1,[2]OUT_TransportEnergyCons!I$4:I$10000)</f>
        <v>3.15342623379425E-6</v>
      </c>
      <c r="L1947" s="1" cm="1">
        <f t="array" ref="L1947">SUMPRODUCT(("Var_Cap"=[2]OUT_TransportEnergyCons!$B$4:$B$10000)*1,("-"=[2]OUT_TransportEnergyCons!$C$4:$C$10000)*1,ISNUMBER(SEARCH("T_C*mhy*dsl*s3",[2]OUT_TransportEnergyCons!$A$4:$A$10000))*1,[2]OUT_TransportEnergyCons!J$4:J$10000)</f>
        <v>0</v>
      </c>
      <c r="N1947" s="1"/>
    </row>
    <row r="1948" spans="2:14" x14ac:dyDescent="0.35">
      <c r="B1948" s="5" t="str">
        <f t="shared" si="2022"/>
        <v>SPS1</v>
      </c>
      <c r="C1948" s="5" t="str">
        <f t="shared" si="2023"/>
        <v>CH</v>
      </c>
      <c r="D1948" t="s">
        <v>1965</v>
      </c>
      <c r="E1948" t="str">
        <f t="shared" si="2024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1.3320401223752999E-4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3.2410961813973303E-4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4.0324216068371102E-4</v>
      </c>
      <c r="J1948" s="1" cm="1">
        <f t="array" ref="J1948">SUMPRODUCT(("Var_Cap"=[2]OUT_TransportEnergyCons!$B$4:$B$10000)*1,("-"=[2]OUT_TransportEnergyCons!$C$4:$C$10000)*1,ISNUMBER(SEARCH("T_C*mhy*dsl*s4",[2]OUT_TransportEnergyCons!$A$4:$A$10000))*1,[2]OUT_TransportEnergyCons!H$4:H$10000)</f>
        <v>9.8463743841208103E-6</v>
      </c>
      <c r="K1948" s="1" cm="1">
        <f t="array" ref="K1948">SUMPRODUCT(("Var_Cap"=[2]OUT_TransportEnergyCons!$B$4:$B$10000)*1,("-"=[2]OUT_TransportEnergyCons!$C$4:$C$10000)*1,ISNUMBER(SEARCH("T_C*mhy*dsl*s4",[2]OUT_TransportEnergyCons!$A$4:$A$10000))*1,[2]OUT_TransportEnergyCons!I$4:I$10000)</f>
        <v>2.6128467614327901E-6</v>
      </c>
      <c r="L1948" s="1" cm="1">
        <f t="array" ref="L1948">SUMPRODUCT(("Var_Cap"=[2]OUT_TransportEnergyCons!$B$4:$B$10000)*1,("-"=[2]OUT_TransportEnergyCons!$C$4:$C$10000)*1,ISNUMBER(SEARCH("T_C*mhy*dsl*s4",[2]OUT_TransportEnergyCons!$A$4:$A$10000))*1,[2]OUT_TransportEnergyCons!J$4:J$10000)</f>
        <v>0</v>
      </c>
      <c r="N1948" s="1"/>
    </row>
    <row r="1949" spans="2:14" x14ac:dyDescent="0.35">
      <c r="B1949" s="5" t="str">
        <f t="shared" si="2022"/>
        <v>SPS1</v>
      </c>
      <c r="C1949" s="5" t="str">
        <f t="shared" si="2023"/>
        <v>CH</v>
      </c>
      <c r="D1949" t="s">
        <v>1966</v>
      </c>
      <c r="E1949" t="str">
        <f t="shared" si="2024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SUMPRODUCT(("Var_Cap"=[2]OUT_TransportEnergyCons!$B$4:$B$10000)*1,("-"=[2]OUT_TransportEnergyCons!$C$4:$C$10000)*1,ISNUMBER(SEARCH("T_C*ICE*nga*ext",[2]OUT_TransportEnergyCons!$A$4:$A$10000))*1,[2]OUT_TransportEnergyCons!H$4:H$10000)</f>
        <v>0</v>
      </c>
      <c r="K1949" s="1" cm="1">
        <f t="array" ref="K1949">SUMPRODUCT(("Var_Cap"=[2]OUT_TransportEnergyCons!$B$4:$B$10000)*1,("-"=[2]OUT_TransportEnergyCons!$C$4:$C$10000)*1,ISNUMBER(SEARCH("T_C*ICE*nga*ext",[2]OUT_TransportEnergyCons!$A$4:$A$10000))*1,[2]OUT_TransportEnergyCons!I$4:I$10000)</f>
        <v>0</v>
      </c>
      <c r="L1949" s="1" cm="1">
        <f t="array" ref="L1949">SUMPRODUCT(("Var_Cap"=[2]OUT_TransportEnergyCons!$B$4:$B$10000)*1,("-"=[2]OUT_TransportEnergyCons!$C$4:$C$10000)*1,ISNUMBER(SEARCH("T_C*ICE*nga*ext",[2]OUT_TransportEnergyCons!$A$4:$A$10000))*1,[2]OUT_TransportEnergyCons!J$4:J$10000)</f>
        <v>0</v>
      </c>
      <c r="N1949" s="1"/>
    </row>
    <row r="1950" spans="2:14" x14ac:dyDescent="0.35">
      <c r="B1950" s="5" t="str">
        <f t="shared" si="2022"/>
        <v>SPS1</v>
      </c>
      <c r="C1950" s="5" t="str">
        <f t="shared" si="2023"/>
        <v>CH</v>
      </c>
      <c r="D1950" t="s">
        <v>1967</v>
      </c>
      <c r="E1950" t="str">
        <f t="shared" si="2024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2.5616397081194245E-4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2.9042783015163271E-4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3.3952347085270681E-4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2.0029133630795505E-4</v>
      </c>
      <c r="J1950" s="1" cm="1">
        <f t="array" ref="J1950">SUMPRODUCT(("Var_Cap"=[2]OUT_TransportEnergyCons!$B$4:$B$10000)*1,("-"=[2]OUT_TransportEnergyCons!$C$4:$C$10000)*1,ISNUMBER(SEARCH("T_C*ICE*nga*s1",[2]OUT_TransportEnergyCons!$A$4:$A$10000))*1,[2]OUT_TransportEnergyCons!H$4:H$10000)</f>
        <v>3.5193691227350498E-6</v>
      </c>
      <c r="K1950" s="1" cm="1">
        <f t="array" ref="K1950">SUMPRODUCT(("Var_Cap"=[2]OUT_TransportEnergyCons!$B$4:$B$10000)*1,("-"=[2]OUT_TransportEnergyCons!$C$4:$C$10000)*1,ISNUMBER(SEARCH("T_C*ICE*nga*s1",[2]OUT_TransportEnergyCons!$A$4:$A$10000))*1,[2]OUT_TransportEnergyCons!I$4:I$10000)</f>
        <v>3.717219487137824E-7</v>
      </c>
      <c r="L1950" s="1" cm="1">
        <f t="array" ref="L1950">SUMPRODUCT(("Var_Cap"=[2]OUT_TransportEnergyCons!$B$4:$B$10000)*1,("-"=[2]OUT_TransportEnergyCons!$C$4:$C$10000)*1,ISNUMBER(SEARCH("T_C*ICE*nga*s1",[2]OUT_TransportEnergyCons!$A$4:$A$10000))*1,[2]OUT_TransportEnergyCons!J$4:J$10000)</f>
        <v>0</v>
      </c>
      <c r="N1950" s="1"/>
    </row>
    <row r="1951" spans="2:14" x14ac:dyDescent="0.35">
      <c r="B1951" s="5" t="str">
        <f t="shared" si="2022"/>
        <v>SPS1</v>
      </c>
      <c r="C1951" s="5" t="str">
        <f t="shared" si="2023"/>
        <v>CH</v>
      </c>
      <c r="D1951" t="s">
        <v>1968</v>
      </c>
      <c r="E1951" t="str">
        <f t="shared" si="2024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2.6900174830049423E-3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2.6527668725691506E-3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2.6636941312835512E-3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4.8233846230312212E-4</v>
      </c>
      <c r="J1951" s="1" cm="1">
        <f t="array" ref="J1951">SUMPRODUCT(("Var_Cap"=[2]OUT_TransportEnergyCons!$B$4:$B$10000)*1,("-"=[2]OUT_TransportEnergyCons!$C$4:$C$10000)*1,ISNUMBER(SEARCH("T_C*ICE*nga*s2",[2]OUT_TransportEnergyCons!$A$4:$A$10000))*1,[2]OUT_TransportEnergyCons!H$4:H$10000)</f>
        <v>2.3257115980257595E-6</v>
      </c>
      <c r="K1951" s="1" cm="1">
        <f t="array" ref="K1951">SUMPRODUCT(("Var_Cap"=[2]OUT_TransportEnergyCons!$B$4:$B$10000)*1,("-"=[2]OUT_TransportEnergyCons!$C$4:$C$10000)*1,ISNUMBER(SEARCH("T_C*ICE*nga*s2",[2]OUT_TransportEnergyCons!$A$4:$A$10000))*1,[2]OUT_TransportEnergyCons!I$4:I$10000)</f>
        <v>3.1395635160803311E-7</v>
      </c>
      <c r="L1951" s="1" cm="1">
        <f t="array" ref="L1951">SUMPRODUCT(("Var_Cap"=[2]OUT_TransportEnergyCons!$B$4:$B$10000)*1,("-"=[2]OUT_TransportEnergyCons!$C$4:$C$10000)*1,ISNUMBER(SEARCH("T_C*ICE*nga*s2",[2]OUT_TransportEnergyCons!$A$4:$A$10000))*1,[2]OUT_TransportEnergyCons!J$4:J$10000)</f>
        <v>0</v>
      </c>
      <c r="N1951" s="1"/>
    </row>
    <row r="1952" spans="2:14" x14ac:dyDescent="0.35">
      <c r="B1952" s="5" t="str">
        <f t="shared" si="2022"/>
        <v>SPS1</v>
      </c>
      <c r="C1952" s="5" t="str">
        <f t="shared" si="2023"/>
        <v>CH</v>
      </c>
      <c r="D1952" t="s">
        <v>1969</v>
      </c>
      <c r="E1952" t="str">
        <f t="shared" si="2024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1.509914908466808E-4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1.9639819204006779E-4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2.5581643863092321E-4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2.311601671746478E-4</v>
      </c>
      <c r="J1952" s="1" cm="1">
        <f t="array" ref="J1952">SUMPRODUCT(("Var_Cap"=[2]OUT_TransportEnergyCons!$B$4:$B$10000)*1,("-"=[2]OUT_TransportEnergyCons!$C$4:$C$10000)*1,ISNUMBER(SEARCH("T_C*ICE*nga*s3",[2]OUT_TransportEnergyCons!$A$4:$A$10000))*1,[2]OUT_TransportEnergyCons!H$4:H$10000)</f>
        <v>3.8419675883236602E-6</v>
      </c>
      <c r="K1952" s="1" cm="1">
        <f t="array" ref="K1952">SUMPRODUCT(("Var_Cap"=[2]OUT_TransportEnergyCons!$B$4:$B$10000)*1,("-"=[2]OUT_TransportEnergyCons!$C$4:$C$10000)*1,ISNUMBER(SEARCH("T_C*ICE*nga*s3",[2]OUT_TransportEnergyCons!$A$4:$A$10000))*1,[2]OUT_TransportEnergyCons!I$4:I$10000)</f>
        <v>3.230959532264827E-7</v>
      </c>
      <c r="L1952" s="1" cm="1">
        <f t="array" ref="L1952">SUMPRODUCT(("Var_Cap"=[2]OUT_TransportEnergyCons!$B$4:$B$10000)*1,("-"=[2]OUT_TransportEnergyCons!$C$4:$C$10000)*1,ISNUMBER(SEARCH("T_C*ICE*nga*s3",[2]OUT_TransportEnergyCons!$A$4:$A$10000))*1,[2]OUT_TransportEnergyCons!J$4:J$10000)</f>
        <v>0</v>
      </c>
      <c r="N1952" s="1"/>
    </row>
    <row r="1953" spans="2:14" x14ac:dyDescent="0.35">
      <c r="B1953" s="5" t="str">
        <f t="shared" si="2022"/>
        <v>SPS1</v>
      </c>
      <c r="C1953" s="5" t="str">
        <f t="shared" si="2023"/>
        <v>CH</v>
      </c>
      <c r="D1953" t="s">
        <v>1970</v>
      </c>
      <c r="E1953" t="str">
        <f t="shared" si="2024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2.60743625399938E-3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2.570472494382167E-3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2.4542331392227012E-3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2.6048142752979207E-4</v>
      </c>
      <c r="J1953" s="1" cm="1">
        <f t="array" ref="J1953">SUMPRODUCT(("Var_Cap"=[2]OUT_TransportEnergyCons!$B$4:$B$10000)*1,("-"=[2]OUT_TransportEnergyCons!$C$4:$C$10000)*1,ISNUMBER(SEARCH("T_C*ICE*nga*s4",[2]OUT_TransportEnergyCons!$A$4:$A$10000))*1,[2]OUT_TransportEnergyCons!H$4:H$10000)</f>
        <v>2.392935106334637E-6</v>
      </c>
      <c r="K1953" s="1" cm="1">
        <f t="array" ref="K1953">SUMPRODUCT(("Var_Cap"=[2]OUT_TransportEnergyCons!$B$4:$B$10000)*1,("-"=[2]OUT_TransportEnergyCons!$C$4:$C$10000)*1,ISNUMBER(SEARCH("T_C*ICE*nga*s4",[2]OUT_TransportEnergyCons!$A$4:$A$10000))*1,[2]OUT_TransportEnergyCons!I$4:I$10000)</f>
        <v>3.4597106719610372E-7</v>
      </c>
      <c r="L1953" s="1" cm="1">
        <f t="array" ref="L1953">SUMPRODUCT(("Var_Cap"=[2]OUT_TransportEnergyCons!$B$4:$B$10000)*1,("-"=[2]OUT_TransportEnergyCons!$C$4:$C$10000)*1,ISNUMBER(SEARCH("T_C*ICE*nga*s4",[2]OUT_TransportEnergyCons!$A$4:$A$10000))*1,[2]OUT_TransportEnergyCons!J$4:J$10000)</f>
        <v>0</v>
      </c>
      <c r="N1953" s="1"/>
    </row>
    <row r="1954" spans="2:14" x14ac:dyDescent="0.3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5.7232417519768646</v>
      </c>
      <c r="G1954" s="3">
        <f t="shared" ref="G1954:K1954" si="2025">SUM(G1955:G1977)</f>
        <v>5.7481718769810222</v>
      </c>
      <c r="H1954" s="3">
        <f t="shared" si="2025"/>
        <v>5.849782368154119</v>
      </c>
      <c r="I1954" s="3">
        <f t="shared" si="2025"/>
        <v>6.6988246680345673</v>
      </c>
      <c r="J1954" s="3">
        <f t="shared" si="2025"/>
        <v>7.0190076120292524</v>
      </c>
      <c r="K1954" s="3">
        <f t="shared" si="2025"/>
        <v>7.2465045363807308</v>
      </c>
      <c r="L1954" s="3">
        <f t="shared" ref="L1954" si="2026">SUM(L1955:L1977)</f>
        <v>7.7138811216965992</v>
      </c>
      <c r="N1954" s="1"/>
    </row>
    <row r="1955" spans="2:14" x14ac:dyDescent="0.35">
      <c r="B1955" s="5" t="str">
        <f t="shared" ref="B1955:B1977" si="2027">B1954</f>
        <v>SPS1</v>
      </c>
      <c r="C1955" s="5" t="str">
        <f t="shared" ref="C1955:C1977" si="2028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3.7789555006180503E-2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1.8858695085942664E-2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(SUMPRODUCT(("Var_Cap"=[2]OUT_TransportEnergyCons!$B$4:$B$10000)*1,ISNUMBER(SEARCH("T_B_u*bev*ext",[2]OUT_TransportEnergyCons!$A$4:$A$10000))*1,[2]OUT_TransportEnergyCons!H$4:H$10000))*1000</f>
        <v>0</v>
      </c>
      <c r="K1955" s="1" cm="1">
        <f t="array" ref="K1955">(SUMPRODUCT(("Var_Cap"=[2]OUT_TransportEnergyCons!$B$4:$B$10000)*1,ISNUMBER(SEARCH("T_B_u*bev*ext",[2]OUT_TransportEnergyCons!$A$4:$A$10000))*1,[2]OUT_TransportEnergyCons!I$4:I$10000))*1000</f>
        <v>0</v>
      </c>
      <c r="L1955" s="1" cm="1">
        <f t="array" ref="L1955">(SUMPRODUCT(("Var_Cap"=[2]OUT_TransportEnergyCons!$B$4:$B$10000)*1,ISNUMBER(SEARCH("T_B_u*bev*ext",[2]OUT_TransportEnergyCons!$A$4:$A$10000))*1,[2]OUT_TransportEnergyCons!J$4:J$10000))*1000</f>
        <v>0</v>
      </c>
      <c r="N1955" s="1"/>
    </row>
    <row r="1956" spans="2:14" x14ac:dyDescent="0.35">
      <c r="B1956" s="5" t="str">
        <f t="shared" si="2027"/>
        <v>SPS1</v>
      </c>
      <c r="C1956" s="5" t="str">
        <f t="shared" si="2028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0.24611329334360857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0.35896055816397227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2.0260977958782007</v>
      </c>
      <c r="J1956" s="1" cm="1">
        <f t="array" ref="J1956">(SUMPRODUCT(("Var_Cap"=[2]OUT_TransportEnergyCons!$B$4:$B$10000)*1,ISNUMBER(SEARCH("T_B_u*bev*s1",[2]OUT_TransportEnergyCons!$A$4:$A$10000))*1,[2]OUT_TransportEnergyCons!H$4:H$10000))*1000</f>
        <v>2.6481765084723694</v>
      </c>
      <c r="K1956" s="1" cm="1">
        <f t="array" ref="K1956">(SUMPRODUCT(("Var_Cap"=[2]OUT_TransportEnergyCons!$B$4:$B$10000)*1,ISNUMBER(SEARCH("T_B_u*bev*s1",[2]OUT_TransportEnergyCons!$A$4:$A$10000))*1,[2]OUT_TransportEnergyCons!I$4:I$10000))*1000</f>
        <v>2.8768790678499299</v>
      </c>
      <c r="L1956" s="1" cm="1">
        <f t="array" ref="L1956">(SUMPRODUCT(("Var_Cap"=[2]OUT_TransportEnergyCons!$B$4:$B$10000)*1,ISNUMBER(SEARCH("T_B_u*bev*s1",[2]OUT_TransportEnergyCons!$A$4:$A$10000))*1,[2]OUT_TransportEnergyCons!J$4:J$10000))*1000</f>
        <v>3.0400303820811505</v>
      </c>
      <c r="N1956" s="1"/>
    </row>
    <row r="1957" spans="2:14" x14ac:dyDescent="0.35">
      <c r="B1957" s="5" t="str">
        <f t="shared" si="2027"/>
        <v>SPS1</v>
      </c>
      <c r="C1957" s="5" t="str">
        <f t="shared" si="2028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7.8819556775138189E-3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4.5534165582579479E-2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0.13836511838364396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0.76730650084337493</v>
      </c>
      <c r="J1957" s="1" cm="1">
        <f t="array" ref="J1957">(SUMPRODUCT(("Var_Cap"=[2]OUT_TransportEnergyCons!$B$4:$B$10000)*1,ISNUMBER(SEARCH("T_B_u*bev*s2",[2]OUT_TransportEnergyCons!$A$4:$A$10000))*1,[2]OUT_TransportEnergyCons!H$4:H$10000))*1000</f>
        <v>0.78656716444771901</v>
      </c>
      <c r="K1957" s="1" cm="1">
        <f t="array" ref="K1957">(SUMPRODUCT(("Var_Cap"=[2]OUT_TransportEnergyCons!$B$4:$B$10000)*1,ISNUMBER(SEARCH("T_B_u*bev*s2",[2]OUT_TransportEnergyCons!$A$4:$A$10000))*1,[2]OUT_TransportEnergyCons!I$4:I$10000))*1000</f>
        <v>0.81386173109802906</v>
      </c>
      <c r="L1957" s="1" cm="1">
        <f t="array" ref="L1957">(SUMPRODUCT(("Var_Cap"=[2]OUT_TransportEnergyCons!$B$4:$B$10000)*1,ISNUMBER(SEARCH("T_B_u*bev*s2",[2]OUT_TransportEnergyCons!$A$4:$A$10000))*1,[2]OUT_TransportEnergyCons!J$4:J$10000))*1000</f>
        <v>0.87043838102969751</v>
      </c>
      <c r="N1957" s="1"/>
    </row>
    <row r="1958" spans="2:14" x14ac:dyDescent="0.35">
      <c r="B1958" s="5" t="str">
        <f t="shared" si="2027"/>
        <v>SPS1</v>
      </c>
      <c r="C1958" s="5" t="str">
        <f t="shared" si="2028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3.3993020936574012E-2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7.4119215210383962E-2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0.1408623355786468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3.528165973852182</v>
      </c>
      <c r="J1958" s="1" cm="1">
        <f t="array" ref="J1958">(SUMPRODUCT(("Var_Cap"=[2]OUT_TransportEnergyCons!$B$4:$B$10000)*1,ISNUMBER(SEARCH("T_B_u*bev*s3",[2]OUT_TransportEnergyCons!$A$4:$A$10000))*1,[2]OUT_TransportEnergyCons!H$4:H$10000))*1000</f>
        <v>3.4736348876356002</v>
      </c>
      <c r="K1958" s="1" cm="1">
        <f t="array" ref="K1958">(SUMPRODUCT(("Var_Cap"=[2]OUT_TransportEnergyCons!$B$4:$B$10000)*1,ISNUMBER(SEARCH("T_B_u*bev*s3",[2]OUT_TransportEnergyCons!$A$4:$A$10000))*1,[2]OUT_TransportEnergyCons!I$4:I$10000))*1000</f>
        <v>3.5553404106673501</v>
      </c>
      <c r="L1958" s="1" cm="1">
        <f t="array" ref="L1958">(SUMPRODUCT(("Var_Cap"=[2]OUT_TransportEnergyCons!$B$4:$B$10000)*1,ISNUMBER(SEARCH("T_B_u*bev*s3",[2]OUT_TransportEnergyCons!$A$4:$A$10000))*1,[2]OUT_TransportEnergyCons!J$4:J$10000))*1000</f>
        <v>3.8031831769051401</v>
      </c>
      <c r="N1958" s="1"/>
    </row>
    <row r="1959" spans="2:14" x14ac:dyDescent="0.35">
      <c r="B1959" s="5" t="str">
        <f t="shared" si="2027"/>
        <v>SPS1</v>
      </c>
      <c r="C1959" s="5" t="str">
        <f t="shared" si="2028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4.2334739803094297E-4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6.6559294939278792E-3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1.3492000166603743E-2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0.37431844198028474</v>
      </c>
      <c r="J1959" s="1" cm="1">
        <f t="array" ref="J1959">(SUMPRODUCT(("Var_Cap"=[2]OUT_TransportEnergyCons!$B$4:$B$10000)*1,ISNUMBER(SEARCH("T_B_u*bev*s4",[2]OUT_TransportEnergyCons!$A$4:$A$10000))*1,[2]OUT_TransportEnergyCons!H$4:H$10000))*1000</f>
        <v>0.11050709408248212</v>
      </c>
      <c r="K1959" s="1" cm="1">
        <f t="array" ref="K1959">(SUMPRODUCT(("Var_Cap"=[2]OUT_TransportEnergyCons!$B$4:$B$10000)*1,ISNUMBER(SEARCH("T_B_u*bev*s4",[2]OUT_TransportEnergyCons!$A$4:$A$10000))*1,[2]OUT_TransportEnergyCons!I$4:I$10000))*1000</f>
        <v>4.1580427360347108E-4</v>
      </c>
      <c r="L1959" s="1" cm="1">
        <f t="array" ref="L1959">(SUMPRODUCT(("Var_Cap"=[2]OUT_TransportEnergyCons!$B$4:$B$10000)*1,ISNUMBER(SEARCH("T_B_u*bev*s4",[2]OUT_TransportEnergyCons!$A$4:$A$10000))*1,[2]OUT_TransportEnergyCons!J$4:J$10000))*1000</f>
        <v>1.87326396927514E-4</v>
      </c>
      <c r="N1959" s="1"/>
    </row>
    <row r="1960" spans="2:14" x14ac:dyDescent="0.35">
      <c r="B1960" s="5" t="str">
        <f t="shared" si="2027"/>
        <v>SPS1</v>
      </c>
      <c r="C1960" s="5" t="str">
        <f t="shared" si="2028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5.3291842188817105E-4</v>
      </c>
      <c r="J1960" s="1" cm="1">
        <f t="array" ref="J1960">(SUMPRODUCT(("Var_Cap"=[2]OUT_TransportEnergyCons!$B$4:$B$10000)*1,ISNUMBER(SEARCH("T_B_u*h2o*s1",[2]OUT_TransportEnergyCons!$A$4:$A$10000))*1,[2]OUT_TransportEnergyCons!H$4:H$10000))*1000</f>
        <v>3.1295104852246302E-5</v>
      </c>
      <c r="K1960" s="1" cm="1">
        <f t="array" ref="K1960">(SUMPRODUCT(("Var_Cap"=[2]OUT_TransportEnergyCons!$B$4:$B$10000)*1,ISNUMBER(SEARCH("T_B_u*h2o*s1",[2]OUT_TransportEnergyCons!$A$4:$A$10000))*1,[2]OUT_TransportEnergyCons!I$4:I$10000))*1000</f>
        <v>2.23632072375521E-5</v>
      </c>
      <c r="L1960" s="1" cm="1">
        <f t="array" ref="L1960">(SUMPRODUCT(("Var_Cap"=[2]OUT_TransportEnergyCons!$B$4:$B$10000)*1,ISNUMBER(SEARCH("T_B_u*h2o*s1",[2]OUT_TransportEnergyCons!$A$4:$A$10000))*1,[2]OUT_TransportEnergyCons!J$4:J$10000))*1000</f>
        <v>2.0896917549687801E-5</v>
      </c>
      <c r="N1960" s="1"/>
    </row>
    <row r="1961" spans="2:14" x14ac:dyDescent="0.35">
      <c r="B1961" s="5" t="str">
        <f t="shared" si="2027"/>
        <v>SPS1</v>
      </c>
      <c r="C1961" s="5" t="str">
        <f t="shared" si="2028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2.2063892831637101E-4</v>
      </c>
      <c r="J1961" s="1" cm="1">
        <f t="array" ref="J1961">IF((SUMPRODUCT(("Var_Cap"=[2]OUT_TransportEnergyCons!$B$4:$B$10000)*1,ISNUMBER(SEARCH("T_B_u*h2o*s2",[2]OUT_TransportEnergyCons!$A$4:$A$10000))*1,[2]OUT_TransportEnergyCons!H$4:H$10000))*1000&lt;0,0,(SUMPRODUCT(("Var_Cap"=[2]OUT_TransportEnergyCons!$B$4:$B$10000)*1,ISNUMBER(SEARCH("T_B_u*h2o*s2",[2]OUT_TransportEnergyCons!$A$4:$A$10000))*1,[2]OUT_TransportEnergyCons!H$4:H$10000))*1000)</f>
        <v>1.8572593273309968E-7</v>
      </c>
      <c r="K1961" s="1" cm="1">
        <f t="array" ref="K1961">IF((SUMPRODUCT(("Var_Cap"=[2]OUT_TransportEnergyCons!$B$4:$B$10000)*1,ISNUMBER(SEARCH("T_B_u*h2o*s2",[2]OUT_TransportEnergyCons!$A$4:$A$10000))*1,[2]OUT_TransportEnergyCons!I$4:I$10000))*1000&lt;0,0,(SUMPRODUCT(("Var_Cap"=[2]OUT_TransportEnergyCons!$B$4:$B$10000)*1,ISNUMBER(SEARCH("T_B_u*h2o*s2",[2]OUT_TransportEnergyCons!$A$4:$A$10000))*1,[2]OUT_TransportEnergyCons!I$4:I$10000))*1000)</f>
        <v>0</v>
      </c>
      <c r="L1961" s="1" cm="1">
        <f t="array" ref="L1961">IF((SUMPRODUCT(("Var_Cap"=[2]OUT_TransportEnergyCons!$B$4:$B$10000)*1,ISNUMBER(SEARCH("T_B_u*h2o*s2",[2]OUT_TransportEnergyCons!$A$4:$A$10000))*1,[2]OUT_TransportEnergyCons!J$4:J$10000))*1000&lt;0,0,(SUMPRODUCT(("Var_Cap"=[2]OUT_TransportEnergyCons!$B$4:$B$10000)*1,ISNUMBER(SEARCH("T_B_u*h2o*s2",[2]OUT_TransportEnergyCons!$A$4:$A$10000))*1,[2]OUT_TransportEnergyCons!J$4:J$10000))*1000)</f>
        <v>0</v>
      </c>
      <c r="N1961" s="1"/>
    </row>
    <row r="1962" spans="2:14" x14ac:dyDescent="0.35">
      <c r="B1962" s="5" t="str">
        <f t="shared" si="2027"/>
        <v>SPS1</v>
      </c>
      <c r="C1962" s="5" t="str">
        <f t="shared" si="2028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2.33164544170535E-4</v>
      </c>
      <c r="J1962" s="1" cm="1">
        <f t="array" ref="J1962">IF((SUMPRODUCT(("Var_Cap"=[2]OUT_TransportEnergyCons!$B$4:$B$10000)*1,ISNUMBER(SEARCH("T_B_u*h2o*s3",[2]OUT_TransportEnergyCons!$A$4:$A$10000))*1,[2]OUT_TransportEnergyCons!H$4:H$10000))*1000&lt;0,0,(SUMPRODUCT(("Var_Cap"=[2]OUT_TransportEnergyCons!$B$4:$B$10000)*1,ISNUMBER(SEARCH("T_B_u*h2o*s3",[2]OUT_TransportEnergyCons!$A$4:$A$10000))*1,[2]OUT_TransportEnergyCons!H$4:H$10000))*1000)</f>
        <v>8.4074509909858496E-6</v>
      </c>
      <c r="K1962" s="1" cm="1">
        <f t="array" ref="K1962">IF((SUMPRODUCT(("Var_Cap"=[2]OUT_TransportEnergyCons!$B$4:$B$10000)*1,ISNUMBER(SEARCH("T_B_u*h2o*s3",[2]OUT_TransportEnergyCons!$A$4:$A$10000))*1,[2]OUT_TransportEnergyCons!I$4:I$10000))*1000&lt;0,0,(SUMPRODUCT(("Var_Cap"=[2]OUT_TransportEnergyCons!$B$4:$B$10000)*1,ISNUMBER(SEARCH("T_B_u*h2o*s3",[2]OUT_TransportEnergyCons!$A$4:$A$10000))*1,[2]OUT_TransportEnergyCons!I$4:I$10000))*1000)</f>
        <v>0</v>
      </c>
      <c r="L1962" s="1" cm="1">
        <f t="array" ref="L1962">IF((SUMPRODUCT(("Var_Cap"=[2]OUT_TransportEnergyCons!$B$4:$B$10000)*1,ISNUMBER(SEARCH("T_B_u*h2o*s3",[2]OUT_TransportEnergyCons!$A$4:$A$10000))*1,[2]OUT_TransportEnergyCons!J$4:J$10000))*1000&lt;0,0,(SUMPRODUCT(("Var_Cap"=[2]OUT_TransportEnergyCons!$B$4:$B$10000)*1,ISNUMBER(SEARCH("T_B_u*h2o*s3",[2]OUT_TransportEnergyCons!$A$4:$A$10000))*1,[2]OUT_TransportEnergyCons!J$4:J$10000))*1000)</f>
        <v>0</v>
      </c>
      <c r="N1962" s="1"/>
    </row>
    <row r="1963" spans="2:14" x14ac:dyDescent="0.35">
      <c r="B1963" s="5" t="str">
        <f t="shared" si="2027"/>
        <v>SPS1</v>
      </c>
      <c r="C1963" s="5" t="str">
        <f t="shared" si="2028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1.2518264682880701E-4</v>
      </c>
      <c r="J1963" s="1" cm="1">
        <f t="array" ref="J1963">IF((SUMPRODUCT(("Var_Cap"=[2]OUT_TransportEnergyCons!$B$4:$B$10000)*1,ISNUMBER(SEARCH("T_B_u*h2o*s4",[2]OUT_TransportEnergyCons!$A$4:$A$10000))*1,[2]OUT_TransportEnergyCons!H$4:H$10000))*1000&lt;0,0,(SUMPRODUCT(("Var_Cap"=[2]OUT_TransportEnergyCons!$B$4:$B$10000)*1,ISNUMBER(SEARCH("T_B_u*h2o*s4",[2]OUT_TransportEnergyCons!$A$4:$A$10000))*1,[2]OUT_TransportEnergyCons!H$4:H$10000))*1000)</f>
        <v>0</v>
      </c>
      <c r="K1963" s="1" cm="1">
        <f t="array" ref="K1963">IF((SUMPRODUCT(("Var_Cap"=[2]OUT_TransportEnergyCons!$B$4:$B$10000)*1,ISNUMBER(SEARCH("T_B_u*h2o*s4",[2]OUT_TransportEnergyCons!$A$4:$A$10000))*1,[2]OUT_TransportEnergyCons!I$4:I$10000))*1000&lt;0,0,(SUMPRODUCT(("Var_Cap"=[2]OUT_TransportEnergyCons!$B$4:$B$10000)*1,ISNUMBER(SEARCH("T_B_u*h2o*s4",[2]OUT_TransportEnergyCons!$A$4:$A$10000))*1,[2]OUT_TransportEnergyCons!I$4:I$10000))*1000)</f>
        <v>0</v>
      </c>
      <c r="L1963" s="1" cm="1">
        <f t="array" ref="L1963">IF((SUMPRODUCT(("Var_Cap"=[2]OUT_TransportEnergyCons!$B$4:$B$10000)*1,ISNUMBER(SEARCH("T_B_u*h2o*s4",[2]OUT_TransportEnergyCons!$A$4:$A$10000))*1,[2]OUT_TransportEnergyCons!J$4:J$10000))*1000&lt;0,0,(SUMPRODUCT(("Var_Cap"=[2]OUT_TransportEnergyCons!$B$4:$B$10000)*1,ISNUMBER(SEARCH("T_B_u*h2o*s4",[2]OUT_TransportEnergyCons!$A$4:$A$10000))*1,[2]OUT_TransportEnergyCons!J$4:J$10000))*1000)</f>
        <v>0</v>
      </c>
      <c r="N1963" s="1"/>
    </row>
    <row r="1964" spans="2:14" x14ac:dyDescent="0.35">
      <c r="B1964" s="5" t="str">
        <f t="shared" si="2027"/>
        <v>SPS1</v>
      </c>
      <c r="C1964" s="5" t="str">
        <f t="shared" si="2028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0.13191418111123498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0.16046641850460244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2.9585494390100306E-4</v>
      </c>
      <c r="J1964" s="1" cm="1">
        <f t="array" ref="J1964">(SUMPRODUCT(("Var_Cap"=[2]OUT_TransportEnergyCons!$B$4:$B$10000)*1,ISNUMBER(SEARCH("T_B_u*hyb*DSL*s1",[2]OUT_TransportEnergyCons!$A$4:$A$10000))*1,[2]OUT_TransportEnergyCons!H$4:H$10000))*1000</f>
        <v>6.3854523554086954E-5</v>
      </c>
      <c r="K1964" s="1" cm="1">
        <f t="array" ref="K1964">(SUMPRODUCT(("Var_Cap"=[2]OUT_TransportEnergyCons!$B$4:$B$10000)*1,ISNUMBER(SEARCH("T_B_u*hyb*DSL*s1",[2]OUT_TransportEnergyCons!$A$4:$A$10000))*1,[2]OUT_TransportEnergyCons!I$4:I$10000))*1000</f>
        <v>-9.606519022920093E-7</v>
      </c>
      <c r="L1964" s="1" cm="1">
        <f t="array" ref="L1964">(SUMPRODUCT(("Var_Cap"=[2]OUT_TransportEnergyCons!$B$4:$B$10000)*1,ISNUMBER(SEARCH("T_B_u*hyb*DSL*s1",[2]OUT_TransportEnergyCons!$A$4:$A$10000))*1,[2]OUT_TransportEnergyCons!J$4:J$10000))*1000</f>
        <v>1.0970159005954001E-5</v>
      </c>
      <c r="N1964" s="1"/>
    </row>
    <row r="1965" spans="2:14" x14ac:dyDescent="0.35">
      <c r="B1965" s="5" t="str">
        <f t="shared" si="2027"/>
        <v>SPS1</v>
      </c>
      <c r="C1965" s="5" t="str">
        <f t="shared" si="2028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6.4745554116840401E-3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1.3870989317890761E-2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0</v>
      </c>
      <c r="J1965" s="1" cm="1">
        <f t="array" ref="J1965">IF((SUMPRODUCT(("Var_Cap"=[2]OUT_TransportEnergyCons!$B$4:$B$10000)*1,ISNUMBER(SEARCH("T_B_u*hyb*DSL*s2",[2]OUT_TransportEnergyCons!$A$4:$A$10000))*1,[2]OUT_TransportEnergyCons!H$4:H$10000))*1000&lt;0,0,(SUMPRODUCT(("Var_Cap"=[2]OUT_TransportEnergyCons!$B$4:$B$10000)*1,ISNUMBER(SEARCH("T_B_u*hyb*DSL*s2",[2]OUT_TransportEnergyCons!$A$4:$A$10000))*1,[2]OUT_TransportEnergyCons!H$4:H$10000))*1000)</f>
        <v>0</v>
      </c>
      <c r="K1965" s="1" cm="1">
        <f t="array" ref="K1965">IF((SUMPRODUCT(("Var_Cap"=[2]OUT_TransportEnergyCons!$B$4:$B$10000)*1,ISNUMBER(SEARCH("T_B_u*hyb*DSL*s2",[2]OUT_TransportEnergyCons!$A$4:$A$10000))*1,[2]OUT_TransportEnergyCons!I$4:I$10000))*1000&lt;0,0,(SUMPRODUCT(("Var_Cap"=[2]OUT_TransportEnergyCons!$B$4:$B$10000)*1,ISNUMBER(SEARCH("T_B_u*hyb*DSL*s2",[2]OUT_TransportEnergyCons!$A$4:$A$10000))*1,[2]OUT_TransportEnergyCons!I$4:I$10000))*1000)</f>
        <v>0</v>
      </c>
      <c r="L1965" s="1" cm="1">
        <f t="array" ref="L1965">IF((SUMPRODUCT(("Var_Cap"=[2]OUT_TransportEnergyCons!$B$4:$B$10000)*1,ISNUMBER(SEARCH("T_B_u*hyb*DSL*s2",[2]OUT_TransportEnergyCons!$A$4:$A$10000))*1,[2]OUT_TransportEnergyCons!J$4:J$10000))*1000&lt;0,0,(SUMPRODUCT(("Var_Cap"=[2]OUT_TransportEnergyCons!$B$4:$B$10000)*1,ISNUMBER(SEARCH("T_B_u*hyb*DSL*s2",[2]OUT_TransportEnergyCons!$A$4:$A$10000))*1,[2]OUT_TransportEnergyCons!J$4:J$10000))*1000)</f>
        <v>3.6120025957555598E-6</v>
      </c>
      <c r="N1965" s="1"/>
    </row>
    <row r="1966" spans="2:14" x14ac:dyDescent="0.35">
      <c r="B1966" s="5" t="str">
        <f t="shared" si="2027"/>
        <v>SPS1</v>
      </c>
      <c r="C1966" s="5" t="str">
        <f t="shared" si="2028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7.5765616300968695E-3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1.2722390860514299E-2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0</v>
      </c>
      <c r="J1966" s="1" cm="1">
        <f t="array" ref="J1966">IF((SUMPRODUCT(("Var_Cap"=[2]OUT_TransportEnergyCons!$B$4:$B$10000)*1,ISNUMBER(SEARCH("T_B_u*hyb*DSL*s3",[2]OUT_TransportEnergyCons!$A$4:$A$10000))*1,[2]OUT_TransportEnergyCons!H$4:H$10000))*1000&lt;0,0,(SUMPRODUCT(("Var_Cap"=[2]OUT_TransportEnergyCons!$B$4:$B$10000)*1,ISNUMBER(SEARCH("T_B_u*hyb*DSL*s3",[2]OUT_TransportEnergyCons!$A$4:$A$10000))*1,[2]OUT_TransportEnergyCons!H$4:H$10000))*1000)</f>
        <v>0</v>
      </c>
      <c r="K1966" s="1" cm="1">
        <f t="array" ref="K1966">IF((SUMPRODUCT(("Var_Cap"=[2]OUT_TransportEnergyCons!$B$4:$B$10000)*1,ISNUMBER(SEARCH("T_B_u*hyb*DSL*s3",[2]OUT_TransportEnergyCons!$A$4:$A$10000))*1,[2]OUT_TransportEnergyCons!I$4:I$10000))*1000&lt;0,0,(SUMPRODUCT(("Var_Cap"=[2]OUT_TransportEnergyCons!$B$4:$B$10000)*1,ISNUMBER(SEARCH("T_B_u*hyb*DSL*s3",[2]OUT_TransportEnergyCons!$A$4:$A$10000))*1,[2]OUT_TransportEnergyCons!I$4:I$10000))*1000)</f>
        <v>0</v>
      </c>
      <c r="L1966" s="1" cm="1">
        <f t="array" ref="L1966">IF((SUMPRODUCT(("Var_Cap"=[2]OUT_TransportEnergyCons!$B$4:$B$10000)*1,ISNUMBER(SEARCH("T_B_u*hyb*DSL*s3",[2]OUT_TransportEnergyCons!$A$4:$A$10000))*1,[2]OUT_TransportEnergyCons!J$4:J$10000))*1000&lt;0,0,(SUMPRODUCT(("Var_Cap"=[2]OUT_TransportEnergyCons!$B$4:$B$10000)*1,ISNUMBER(SEARCH("T_B_u*hyb*DSL*s3",[2]OUT_TransportEnergyCons!$A$4:$A$10000))*1,[2]OUT_TransportEnergyCons!J$4:J$10000))*1000)</f>
        <v>0</v>
      </c>
      <c r="N1966" s="1"/>
    </row>
    <row r="1967" spans="2:14" x14ac:dyDescent="0.35">
      <c r="B1967" s="5" t="str">
        <f t="shared" si="2027"/>
        <v>SPS1</v>
      </c>
      <c r="C1967" s="5" t="str">
        <f t="shared" si="2028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2.53157270638397E-4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4.8198977011186398E-4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0</v>
      </c>
      <c r="J1967" s="1" cm="1">
        <f t="array" ref="J1967">IF((SUMPRODUCT(("Var_Cap"=[2]OUT_TransportEnergyCons!$B$4:$B$10000)*1,ISNUMBER(SEARCH("T_B_u*hyb*DSL*s4",[2]OUT_TransportEnergyCons!$A$4:$A$10000))*1,[2]OUT_TransportEnergyCons!H$4:H$10000))*1000&lt;0,0,(SUMPRODUCT(("Var_Cap"=[2]OUT_TransportEnergyCons!$B$4:$B$10000)*1,ISNUMBER(SEARCH("T_B_u*hyb*DSL*s4",[2]OUT_TransportEnergyCons!$A$4:$A$10000))*1,[2]OUT_TransportEnergyCons!H$4:H$10000))*1000)</f>
        <v>0</v>
      </c>
      <c r="K1967" s="1" cm="1">
        <f t="array" ref="K1967">IF((SUMPRODUCT(("Var_Cap"=[2]OUT_TransportEnergyCons!$B$4:$B$10000)*1,ISNUMBER(SEARCH("T_B_u*hyb*DSL*s4",[2]OUT_TransportEnergyCons!$A$4:$A$10000))*1,[2]OUT_TransportEnergyCons!I$4:I$10000))*1000&lt;0,0,(SUMPRODUCT(("Var_Cap"=[2]OUT_TransportEnergyCons!$B$4:$B$10000)*1,ISNUMBER(SEARCH("T_B_u*hyb*DSL*s4",[2]OUT_TransportEnergyCons!$A$4:$A$10000))*1,[2]OUT_TransportEnergyCons!I$4:I$10000))*1000)</f>
        <v>0</v>
      </c>
      <c r="L1967" s="1" cm="1">
        <f t="array" ref="L1967">IF((SUMPRODUCT(("Var_Cap"=[2]OUT_TransportEnergyCons!$B$4:$B$10000)*1,ISNUMBER(SEARCH("T_B_u*hyb*DSL*s4",[2]OUT_TransportEnergyCons!$A$4:$A$10000))*1,[2]OUT_TransportEnergyCons!J$4:J$10000))*1000&lt;0,0,(SUMPRODUCT(("Var_Cap"=[2]OUT_TransportEnergyCons!$B$4:$B$10000)*1,ISNUMBER(SEARCH("T_B_u*hyb*DSL*s4",[2]OUT_TransportEnergyCons!$A$4:$A$10000))*1,[2]OUT_TransportEnergyCons!J$4:J$10000))*1000)</f>
        <v>0</v>
      </c>
      <c r="N1967" s="1"/>
    </row>
    <row r="1968" spans="2:14" x14ac:dyDescent="0.35">
      <c r="B1968" s="5" t="str">
        <f t="shared" si="2027"/>
        <v>SPS1</v>
      </c>
      <c r="C1968" s="5" t="str">
        <f t="shared" si="2028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4.5678362175525304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2.2763662538506275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(SUMPRODUCT(("Var_Cap"=[2]OUT_TransportEnergyCons!$B$4:$B$10000)*1,ISNUMBER(SEARCH("T_B_u*ICE*DSL*ext",[2]OUT_TransportEnergyCons!$A$4:$A$10000))*1,[2]OUT_TransportEnergyCons!H$4:H$10000))*1000</f>
        <v>0</v>
      </c>
      <c r="K1968" s="1" cm="1">
        <f t="array" ref="K1968">(SUMPRODUCT(("Var_Cap"=[2]OUT_TransportEnergyCons!$B$4:$B$10000)*1,ISNUMBER(SEARCH("T_B_u*ICE*DSL*ext",[2]OUT_TransportEnergyCons!$A$4:$A$10000))*1,[2]OUT_TransportEnergyCons!I$4:I$10000))*1000</f>
        <v>0</v>
      </c>
      <c r="L1968" s="1" cm="1">
        <f t="array" ref="L1968">(SUMPRODUCT(("Var_Cap"=[2]OUT_TransportEnergyCons!$B$4:$B$10000)*1,ISNUMBER(SEARCH("T_B_u*ICE*DSL*ext",[2]OUT_TransportEnergyCons!$A$4:$A$10000))*1,[2]OUT_TransportEnergyCons!J$4:J$10000))*1000</f>
        <v>0</v>
      </c>
      <c r="N1968" s="1"/>
    </row>
    <row r="1969" spans="2:14" x14ac:dyDescent="0.35">
      <c r="B1969" s="5" t="str">
        <f t="shared" si="2027"/>
        <v>SPS1</v>
      </c>
      <c r="C1969" s="5" t="str">
        <f t="shared" si="2028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0.27440867731463225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0.65279312099015463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-3.0944659718467552E-4</v>
      </c>
      <c r="J1969" s="1" cm="1">
        <f t="array" ref="J1969">(SUMPRODUCT(("Var_Cap"=[2]OUT_TransportEnergyCons!$B$4:$B$10000)*1,ISNUMBER(SEARCH("T_B_u*ICE*DSL*s1",[2]OUT_TransportEnergyCons!$A$4:$A$10000))*1,[2]OUT_TransportEnergyCons!H$4:H$10000))*1000</f>
        <v>8.4722171297827234E-7</v>
      </c>
      <c r="K1969" s="1" cm="1">
        <f t="array" ref="K1969">(SUMPRODUCT(("Var_Cap"=[2]OUT_TransportEnergyCons!$B$4:$B$10000)*1,ISNUMBER(SEARCH("T_B_u*ICE*DSL*s1",[2]OUT_TransportEnergyCons!$A$4:$A$10000))*1,[2]OUT_TransportEnergyCons!I$4:I$10000))*1000</f>
        <v>0</v>
      </c>
      <c r="L1969" s="1" cm="1">
        <f t="array" ref="L1969">(SUMPRODUCT(("Var_Cap"=[2]OUT_TransportEnergyCons!$B$4:$B$10000)*1,ISNUMBER(SEARCH("T_B_u*ICE*DSL*s1",[2]OUT_TransportEnergyCons!$A$4:$A$10000))*1,[2]OUT_TransportEnergyCons!J$4:J$10000))*1000</f>
        <v>0</v>
      </c>
      <c r="N1969" s="1"/>
    </row>
    <row r="1970" spans="2:14" x14ac:dyDescent="0.35">
      <c r="B1970" s="5" t="str">
        <f t="shared" si="2027"/>
        <v>SPS1</v>
      </c>
      <c r="C1970" s="5" t="str">
        <f t="shared" si="2028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0.18032391937432107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0.21899623495762507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0.27482179730105549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[2]OUT_TransportEnergyCons!$B$4:$B$10000)*1,ISNUMBER(SEARCH("T_B_u*ICE*DSL*s2",[2]OUT_TransportEnergyCons!$A$4:$A$10000))*1,[2]OUT_TransportEnergyCons!H$4:H$10000))*1000&lt;0,0,(SUMPRODUCT(("Var_Cap"=[2]OUT_TransportEnergyCons!$B$4:$B$10000)*1,ISNUMBER(SEARCH("T_B_u*ICE*DSL*s2",[2]OUT_TransportEnergyCons!$A$4:$A$10000))*1,[2]OUT_TransportEnergyCons!H$4:H$10000))*1000)</f>
        <v>0</v>
      </c>
      <c r="K1970" s="1" cm="1">
        <f t="array" ref="K1970">IF((SUMPRODUCT(("Var_Cap"=[2]OUT_TransportEnergyCons!$B$4:$B$10000)*1,ISNUMBER(SEARCH("T_B_u*ICE*DSL*s2",[2]OUT_TransportEnergyCons!$A$4:$A$10000))*1,[2]OUT_TransportEnergyCons!I$4:I$10000))*1000&lt;0,0,(SUMPRODUCT(("Var_Cap"=[2]OUT_TransportEnergyCons!$B$4:$B$10000)*1,ISNUMBER(SEARCH("T_B_u*ICE*DSL*s2",[2]OUT_TransportEnergyCons!$A$4:$A$10000))*1,[2]OUT_TransportEnergyCons!I$4:I$10000))*1000)</f>
        <v>0</v>
      </c>
      <c r="L1970" s="1" cm="1">
        <f t="array" ref="L1970">IF((SUMPRODUCT(("Var_Cap"=[2]OUT_TransportEnergyCons!$B$4:$B$10000)*1,ISNUMBER(SEARCH("T_B_u*ICE*DSL*s2",[2]OUT_TransportEnergyCons!$A$4:$A$10000))*1,[2]OUT_TransportEnergyCons!J$4:J$10000))*1000&lt;0,0,(SUMPRODUCT(("Var_Cap"=[2]OUT_TransportEnergyCons!$B$4:$B$10000)*1,ISNUMBER(SEARCH("T_B_u*ICE*DSL*s2",[2]OUT_TransportEnergyCons!$A$4:$A$10000))*1,[2]OUT_TransportEnergyCons!J$4:J$10000))*1000)</f>
        <v>0</v>
      </c>
      <c r="N1970" s="1"/>
    </row>
    <row r="1971" spans="2:14" x14ac:dyDescent="0.35">
      <c r="B1971" s="5" t="str">
        <f t="shared" si="2027"/>
        <v>SPS1</v>
      </c>
      <c r="C1971" s="5" t="str">
        <f t="shared" si="2028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0.80105205478635377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0.97110347863075464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1.7081401799494333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[2]OUT_TransportEnergyCons!$B$4:$B$10000)*1,ISNUMBER(SEARCH("T_B_u*ICE*DSL*s3",[2]OUT_TransportEnergyCons!$A$4:$A$10000))*1,[2]OUT_TransportEnergyCons!H$4:H$10000))*1000&lt;0,0,(SUMPRODUCT(("Var_Cap"=[2]OUT_TransportEnergyCons!$B$4:$B$10000)*1,ISNUMBER(SEARCH("T_B_u*ICE*DSL*s3",[2]OUT_TransportEnergyCons!$A$4:$A$10000))*1,[2]OUT_TransportEnergyCons!H$4:H$10000))*1000)</f>
        <v>0</v>
      </c>
      <c r="K1971" s="1" cm="1">
        <f t="array" ref="K1971">IF((SUMPRODUCT(("Var_Cap"=[2]OUT_TransportEnergyCons!$B$4:$B$10000)*1,ISNUMBER(SEARCH("T_B_u*ICE*DSL*s3",[2]OUT_TransportEnergyCons!$A$4:$A$10000))*1,[2]OUT_TransportEnergyCons!I$4:I$10000))*1000&lt;0,0,(SUMPRODUCT(("Var_Cap"=[2]OUT_TransportEnergyCons!$B$4:$B$10000)*1,ISNUMBER(SEARCH("T_B_u*ICE*DSL*s3",[2]OUT_TransportEnergyCons!$A$4:$A$10000))*1,[2]OUT_TransportEnergyCons!I$4:I$10000))*1000)</f>
        <v>0</v>
      </c>
      <c r="L1971" s="1" cm="1">
        <f t="array" ref="L1971">IF((SUMPRODUCT(("Var_Cap"=[2]OUT_TransportEnergyCons!$B$4:$B$10000)*1,ISNUMBER(SEARCH("T_B_u*ICE*DSL*s3",[2]OUT_TransportEnergyCons!$A$4:$A$10000))*1,[2]OUT_TransportEnergyCons!J$4:J$10000))*1000&lt;0,0,(SUMPRODUCT(("Var_Cap"=[2]OUT_TransportEnergyCons!$B$4:$B$10000)*1,ISNUMBER(SEARCH("T_B_u*ICE*DSL*s3",[2]OUT_TransportEnergyCons!$A$4:$A$10000))*1,[2]OUT_TransportEnergyCons!J$4:J$10000))*1000)</f>
        <v>0</v>
      </c>
      <c r="N1971" s="1"/>
    </row>
    <row r="1972" spans="2:14" x14ac:dyDescent="0.35">
      <c r="B1972" s="5" t="str">
        <f t="shared" si="2027"/>
        <v>SPS1</v>
      </c>
      <c r="C1972" s="5" t="str">
        <f t="shared" si="2028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9.631399064758444E-3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1.8006710858634691E-3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3.4677617748108264E-3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[2]OUT_TransportEnergyCons!$B$4:$B$10000)*1,ISNUMBER(SEARCH("T_B_u*ICE*DSL*s4",[2]OUT_TransportEnergyCons!$A$4:$A$10000))*1,[2]OUT_TransportEnergyCons!H$4:H$10000))*1000&lt;0,0,(SUMPRODUCT(("Var_Cap"=[2]OUT_TransportEnergyCons!$B$4:$B$10000)*1,ISNUMBER(SEARCH("T_B_u*ICE*DSL*s4",[2]OUT_TransportEnergyCons!$A$4:$A$10000))*1,[2]OUT_TransportEnergyCons!H$4:H$10000))*1000)</f>
        <v>0</v>
      </c>
      <c r="K1972" s="1" cm="1">
        <f t="array" ref="K1972">IF((SUMPRODUCT(("Var_Cap"=[2]OUT_TransportEnergyCons!$B$4:$B$10000)*1,ISNUMBER(SEARCH("T_B_u*ICE*DSL*s4",[2]OUT_TransportEnergyCons!$A$4:$A$10000))*1,[2]OUT_TransportEnergyCons!I$4:I$10000))*1000&lt;0,0,(SUMPRODUCT(("Var_Cap"=[2]OUT_TransportEnergyCons!$B$4:$B$10000)*1,ISNUMBER(SEARCH("T_B_u*ICE*DSL*s4",[2]OUT_TransportEnergyCons!$A$4:$A$10000))*1,[2]OUT_TransportEnergyCons!I$4:I$10000))*1000)</f>
        <v>0</v>
      </c>
      <c r="L1972" s="1" cm="1">
        <f t="array" ref="L1972">IF((SUMPRODUCT(("Var_Cap"=[2]OUT_TransportEnergyCons!$B$4:$B$10000)*1,ISNUMBER(SEARCH("T_B_u*ICE*DSL*s4",[2]OUT_TransportEnergyCons!$A$4:$A$10000))*1,[2]OUT_TransportEnergyCons!J$4:J$10000))*1000&lt;0,0,(SUMPRODUCT(("Var_Cap"=[2]OUT_TransportEnergyCons!$B$4:$B$10000)*1,ISNUMBER(SEARCH("T_B_u*ICE*DSL*s4",[2]OUT_TransportEnergyCons!$A$4:$A$10000))*1,[2]OUT_TransportEnergyCons!J$4:J$10000))*1000)</f>
        <v>0</v>
      </c>
      <c r="N1972" s="1"/>
    </row>
    <row r="1973" spans="2:14" x14ac:dyDescent="0.35">
      <c r="B1973" s="5" t="str">
        <f t="shared" si="2027"/>
        <v>SPS1</v>
      </c>
      <c r="C1973" s="5" t="str">
        <f t="shared" si="2028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8.3575401730531504E-2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4.166264424128429E-2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(SUMPRODUCT(("Var_Cap"=[2]OUT_TransportEnergyCons!$B$4:$B$10000)*1,ISNUMBER(SEARCH("T_B_u*ICE*nga*ext",[2]OUT_TransportEnergyCons!$A$4:$A$10000))*1,[2]OUT_TransportEnergyCons!H$4:H$10000))*1000</f>
        <v>0</v>
      </c>
      <c r="K1973" s="1" cm="1">
        <f t="array" ref="K1973">(SUMPRODUCT(("Var_Cap"=[2]OUT_TransportEnergyCons!$B$4:$B$10000)*1,ISNUMBER(SEARCH("T_B_u*ICE*nga*ext",[2]OUT_TransportEnergyCons!$A$4:$A$10000))*1,[2]OUT_TransportEnergyCons!I$4:I$10000))*1000</f>
        <v>0</v>
      </c>
      <c r="L1973" s="1" cm="1">
        <f t="array" ref="L1973">(SUMPRODUCT(("Var_Cap"=[2]OUT_TransportEnergyCons!$B$4:$B$10000)*1,ISNUMBER(SEARCH("T_B_u*ICE*nga*ext",[2]OUT_TransportEnergyCons!$A$4:$A$10000))*1,[2]OUT_TransportEnergyCons!J$4:J$10000))*1000</f>
        <v>0</v>
      </c>
      <c r="N1973" s="1"/>
    </row>
    <row r="1974" spans="2:14" x14ac:dyDescent="0.35">
      <c r="B1974" s="5" t="str">
        <f t="shared" si="2027"/>
        <v>SPS1</v>
      </c>
      <c r="C1974" s="5" t="str">
        <f t="shared" si="2028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6.6904024722344501E-3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1.2804057735027064E-2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1.2196658999539993E-3</v>
      </c>
      <c r="J1974" s="1" cm="1">
        <f t="array" ref="J1974">(SUMPRODUCT(("Var_Cap"=[2]OUT_TransportEnergyCons!$B$4:$B$10000)*1,ISNUMBER(SEARCH("T_B_u*ICE*nga*s1",[2]OUT_TransportEnergyCons!$A$4:$A$10000))*1,[2]OUT_TransportEnergyCons!H$4:H$10000))*1000</f>
        <v>2.1417835037144007E-5</v>
      </c>
      <c r="K1974" s="1" cm="1">
        <f t="array" ref="K1974">(SUMPRODUCT(("Var_Cap"=[2]OUT_TransportEnergyCons!$B$4:$B$10000)*1,ISNUMBER(SEARCH("T_B_u*ICE*nga*s1",[2]OUT_TransportEnergyCons!$A$4:$A$10000))*1,[2]OUT_TransportEnergyCons!I$4:I$10000))*1000</f>
        <v>1.8150922776389007E-6</v>
      </c>
      <c r="L1974" s="1" cm="1">
        <f t="array" ref="L1974">(SUMPRODUCT(("Var_Cap"=[2]OUT_TransportEnergyCons!$B$4:$B$10000)*1,ISNUMBER(SEARCH("T_B_u*ICE*nga*s1",[2]OUT_TransportEnergyCons!$A$4:$A$10000))*1,[2]OUT_TransportEnergyCons!J$4:J$10000))*1000</f>
        <v>2.5317331048059401E-6</v>
      </c>
      <c r="N1974" s="1"/>
    </row>
    <row r="1975" spans="2:14" x14ac:dyDescent="0.35">
      <c r="B1975" s="5" t="str">
        <f t="shared" si="2027"/>
        <v>SPS1</v>
      </c>
      <c r="C1975" s="5" t="str">
        <f t="shared" si="2028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2.7243064981941202E-3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8.277616904981586E-3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4.2126992344447962E-4</v>
      </c>
      <c r="J1975" s="1" cm="1">
        <f t="array" ref="J1975">(SUMPRODUCT(("Var_Cap"=[2]OUT_TransportEnergyCons!$B$4:$B$10000)*1,ISNUMBER(SEARCH("T_B_u*ICE*nga*s2",[2]OUT_TransportEnergyCons!$A$4:$A$10000))*1,[2]OUT_TransportEnergyCons!H$4:H$10000))*1000</f>
        <v>-4.0504709993000343E-6</v>
      </c>
      <c r="K1975" s="1" cm="1">
        <f t="array" ref="K1975">(SUMPRODUCT(("Var_Cap"=[2]OUT_TransportEnergyCons!$B$4:$B$10000)*1,ISNUMBER(SEARCH("T_B_u*ICE*nga*s2",[2]OUT_TransportEnergyCons!$A$4:$A$10000))*1,[2]OUT_TransportEnergyCons!I$4:I$10000))*1000</f>
        <v>-1.56951557936266E-5</v>
      </c>
      <c r="L1975" s="1" cm="1">
        <f t="array" ref="L1975">(SUMPRODUCT(("Var_Cap"=[2]OUT_TransportEnergyCons!$B$4:$B$10000)*1,ISNUMBER(SEARCH("T_B_u*ICE*nga*s2",[2]OUT_TransportEnergyCons!$A$4:$A$10000))*1,[2]OUT_TransportEnergyCons!J$4:J$10000))*1000</f>
        <v>0</v>
      </c>
      <c r="N1975" s="1"/>
    </row>
    <row r="1976" spans="2:14" x14ac:dyDescent="0.35">
      <c r="B1976" s="5" t="str">
        <f t="shared" si="2027"/>
        <v>SPS1</v>
      </c>
      <c r="C1976" s="5" t="str">
        <f t="shared" si="2028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2.3779028944992601E-3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1.3258628280075501E-2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1.483480497091987E-4</v>
      </c>
      <c r="J1976" s="1" cm="1">
        <f t="array" ref="J1976">IF((SUMPRODUCT(("Var_Cap"=[2]OUT_TransportEnergyCons!$B$4:$B$10000)*1,ISNUMBER(SEARCH("T_B_u*ICE*nga*s3",[2]OUT_TransportEnergyCons!$A$4:$A$10000))*1,[2]OUT_TransportEnergyCons!H$4:H$10000))*1000&lt;0,0,(SUMPRODUCT(("Var_Cap"=[2]OUT_TransportEnergyCons!$B$4:$B$10000)*1,ISNUMBER(SEARCH("T_B_u*ICE*nga*s3",[2]OUT_TransportEnergyCons!$A$4:$A$10000))*1,[2]OUT_TransportEnergyCons!H$4:H$10000))*1000)</f>
        <v>0</v>
      </c>
      <c r="K1976" s="1" cm="1">
        <f t="array" ref="K1976">IF((SUMPRODUCT(("Var_Cap"=[2]OUT_TransportEnergyCons!$B$4:$B$10000)*1,ISNUMBER(SEARCH("T_B_u*ICE*nga*s3",[2]OUT_TransportEnergyCons!$A$4:$A$10000))*1,[2]OUT_TransportEnergyCons!I$4:I$10000))*1000&lt;0,0,(SUMPRODUCT(("Var_Cap"=[2]OUT_TransportEnergyCons!$B$4:$B$10000)*1,ISNUMBER(SEARCH("T_B_u*ICE*nga*s3",[2]OUT_TransportEnergyCons!$A$4:$A$10000))*1,[2]OUT_TransportEnergyCons!I$4:I$10000))*1000)</f>
        <v>0</v>
      </c>
      <c r="L1976" s="1" cm="1">
        <f t="array" ref="L1976">IF((SUMPRODUCT(("Var_Cap"=[2]OUT_TransportEnergyCons!$B$4:$B$10000)*1,ISNUMBER(SEARCH("T_B_u*ICE*nga*s3",[2]OUT_TransportEnergyCons!$A$4:$A$10000))*1,[2]OUT_TransportEnergyCons!J$4:J$10000))*1000&lt;0,0,(SUMPRODUCT(("Var_Cap"=[2]OUT_TransportEnergyCons!$B$4:$B$10000)*1,ISNUMBER(SEARCH("T_B_u*ICE*nga*s3",[2]OUT_TransportEnergyCons!$A$4:$A$10000))*1,[2]OUT_TransportEnergyCons!J$4:J$10000))*1000)</f>
        <v>3.8444714272147305E-6</v>
      </c>
      <c r="N1976" s="1"/>
    </row>
    <row r="1977" spans="2:14" x14ac:dyDescent="0.35">
      <c r="B1977" s="5" t="str">
        <f t="shared" si="2027"/>
        <v>SPS1</v>
      </c>
      <c r="C1977" s="5" t="str">
        <f t="shared" si="2028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6.8204641675086099E-5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1.0981129473904671E-4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4.835871949603009E-5</v>
      </c>
      <c r="J1977" s="1" cm="1">
        <f t="array" ref="J1977">IF((SUMPRODUCT(("Var_Cap"=[2]OUT_TransportEnergyCons!$B$4:$B$10000)*1,ISNUMBER(SEARCH("T_B_u*ICE*nga*s4",[2]OUT_TransportEnergyCons!$A$4:$A$10000))*1,[2]OUT_TransportEnergyCons!H$4:H$10000))*1000&lt;0,0,(SUMPRODUCT(("Var_Cap"=[2]OUT_TransportEnergyCons!$B$4:$B$10000)*1,ISNUMBER(SEARCH("T_B_u*ICE*nga*s4",[2]OUT_TransportEnergyCons!$A$4:$A$10000))*1,[2]OUT_TransportEnergyCons!H$4:H$10000))*1000)</f>
        <v>0</v>
      </c>
      <c r="K1977" s="1" cm="1">
        <f t="array" ref="K1977">IF((SUMPRODUCT(("Var_Cap"=[2]OUT_TransportEnergyCons!$B$4:$B$10000)*1,ISNUMBER(SEARCH("T_B_u*ICE*nga*s4",[2]OUT_TransportEnergyCons!$A$4:$A$10000))*1,[2]OUT_TransportEnergyCons!I$4:I$10000))*1000&lt;0,0,(SUMPRODUCT(("Var_Cap"=[2]OUT_TransportEnergyCons!$B$4:$B$10000)*1,ISNUMBER(SEARCH("T_B_u*ICE*nga*s4",[2]OUT_TransportEnergyCons!$A$4:$A$10000))*1,[2]OUT_TransportEnergyCons!I$4:I$10000))*1000)</f>
        <v>0</v>
      </c>
      <c r="L1977" s="1" cm="1">
        <f t="array" ref="L1977">IF((SUMPRODUCT(("Var_Cap"=[2]OUT_TransportEnergyCons!$B$4:$B$10000)*1,ISNUMBER(SEARCH("T_B_u*ICE*nga*s4",[2]OUT_TransportEnergyCons!$A$4:$A$10000))*1,[2]OUT_TransportEnergyCons!J$4:J$10000))*1000&lt;0,0,(SUMPRODUCT(("Var_Cap"=[2]OUT_TransportEnergyCons!$B$4:$B$10000)*1,ISNUMBER(SEARCH("T_B_u*ICE*nga*s4",[2]OUT_TransportEnergyCons!$A$4:$A$10000))*1,[2]OUT_TransportEnergyCons!J$4:J$10000))*1000)</f>
        <v>0</v>
      </c>
      <c r="N1977" s="1"/>
    </row>
    <row r="1978" spans="2:14" x14ac:dyDescent="0.3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2.8659211838108654</v>
      </c>
      <c r="G1978" s="3">
        <f t="shared" ref="G1978" si="2029">SUM(G1979:G2001)</f>
        <v>3.0544885822096108</v>
      </c>
      <c r="H1978" s="3">
        <f t="shared" ref="H1978" si="2030">SUM(H1979:H2001)</f>
        <v>2.9213386024346364</v>
      </c>
      <c r="I1978" s="3">
        <f t="shared" ref="I1978" si="2031">SUM(I1979:I2001)</f>
        <v>2.9265702181534672</v>
      </c>
      <c r="J1978" s="3">
        <f t="shared" ref="J1978" si="2032">SUM(J1979:J2001)</f>
        <v>2.9274531322820954</v>
      </c>
      <c r="K1978" s="3">
        <f t="shared" ref="K1978:L1978" si="2033">SUM(K1979:K2001)</f>
        <v>2.9276894670849929</v>
      </c>
      <c r="L1978" s="3">
        <f t="shared" si="2033"/>
        <v>2.9275939537742275</v>
      </c>
      <c r="N1978" s="1"/>
    </row>
    <row r="1979" spans="2:14" x14ac:dyDescent="0.35">
      <c r="B1979" s="5" t="str">
        <f t="shared" ref="B1979:B2001" si="2034">B1978</f>
        <v>SPS1</v>
      </c>
      <c r="C1979" s="5" t="str">
        <f t="shared" ref="C1979:C2001" si="2035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(SUMPRODUCT(("Var_Cap"=[2]OUT_TransportEnergyCons!$B$4:$B$10000)*1,ISNUMBER(SEARCH("T_b_c*bev*ext",[2]OUT_TransportEnergyCons!$A$4:$A$10000))*1,[2]OUT_TransportEnergyCons!H$4:H$10000))*1000</f>
        <v>0</v>
      </c>
      <c r="K1979" s="1" cm="1">
        <f t="array" ref="K1979">(SUMPRODUCT(("Var_Cap"=[2]OUT_TransportEnergyCons!$B$4:$B$10000)*1,ISNUMBER(SEARCH("T_b_c*bev*ext",[2]OUT_TransportEnergyCons!$A$4:$A$10000))*1,[2]OUT_TransportEnergyCons!I$4:I$10000))*1000</f>
        <v>0</v>
      </c>
      <c r="L1979" s="1" cm="1">
        <f t="array" ref="L1979">(SUMPRODUCT(("Var_Cap"=[2]OUT_TransportEnergyCons!$B$4:$B$10000)*1,ISNUMBER(SEARCH("T_b_c*bev*ext",[2]OUT_TransportEnergyCons!$A$4:$A$10000))*1,[2]OUT_TransportEnergyCons!J$4:J$10000))*1000</f>
        <v>0</v>
      </c>
      <c r="N1979" s="1"/>
    </row>
    <row r="1980" spans="2:14" x14ac:dyDescent="0.35">
      <c r="B1980" s="5" t="str">
        <f t="shared" si="2034"/>
        <v>SPS1</v>
      </c>
      <c r="C1980" s="5" t="str">
        <f t="shared" si="2035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3.3518861090426929E-3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4.147242954457353E-2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8.0330485173202112E-2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1.4039108320665752</v>
      </c>
      <c r="J1980" s="1" cm="1">
        <f t="array" ref="J1980">(SUMPRODUCT(("Var_Cap"=[2]OUT_TransportEnergyCons!$B$4:$B$10000)*1,ISNUMBER(SEARCH("T_b_c*bev*s1",[2]OUT_TransportEnergyCons!$A$4:$A$10000))*1,[2]OUT_TransportEnergyCons!H$4:H$10000))*1000</f>
        <v>1.4096749454883502</v>
      </c>
      <c r="K1980" s="1" cm="1">
        <f t="array" ref="K1980">(SUMPRODUCT(("Var_Cap"=[2]OUT_TransportEnergyCons!$B$4:$B$10000)*1,ISNUMBER(SEARCH("T_b_c*bev*s1",[2]OUT_TransportEnergyCons!$A$4:$A$10000))*1,[2]OUT_TransportEnergyCons!I$4:I$10000))*1000</f>
        <v>1.409258126686636</v>
      </c>
      <c r="L1980" s="1" cm="1">
        <f t="array" ref="L1980">(SUMPRODUCT(("Var_Cap"=[2]OUT_TransportEnergyCons!$B$4:$B$10000)*1,ISNUMBER(SEARCH("T_b_c*bev*s1",[2]OUT_TransportEnergyCons!$A$4:$A$10000))*1,[2]OUT_TransportEnergyCons!J$4:J$10000))*1000</f>
        <v>1.4495145184958358</v>
      </c>
      <c r="N1980" s="1"/>
    </row>
    <row r="1981" spans="2:14" x14ac:dyDescent="0.35">
      <c r="B1981" s="5" t="str">
        <f t="shared" si="2034"/>
        <v>SPS1</v>
      </c>
      <c r="C1981" s="5" t="str">
        <f t="shared" si="2035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1.0868309168130717E-2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3.3740361822773055E-2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5.2308625271395459E-2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1.247097489711666</v>
      </c>
      <c r="J1981" s="1" cm="1">
        <f t="array" ref="J1981">(SUMPRODUCT(("Var_Cap"=[2]OUT_TransportEnergyCons!$B$4:$B$10000)*1,ISNUMBER(SEARCH("T_b_c*bev*s2",[2]OUT_TransportEnergyCons!$A$4:$A$10000))*1,[2]OUT_TransportEnergyCons!H$4:H$10000))*1000</f>
        <v>1.2496231760226526</v>
      </c>
      <c r="K1981" s="1" cm="1">
        <f t="array" ref="K1981">(SUMPRODUCT(("Var_Cap"=[2]OUT_TransportEnergyCons!$B$4:$B$10000)*1,ISNUMBER(SEARCH("T_b_c*bev*s2",[2]OUT_TransportEnergyCons!$A$4:$A$10000))*1,[2]OUT_TransportEnergyCons!I$4:I$10000))*1000</f>
        <v>1.2502490389397469</v>
      </c>
      <c r="L1981" s="1" cm="1">
        <f t="array" ref="L1981">(SUMPRODUCT(("Var_Cap"=[2]OUT_TransportEnergyCons!$B$4:$B$10000)*1,ISNUMBER(SEARCH("T_b_c*bev*s2",[2]OUT_TransportEnergyCons!$A$4:$A$10000))*1,[2]OUT_TransportEnergyCons!J$4:J$10000))*1000</f>
        <v>1.2172937830614516</v>
      </c>
      <c r="N1981" s="1"/>
    </row>
    <row r="1982" spans="2:14" x14ac:dyDescent="0.35">
      <c r="B1982" s="5" t="str">
        <f t="shared" si="2034"/>
        <v>SPS1</v>
      </c>
      <c r="C1982" s="5" t="str">
        <f t="shared" si="2035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2.201240081532749E-3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9.8352419257369261E-3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1.683180614967044E-2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0.26705083904713528</v>
      </c>
      <c r="J1982" s="1" cm="1">
        <f t="array" ref="J1982">(SUMPRODUCT(("Var_Cap"=[2]OUT_TransportEnergyCons!$B$4:$B$10000)*1,ISNUMBER(SEARCH("T_b_c*bev*s3",[2]OUT_TransportEnergyCons!$A$4:$A$10000))*1,[2]OUT_TransportEnergyCons!H$4:H$10000))*1000</f>
        <v>0.26767310065150002</v>
      </c>
      <c r="K1982" s="1" cm="1">
        <f t="array" ref="K1982">(SUMPRODUCT(("Var_Cap"=[2]OUT_TransportEnergyCons!$B$4:$B$10000)*1,ISNUMBER(SEARCH("T_b_c*bev*s3",[2]OUT_TransportEnergyCons!$A$4:$A$10000))*1,[2]OUT_TransportEnergyCons!I$4:I$10000))*1000</f>
        <v>0.26737087506764801</v>
      </c>
      <c r="L1982" s="1" cm="1">
        <f t="array" ref="L1982">(SUMPRODUCT(("Var_Cap"=[2]OUT_TransportEnergyCons!$B$4:$B$10000)*1,ISNUMBER(SEARCH("T_b_c*bev*s3",[2]OUT_TransportEnergyCons!$A$4:$A$10000))*1,[2]OUT_TransportEnergyCons!J$4:J$10000))*1000</f>
        <v>0.260349553228163</v>
      </c>
      <c r="N1982" s="1"/>
    </row>
    <row r="1983" spans="2:14" x14ac:dyDescent="0.35">
      <c r="B1983" s="5" t="str">
        <f t="shared" si="2034"/>
        <v>SPS1</v>
      </c>
      <c r="C1983" s="5" t="str">
        <f t="shared" si="2035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3.1037136138987198E-3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5.3288663525052869E-3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3.74005837388872E-3</v>
      </c>
      <c r="J1983" s="1" cm="1">
        <f t="array" ref="J1983">(SUMPRODUCT(("Var_Cap"=[2]OUT_TransportEnergyCons!$B$4:$B$10000)*1,ISNUMBER(SEARCH("T_b_c*bev*s4",[2]OUT_TransportEnergyCons!$A$4:$A$10000))*1,[2]OUT_TransportEnergyCons!H$4:H$10000))*1000</f>
        <v>2.1052854784603202E-4</v>
      </c>
      <c r="K1983" s="1" cm="1">
        <f t="array" ref="K1983">(SUMPRODUCT(("Var_Cap"=[2]OUT_TransportEnergyCons!$B$4:$B$10000)*1,ISNUMBER(SEARCH("T_b_c*bev*s4",[2]OUT_TransportEnergyCons!$A$4:$A$10000))*1,[2]OUT_TransportEnergyCons!I$4:I$10000))*1000</f>
        <v>4.3755121988138431E-4</v>
      </c>
      <c r="L1983" s="1" cm="1">
        <f t="array" ref="L1983">(SUMPRODUCT(("Var_Cap"=[2]OUT_TransportEnergyCons!$B$4:$B$10000)*1,ISNUMBER(SEARCH("T_b_c*bev*s4",[2]OUT_TransportEnergyCons!$A$4:$A$10000))*1,[2]OUT_TransportEnergyCons!J$4:J$10000))*1000</f>
        <v>1.9546121192566299E-4</v>
      </c>
      <c r="N1983" s="1"/>
    </row>
    <row r="1984" spans="2:14" x14ac:dyDescent="0.35">
      <c r="B1984" s="5" t="str">
        <f t="shared" si="2034"/>
        <v>SPS1</v>
      </c>
      <c r="C1984" s="5" t="str">
        <f t="shared" si="2035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2.4352650618957299E-4</v>
      </c>
      <c r="J1984" s="1" cm="1">
        <f t="array" ref="J1984">IF((SUMPRODUCT(("Var_Cap"=[2]OUT_TransportEnergyCons!$B$4:$B$10000)*1,ISNUMBER(SEARCH("T_b_c*h2o*s1",[2]OUT_TransportEnergyCons!$A$4:$A$10000))*1,[2]OUT_TransportEnergyCons!H$4:H$10000))*1000&lt;0,0,(SUMPRODUCT(("Var_Cap"=[2]OUT_TransportEnergyCons!$B$4:$B$10000)*1,ISNUMBER(SEARCH("T_b_c*h2o*s1",[2]OUT_TransportEnergyCons!$A$4:$A$10000))*1,[2]OUT_TransportEnergyCons!H$4:H$10000))*1000)</f>
        <v>3.4341330026418102E-5</v>
      </c>
      <c r="K1984" s="1" cm="1">
        <f t="array" ref="K1984">IF((SUMPRODUCT(("Var_Cap"=[2]OUT_TransportEnergyCons!$B$4:$B$10000)*1,ISNUMBER(SEARCH("T_b_c*h2o*s1",[2]OUT_TransportEnergyCons!$A$4:$A$10000))*1,[2]OUT_TransportEnergyCons!I$4:I$10000))*1000&lt;0,0,(SUMPRODUCT(("Var_Cap"=[2]OUT_TransportEnergyCons!$B$4:$B$10000)*1,ISNUMBER(SEARCH("T_b_c*h2o*s1",[2]OUT_TransportEnergyCons!$A$4:$A$10000))*1,[2]OUT_TransportEnergyCons!I$4:I$10000))*1000)</f>
        <v>3.7678788299648977E-6</v>
      </c>
      <c r="L1984" s="1" cm="1">
        <f t="array" ref="L1984">IF((SUMPRODUCT(("Var_Cap"=[2]OUT_TransportEnergyCons!$B$4:$B$10000)*1,ISNUMBER(SEARCH("T_b_c*h2o*s1",[2]OUT_TransportEnergyCons!$A$4:$A$10000))*1,[2]OUT_TransportEnergyCons!J$4:J$10000))*1000&lt;0,0,(SUMPRODUCT(("Var_Cap"=[2]OUT_TransportEnergyCons!$B$4:$B$10000)*1,ISNUMBER(SEARCH("T_b_c*h2o*s1",[2]OUT_TransportEnergyCons!$A$4:$A$10000))*1,[2]OUT_TransportEnergyCons!J$4:J$10000))*1000)</f>
        <v>1.45794772148442E-5</v>
      </c>
      <c r="N1984" s="1"/>
    </row>
    <row r="1985" spans="2:14" x14ac:dyDescent="0.35">
      <c r="B1985" s="5" t="str">
        <f t="shared" si="2034"/>
        <v>SPS1</v>
      </c>
      <c r="C1985" s="5" t="str">
        <f t="shared" si="2035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2.9779102615912505E-4</v>
      </c>
      <c r="J1985" s="1" cm="1">
        <f t="array" ref="J1985">IF((SUMPRODUCT(("Var_Cap"=[2]OUT_TransportEnergyCons!$B$4:$B$10000)*1,ISNUMBER(SEARCH("T_b_c*h2o*s2",[2]OUT_TransportEnergyCons!$A$4:$A$10000))*1,[2]OUT_TransportEnergyCons!H$4:H$10000))*1000&lt;0,0,(SUMPRODUCT(("Var_Cap"=[2]OUT_TransportEnergyCons!$B$4:$B$10000)*1,ISNUMBER(SEARCH("T_b_c*h2o*s2",[2]OUT_TransportEnergyCons!$A$4:$A$10000))*1,[2]OUT_TransportEnergyCons!H$4:H$10000))*1000)</f>
        <v>0</v>
      </c>
      <c r="K1985" s="1" cm="1">
        <f t="array" ref="K1985">IF((SUMPRODUCT(("Var_Cap"=[2]OUT_TransportEnergyCons!$B$4:$B$10000)*1,ISNUMBER(SEARCH("T_b_c*h2o*s2",[2]OUT_TransportEnergyCons!$A$4:$A$10000))*1,[2]OUT_TransportEnergyCons!I$4:I$10000))*1000&lt;0,0,(SUMPRODUCT(("Var_Cap"=[2]OUT_TransportEnergyCons!$B$4:$B$10000)*1,ISNUMBER(SEARCH("T_b_c*h2o*s2",[2]OUT_TransportEnergyCons!$A$4:$A$10000))*1,[2]OUT_TransportEnergyCons!I$4:I$10000))*1000)</f>
        <v>2.87969728725671E-6</v>
      </c>
      <c r="L1985" s="1" cm="1">
        <f t="array" ref="L1985">IF((SUMPRODUCT(("Var_Cap"=[2]OUT_TransportEnergyCons!$B$4:$B$10000)*1,ISNUMBER(SEARCH("T_b_c*h2o*s2",[2]OUT_TransportEnergyCons!$A$4:$A$10000))*1,[2]OUT_TransportEnergyCons!J$4:J$10000))*1000&lt;0,0,(SUMPRODUCT(("Var_Cap"=[2]OUT_TransportEnergyCons!$B$4:$B$10000)*1,ISNUMBER(SEARCH("T_b_c*h2o*s2",[2]OUT_TransportEnergyCons!$A$4:$A$10000))*1,[2]OUT_TransportEnergyCons!J$4:J$10000))*1000)</f>
        <v>0</v>
      </c>
      <c r="N1985" s="1"/>
    </row>
    <row r="1986" spans="2:14" x14ac:dyDescent="0.35">
      <c r="B1986" s="5" t="str">
        <f t="shared" si="2034"/>
        <v>SPS1</v>
      </c>
      <c r="C1986" s="5" t="str">
        <f t="shared" si="2035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4.4828274458532703E-4</v>
      </c>
      <c r="J1986" s="1" cm="1">
        <f t="array" ref="J1986">IF((SUMPRODUCT(("Var_Cap"=[2]OUT_TransportEnergyCons!$B$4:$B$10000)*1,ISNUMBER(SEARCH("T_b_c*h2o*s3",[2]OUT_TransportEnergyCons!$A$4:$A$10000))*1,[2]OUT_TransportEnergyCons!H$4:H$10000))*1000&lt;0,0,(SUMPRODUCT(("Var_Cap"=[2]OUT_TransportEnergyCons!$B$4:$B$10000)*1,ISNUMBER(SEARCH("T_b_c*h2o*s3",[2]OUT_TransportEnergyCons!$A$4:$A$10000))*1,[2]OUT_TransportEnergyCons!H$4:H$10000))*1000)</f>
        <v>1.9351363948913797E-5</v>
      </c>
      <c r="K1986" s="1" cm="1">
        <f t="array" ref="K1986">IF((SUMPRODUCT(("Var_Cap"=[2]OUT_TransportEnergyCons!$B$4:$B$10000)*1,ISNUMBER(SEARCH("T_b_c*h2o*s3",[2]OUT_TransportEnergyCons!$A$4:$A$10000))*1,[2]OUT_TransportEnergyCons!I$4:I$10000))*1000&lt;0,0,(SUMPRODUCT(("Var_Cap"=[2]OUT_TransportEnergyCons!$B$4:$B$10000)*1,ISNUMBER(SEARCH("T_b_c*h2o*s3",[2]OUT_TransportEnergyCons!$A$4:$A$10000))*1,[2]OUT_TransportEnergyCons!I$4:I$10000))*1000)</f>
        <v>2.23035692649658E-5</v>
      </c>
      <c r="L1986" s="1" cm="1">
        <f t="array" ref="L1986">IF((SUMPRODUCT(("Var_Cap"=[2]OUT_TransportEnergyCons!$B$4:$B$10000)*1,ISNUMBER(SEARCH("T_b_c*h2o*s3",[2]OUT_TransportEnergyCons!$A$4:$A$10000))*1,[2]OUT_TransportEnergyCons!J$4:J$10000))*1000&lt;0,0,(SUMPRODUCT(("Var_Cap"=[2]OUT_TransportEnergyCons!$B$4:$B$10000)*1,ISNUMBER(SEARCH("T_b_c*h2o*s3",[2]OUT_TransportEnergyCons!$A$4:$A$10000))*1,[2]OUT_TransportEnergyCons!J$4:J$10000))*1000)</f>
        <v>1.7280305498393202E-5</v>
      </c>
      <c r="N1986" s="1"/>
    </row>
    <row r="1987" spans="2:14" x14ac:dyDescent="0.35">
      <c r="B1987" s="5" t="str">
        <f t="shared" si="2034"/>
        <v>SPS1</v>
      </c>
      <c r="C1987" s="5" t="str">
        <f t="shared" si="2035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1.2600969072513199E-4</v>
      </c>
      <c r="J1987" s="1" cm="1">
        <f t="array" ref="J1987">IF((SUMPRODUCT(("Var_Cap"=[2]OUT_TransportEnergyCons!$B$4:$B$10000)*1,ISNUMBER(SEARCH("T_b_c*h2o*s4",[2]OUT_TransportEnergyCons!$A$4:$A$10000))*1,[2]OUT_TransportEnergyCons!H$4:H$10000))*1000&lt;0,0,(SUMPRODUCT(("Var_Cap"=[2]OUT_TransportEnergyCons!$B$4:$B$10000)*1,ISNUMBER(SEARCH("T_b_c*h2o*s4",[2]OUT_TransportEnergyCons!$A$4:$A$10000))*1,[2]OUT_TransportEnergyCons!H$4:H$10000))*1000)</f>
        <v>0</v>
      </c>
      <c r="K1987" s="1" cm="1">
        <f t="array" ref="K1987">IF((SUMPRODUCT(("Var_Cap"=[2]OUT_TransportEnergyCons!$B$4:$B$10000)*1,ISNUMBER(SEARCH("T_b_c*h2o*s4",[2]OUT_TransportEnergyCons!$A$4:$A$10000))*1,[2]OUT_TransportEnergyCons!I$4:I$10000))*1000&lt;0,0,(SUMPRODUCT(("Var_Cap"=[2]OUT_TransportEnergyCons!$B$4:$B$10000)*1,ISNUMBER(SEARCH("T_b_c*h2o*s4",[2]OUT_TransportEnergyCons!$A$4:$A$10000))*1,[2]OUT_TransportEnergyCons!I$4:I$10000))*1000)</f>
        <v>0</v>
      </c>
      <c r="L1987" s="1" cm="1">
        <f t="array" ref="L1987">IF((SUMPRODUCT(("Var_Cap"=[2]OUT_TransportEnergyCons!$B$4:$B$10000)*1,ISNUMBER(SEARCH("T_b_c*h2o*s4",[2]OUT_TransportEnergyCons!$A$4:$A$10000))*1,[2]OUT_TransportEnergyCons!J$4:J$10000))*1000&lt;0,0,(SUMPRODUCT(("Var_Cap"=[2]OUT_TransportEnergyCons!$B$4:$B$10000)*1,ISNUMBER(SEARCH("T_b_c*h2o*s4",[2]OUT_TransportEnergyCons!$A$4:$A$10000))*1,[2]OUT_TransportEnergyCons!J$4:J$10000))*1000)</f>
        <v>0</v>
      </c>
      <c r="N1987" s="1"/>
    </row>
    <row r="1988" spans="2:14" x14ac:dyDescent="0.35">
      <c r="B1988" s="5" t="str">
        <f t="shared" si="2034"/>
        <v>SPS1</v>
      </c>
      <c r="C1988" s="5" t="str">
        <f t="shared" si="2035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7.7768263973979013E-2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9.6442351246080041E-2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6.0730231772940626E-4</v>
      </c>
      <c r="J1988" s="1" cm="1">
        <f t="array" ref="J1988">(SUMPRODUCT(("Var_Cap"=[2]OUT_TransportEnergyCons!$B$4:$B$10000)*1,ISNUMBER(SEARCH("T_b_c*hyb*DSL*s1",[2]OUT_TransportEnergyCons!$A$4:$A$10000))*1,[2]OUT_TransportEnergyCons!H$4:H$10000))*1000</f>
        <v>9.2186527872548002E-5</v>
      </c>
      <c r="K1988" s="1" cm="1">
        <f t="array" ref="K1988">(SUMPRODUCT(("Var_Cap"=[2]OUT_TransportEnergyCons!$B$4:$B$10000)*1,ISNUMBER(SEARCH("T_b_c*hyb*DSL*s1",[2]OUT_TransportEnergyCons!$A$4:$A$10000))*1,[2]OUT_TransportEnergyCons!I$4:I$10000))*1000</f>
        <v>1.1508849002015669E-4</v>
      </c>
      <c r="L1988" s="1" cm="1">
        <f t="array" ref="L1988">(SUMPRODUCT(("Var_Cap"=[2]OUT_TransportEnergyCons!$B$4:$B$10000)*1,ISNUMBER(SEARCH("T_b_c*hyb*DSL*s1",[2]OUT_TransportEnergyCons!$A$4:$A$10000))*1,[2]OUT_TransportEnergyCons!J$4:J$10000))*1000</f>
        <v>7.6707854418160608E-5</v>
      </c>
      <c r="N1988" s="1"/>
    </row>
    <row r="1989" spans="2:14" x14ac:dyDescent="0.35">
      <c r="B1989" s="5" t="str">
        <f t="shared" si="2034"/>
        <v>SPS1</v>
      </c>
      <c r="C1989" s="5" t="str">
        <f t="shared" si="2035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7.6129508442832504E-3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1.3742378178404534E-2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6.1570014628680131E-4</v>
      </c>
      <c r="J1989" s="1" cm="1">
        <f t="array" ref="J1989">(SUMPRODUCT(("Var_Cap"=[2]OUT_TransportEnergyCons!$B$4:$B$10000)*1,ISNUMBER(SEARCH("T_b_c*hyb*DSL*s2",[2]OUT_TransportEnergyCons!$A$4:$A$10000))*1,[2]OUT_TransportEnergyCons!H$4:H$10000))*1000</f>
        <v>2.5374408142451007E-5</v>
      </c>
      <c r="K1989" s="1" cm="1">
        <f t="array" ref="K1989">(SUMPRODUCT(("Var_Cap"=[2]OUT_TransportEnergyCons!$B$4:$B$10000)*1,ISNUMBER(SEARCH("T_b_c*hyb*DSL*s2",[2]OUT_TransportEnergyCons!$A$4:$A$10000))*1,[2]OUT_TransportEnergyCons!I$4:I$10000))*1000</f>
        <v>8.2790723206430491E-5</v>
      </c>
      <c r="L1989" s="1" cm="1">
        <f t="array" ref="L1989">(SUMPRODUCT(("Var_Cap"=[2]OUT_TransportEnergyCons!$B$4:$B$10000)*1,ISNUMBER(SEARCH("T_b_c*hyb*DSL*s2",[2]OUT_TransportEnergyCons!$A$4:$A$10000))*1,[2]OUT_TransportEnergyCons!J$4:J$10000))*1000</f>
        <v>5.6931404295480999E-5</v>
      </c>
      <c r="N1989" s="1"/>
    </row>
    <row r="1990" spans="2:14" x14ac:dyDescent="0.35">
      <c r="B1990" s="5" t="str">
        <f t="shared" si="2034"/>
        <v>SPS1</v>
      </c>
      <c r="C1990" s="5" t="str">
        <f t="shared" si="2035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2.8996349118833101E-3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5.2098346965093719E-3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1.4777193708819406E-3</v>
      </c>
      <c r="J1990" s="1" cm="1">
        <f t="array" ref="J1990">(SUMPRODUCT(("Var_Cap"=[2]OUT_TransportEnergyCons!$B$4:$B$10000)*1,ISNUMBER(SEARCH("T_b_c*hyb*DSL*s3",[2]OUT_TransportEnergyCons!$A$4:$A$10000))*1,[2]OUT_TransportEnergyCons!H$4:H$10000))*1000</f>
        <v>6.1039869791058001E-6</v>
      </c>
      <c r="K1990" s="1" cm="1">
        <f t="array" ref="K1990">(SUMPRODUCT(("Var_Cap"=[2]OUT_TransportEnergyCons!$B$4:$B$10000)*1,ISNUMBER(SEARCH("T_b_c*hyb*DSL*s3",[2]OUT_TransportEnergyCons!$A$4:$A$10000))*1,[2]OUT_TransportEnergyCons!I$4:I$10000))*1000</f>
        <v>-1.0558458316662401E-5</v>
      </c>
      <c r="L1990" s="1" cm="1">
        <f t="array" ref="L1990">(SUMPRODUCT(("Var_Cap"=[2]OUT_TransportEnergyCons!$B$4:$B$10000)*1,ISNUMBER(SEARCH("T_b_c*hyb*DSL*s3",[2]OUT_TransportEnergyCons!$A$4:$A$10000))*1,[2]OUT_TransportEnergyCons!J$4:J$10000))*1000</f>
        <v>0</v>
      </c>
      <c r="N1990" s="1"/>
    </row>
    <row r="1991" spans="2:14" x14ac:dyDescent="0.35">
      <c r="B1991" s="5" t="str">
        <f t="shared" si="2034"/>
        <v>SPS1</v>
      </c>
      <c r="C1991" s="5" t="str">
        <f t="shared" si="2035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4.5408025436033801E-4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9.2442566886056599E-4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1.6740735706076502E-4</v>
      </c>
      <c r="J1991" s="1" cm="1">
        <f t="array" ref="J1991">IF((SUMPRODUCT(("Var_Cap"=[2]OUT_TransportEnergyCons!$B$4:$B$10000)*1,ISNUMBER(SEARCH("T_b_c*hyb*DSL*s4",[2]OUT_TransportEnergyCons!$A$4:$A$10000))*1,[2]OUT_TransportEnergyCons!H$4:H$10000))*1000&lt;0,0,(SUMPRODUCT(("Var_Cap"=[2]OUT_TransportEnergyCons!$B$4:$B$10000)*1,ISNUMBER(SEARCH("T_b_c*hyb*DSL*s4",[2]OUT_TransportEnergyCons!$A$4:$A$10000))*1,[2]OUT_TransportEnergyCons!H$4:H$10000))*1000)</f>
        <v>0</v>
      </c>
      <c r="K1991" s="1" cm="1">
        <f t="array" ref="K1991">IF((SUMPRODUCT(("Var_Cap"=[2]OUT_TransportEnergyCons!$B$4:$B$10000)*1,ISNUMBER(SEARCH("T_b_c*hyb*DSL*s4",[2]OUT_TransportEnergyCons!$A$4:$A$10000))*1,[2]OUT_TransportEnergyCons!I$4:I$10000))*1000&lt;0,0,(SUMPRODUCT(("Var_Cap"=[2]OUT_TransportEnergyCons!$B$4:$B$10000)*1,ISNUMBER(SEARCH("T_b_c*hyb*DSL*s4",[2]OUT_TransportEnergyCons!$A$4:$A$10000))*1,[2]OUT_TransportEnergyCons!I$4:I$10000))*1000)</f>
        <v>0</v>
      </c>
      <c r="L1991" s="1" cm="1">
        <f t="array" ref="L1991">IF((SUMPRODUCT(("Var_Cap"=[2]OUT_TransportEnergyCons!$B$4:$B$10000)*1,ISNUMBER(SEARCH("T_b_c*hyb*DSL*s4",[2]OUT_TransportEnergyCons!$A$4:$A$10000))*1,[2]OUT_TransportEnergyCons!J$4:J$10000))*1000&lt;0,0,(SUMPRODUCT(("Var_Cap"=[2]OUT_TransportEnergyCons!$B$4:$B$10000)*1,ISNUMBER(SEARCH("T_b_c*hyb*DSL*s4",[2]OUT_TransportEnergyCons!$A$4:$A$10000))*1,[2]OUT_TransportEnergyCons!J$4:J$10000))*1000)</f>
        <v>0</v>
      </c>
      <c r="N1991" s="1"/>
    </row>
    <row r="1992" spans="2:14" x14ac:dyDescent="0.35">
      <c r="B1992" s="5" t="str">
        <f t="shared" si="2034"/>
        <v>SPS1</v>
      </c>
      <c r="C1992" s="5" t="str">
        <f t="shared" si="2035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1.3033204752126699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0.64448157599793499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(SUMPRODUCT(("Var_Cap"=[2]OUT_TransportEnergyCons!$B$4:$B$10000)*1,ISNUMBER(SEARCH("T_b_c*ICE*DSL*ext",[2]OUT_TransportEnergyCons!$A$4:$A$10000))*1,[2]OUT_TransportEnergyCons!H$4:H$10000))*1000</f>
        <v>0</v>
      </c>
      <c r="K1992" s="1" cm="1">
        <f t="array" ref="K1992">(SUMPRODUCT(("Var_Cap"=[2]OUT_TransportEnergyCons!$B$4:$B$10000)*1,ISNUMBER(SEARCH("T_b_c*ICE*DSL*ext",[2]OUT_TransportEnergyCons!$A$4:$A$10000))*1,[2]OUT_TransportEnergyCons!I$4:I$10000))*1000</f>
        <v>0</v>
      </c>
      <c r="L1992" s="1" cm="1">
        <f t="array" ref="L1992">(SUMPRODUCT(("Var_Cap"=[2]OUT_TransportEnergyCons!$B$4:$B$10000)*1,ISNUMBER(SEARCH("T_b_c*ICE*DSL*ext",[2]OUT_TransportEnergyCons!$A$4:$A$10000))*1,[2]OUT_TransportEnergyCons!J$4:J$10000))*1000</f>
        <v>0</v>
      </c>
      <c r="N1992" s="1"/>
    </row>
    <row r="1993" spans="2:14" x14ac:dyDescent="0.35">
      <c r="B1993" s="5" t="str">
        <f t="shared" si="2034"/>
        <v>SPS1</v>
      </c>
      <c r="C1993" s="5" t="str">
        <f t="shared" si="2035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0.30575236246334953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0.75264672024711587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0.89697881635465126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[2]OUT_TransportEnergyCons!$B$4:$B$10000)*1,ISNUMBER(SEARCH("T_b_c*ICE*DSL*s1",[2]OUT_TransportEnergyCons!$A$4:$A$10000))*1,[2]OUT_TransportEnergyCons!H$4:H$10000))*1000&lt;0,0,(SUMPRODUCT(("Var_Cap"=[2]OUT_TransportEnergyCons!$B$4:$B$10000)*1,ISNUMBER(SEARCH("T_b_c*ICE*DSL*s1",[2]OUT_TransportEnergyCons!$A$4:$A$10000))*1,[2]OUT_TransportEnergyCons!H$4:H$10000))*1000)</f>
        <v>3.2824106188905199E-5</v>
      </c>
      <c r="K1993" s="1" cm="1">
        <f t="array" ref="K1993">IF((SUMPRODUCT(("Var_Cap"=[2]OUT_TransportEnergyCons!$B$4:$B$10000)*1,ISNUMBER(SEARCH("T_b_c*ICE*DSL*s1",[2]OUT_TransportEnergyCons!$A$4:$A$10000))*1,[2]OUT_TransportEnergyCons!I$4:I$10000))*1000&lt;0,0,(SUMPRODUCT(("Var_Cap"=[2]OUT_TransportEnergyCons!$B$4:$B$10000)*1,ISNUMBER(SEARCH("T_b_c*ICE*DSL*s1",[2]OUT_TransportEnergyCons!$A$4:$A$10000))*1,[2]OUT_TransportEnergyCons!I$4:I$10000))*1000)</f>
        <v>5.1154427113875699E-5</v>
      </c>
      <c r="L1993" s="1" cm="1">
        <f t="array" ref="L1993">IF((SUMPRODUCT(("Var_Cap"=[2]OUT_TransportEnergyCons!$B$4:$B$10000)*1,ISNUMBER(SEARCH("T_b_c*ICE*DSL*s1",[2]OUT_TransportEnergyCons!$A$4:$A$10000))*1,[2]OUT_TransportEnergyCons!J$4:J$10000))*1000&lt;0,0,(SUMPRODUCT(("Var_Cap"=[2]OUT_TransportEnergyCons!$B$4:$B$10000)*1,ISNUMBER(SEARCH("T_b_c*ICE*DSL*s1",[2]OUT_TransportEnergyCons!$A$4:$A$10000))*1,[2]OUT_TransportEnergyCons!J$4:J$10000))*1000)</f>
        <v>3.0275010817788899E-5</v>
      </c>
      <c r="N1993" s="1"/>
    </row>
    <row r="1994" spans="2:14" x14ac:dyDescent="0.35">
      <c r="B1994" s="5" t="str">
        <f t="shared" si="2034"/>
        <v>SPS1</v>
      </c>
      <c r="C1994" s="5" t="str">
        <f t="shared" si="2035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0.98770368833323774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0.86994840739833279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0.88613264007148818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[2]OUT_TransportEnergyCons!$B$4:$B$10000)*1,ISNUMBER(SEARCH("T_b_c*ICE*DSL*s2",[2]OUT_TransportEnergyCons!$A$4:$A$10000))*1,[2]OUT_TransportEnergyCons!H$4:H$10000))*1000&lt;0,0,(SUMPRODUCT(("Var_Cap"=[2]OUT_TransportEnergyCons!$B$4:$B$10000)*1,ISNUMBER(SEARCH("T_b_c*ICE*DSL*s2",[2]OUT_TransportEnergyCons!$A$4:$A$10000))*1,[2]OUT_TransportEnergyCons!H$4:H$10000))*1000)</f>
        <v>1.3751572252299999E-5</v>
      </c>
      <c r="K1994" s="1" cm="1">
        <f t="array" ref="K1994">IF((SUMPRODUCT(("Var_Cap"=[2]OUT_TransportEnergyCons!$B$4:$B$10000)*1,ISNUMBER(SEARCH("T_b_c*ICE*DSL*s2",[2]OUT_TransportEnergyCons!$A$4:$A$10000))*1,[2]OUT_TransportEnergyCons!I$4:I$10000))*1000&lt;0,0,(SUMPRODUCT(("Var_Cap"=[2]OUT_TransportEnergyCons!$B$4:$B$10000)*1,ISNUMBER(SEARCH("T_b_c*ICE*DSL*s2",[2]OUT_TransportEnergyCons!$A$4:$A$10000))*1,[2]OUT_TransportEnergyCons!I$4:I$10000))*1000)</f>
        <v>3.16112101047234E-5</v>
      </c>
      <c r="L1994" s="1" cm="1">
        <f t="array" ref="L1994">IF((SUMPRODUCT(("Var_Cap"=[2]OUT_TransportEnergyCons!$B$4:$B$10000)*1,ISNUMBER(SEARCH("T_b_c*ICE*DSL*s2",[2]OUT_TransportEnergyCons!$A$4:$A$10000))*1,[2]OUT_TransportEnergyCons!J$4:J$10000))*1000&lt;0,0,(SUMPRODUCT(("Var_Cap"=[2]OUT_TransportEnergyCons!$B$4:$B$10000)*1,ISNUMBER(SEARCH("T_b_c*ICE*DSL*s2",[2]OUT_TransportEnergyCons!$A$4:$A$10000))*1,[2]OUT_TransportEnergyCons!J$4:J$10000))*1000)</f>
        <v>2.1565197039191699E-5</v>
      </c>
      <c r="N1994" s="1"/>
    </row>
    <row r="1995" spans="2:14" x14ac:dyDescent="0.35">
      <c r="B1995" s="5" t="str">
        <f t="shared" si="2034"/>
        <v>SPS1</v>
      </c>
      <c r="C1995" s="5" t="str">
        <f t="shared" si="2035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0.19278160029703478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0.17371711389741035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0.17974817032420728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3.3844573450798779E-5</v>
      </c>
      <c r="J1995" s="1" cm="1">
        <f t="array" ref="J1995">IF((SUMPRODUCT(("Var_Cap"=[2]OUT_TransportEnergyCons!$B$4:$B$10000)*1,ISNUMBER(SEARCH("T_b_c*ICE*DSL*s3",[2]OUT_TransportEnergyCons!$A$4:$A$10000))*1,[2]OUT_TransportEnergyCons!H$4:H$10000))*1000&lt;0,0,(SUMPRODUCT(("Var_Cap"=[2]OUT_TransportEnergyCons!$B$4:$B$10000)*1,ISNUMBER(SEARCH("T_b_c*ICE*DSL*s3",[2]OUT_TransportEnergyCons!$A$4:$A$10000))*1,[2]OUT_TransportEnergyCons!H$4:H$10000))*1000)</f>
        <v>1.17978609423769E-5</v>
      </c>
      <c r="K1995" s="1" cm="1">
        <f t="array" ref="K1995">IF((SUMPRODUCT(("Var_Cap"=[2]OUT_TransportEnergyCons!$B$4:$B$10000)*1,ISNUMBER(SEARCH("T_b_c*ICE*DSL*s3",[2]OUT_TransportEnergyCons!$A$4:$A$10000))*1,[2]OUT_TransportEnergyCons!I$4:I$10000))*1000&lt;0,0,(SUMPRODUCT(("Var_Cap"=[2]OUT_TransportEnergyCons!$B$4:$B$10000)*1,ISNUMBER(SEARCH("T_b_c*ICE*DSL*s3",[2]OUT_TransportEnergyCons!$A$4:$A$10000))*1,[2]OUT_TransportEnergyCons!I$4:I$10000))*1000)</f>
        <v>3.4117020436575804E-5</v>
      </c>
      <c r="L1995" s="1" cm="1">
        <f t="array" ref="L1995">IF((SUMPRODUCT(("Var_Cap"=[2]OUT_TransportEnergyCons!$B$4:$B$10000)*1,ISNUMBER(SEARCH("T_b_c*ICE*DSL*s3",[2]OUT_TransportEnergyCons!$A$4:$A$10000))*1,[2]OUT_TransportEnergyCons!J$4:J$10000))*1000&lt;0,0,(SUMPRODUCT(("Var_Cap"=[2]OUT_TransportEnergyCons!$B$4:$B$10000)*1,ISNUMBER(SEARCH("T_b_c*ICE*DSL*s3",[2]OUT_TransportEnergyCons!$A$4:$A$10000))*1,[2]OUT_TransportEnergyCons!J$4:J$10000))*1000)</f>
        <v>7.6447863362388409E-6</v>
      </c>
      <c r="N1995" s="1"/>
    </row>
    <row r="1996" spans="2:14" x14ac:dyDescent="0.35">
      <c r="B1996" s="5" t="str">
        <f t="shared" si="2034"/>
        <v>SPS1</v>
      </c>
      <c r="C1996" s="5" t="str">
        <f t="shared" si="2035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3.0218829538064061E-2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3.5715884385527303E-3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4.9442513745004578E-3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[2]OUT_TransportEnergyCons!$B$4:$B$10000)*1,ISNUMBER(SEARCH("T_b_c*ICE*DSL*s4",[2]OUT_TransportEnergyCons!$A$4:$A$10000))*1,[2]OUT_TransportEnergyCons!H$4:H$10000))*1000&lt;0,0,(SUMPRODUCT(("Var_Cap"=[2]OUT_TransportEnergyCons!$B$4:$B$10000)*1,ISNUMBER(SEARCH("T_b_c*ICE*DSL*s4",[2]OUT_TransportEnergyCons!$A$4:$A$10000))*1,[2]OUT_TransportEnergyCons!H$4:H$10000))*1000)</f>
        <v>0</v>
      </c>
      <c r="K1996" s="1" cm="1">
        <f t="array" ref="K1996">IF((SUMPRODUCT(("Var_Cap"=[2]OUT_TransportEnergyCons!$B$4:$B$10000)*1,ISNUMBER(SEARCH("T_b_c*ICE*DSL*s4",[2]OUT_TransportEnergyCons!$A$4:$A$10000))*1,[2]OUT_TransportEnergyCons!I$4:I$10000))*1000&lt;0,0,(SUMPRODUCT(("Var_Cap"=[2]OUT_TransportEnergyCons!$B$4:$B$10000)*1,ISNUMBER(SEARCH("T_b_c*ICE*DSL*s4",[2]OUT_TransportEnergyCons!$A$4:$A$10000))*1,[2]OUT_TransportEnergyCons!I$4:I$10000))*1000)</f>
        <v>0</v>
      </c>
      <c r="L1996" s="1" cm="1">
        <f t="array" ref="L1996">IF((SUMPRODUCT(("Var_Cap"=[2]OUT_TransportEnergyCons!$B$4:$B$10000)*1,ISNUMBER(SEARCH("T_b_c*ICE*DSL*s4",[2]OUT_TransportEnergyCons!$A$4:$A$10000))*1,[2]OUT_TransportEnergyCons!J$4:J$10000))*1000&lt;0,0,(SUMPRODUCT(("Var_Cap"=[2]OUT_TransportEnergyCons!$B$4:$B$10000)*1,ISNUMBER(SEARCH("T_b_c*ICE*DSL*s4",[2]OUT_TransportEnergyCons!$A$4:$A$10000))*1,[2]OUT_TransportEnergyCons!J$4:J$10000))*1000)</f>
        <v>0</v>
      </c>
      <c r="N1996" s="1"/>
    </row>
    <row r="1997" spans="2:14" x14ac:dyDescent="0.35">
      <c r="B1997" s="5" t="str">
        <f t="shared" si="2034"/>
        <v>SPS1</v>
      </c>
      <c r="C1997" s="5" t="str">
        <f t="shared" si="2035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2.97227926078029E-2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1.4420849856955917E-2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(SUMPRODUCT(("Var_Cap"=[2]OUT_TransportEnergyCons!$B$4:$B$10000)*1,ISNUMBER(SEARCH("T_b_c*ICE*nga*ext",[2]OUT_TransportEnergyCons!$A$4:$A$10000))*1,[2]OUT_TransportEnergyCons!H$4:H$10000))*1000</f>
        <v>0</v>
      </c>
      <c r="K1997" s="1" cm="1">
        <f t="array" ref="K1997">(SUMPRODUCT(("Var_Cap"=[2]OUT_TransportEnergyCons!$B$4:$B$10000)*1,ISNUMBER(SEARCH("T_b_c*ICE*nga*ext",[2]OUT_TransportEnergyCons!$A$4:$A$10000))*1,[2]OUT_TransportEnergyCons!I$4:I$10000))*1000</f>
        <v>0</v>
      </c>
      <c r="L1997" s="1" cm="1">
        <f t="array" ref="L1997">(SUMPRODUCT(("Var_Cap"=[2]OUT_TransportEnergyCons!$B$4:$B$10000)*1,ISNUMBER(SEARCH("T_b_c*ICE*nga*ext",[2]OUT_TransportEnergyCons!$A$4:$A$10000))*1,[2]OUT_TransportEnergyCons!J$4:J$10000))*1000</f>
        <v>0</v>
      </c>
      <c r="N1997" s="1"/>
    </row>
    <row r="1998" spans="2:14" x14ac:dyDescent="0.35">
      <c r="B1998" s="5" t="str">
        <f t="shared" si="2034"/>
        <v>SPS1</v>
      </c>
      <c r="C1998" s="5" t="str">
        <f t="shared" si="2035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6.1925291255856699E-3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1.0978638740556518E-2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3.2049735804170077E-4</v>
      </c>
      <c r="J1998" s="1" cm="1">
        <f t="array" ref="J1998">(SUMPRODUCT(("Var_Cap"=[2]OUT_TransportEnergyCons!$B$4:$B$10000)*1,ISNUMBER(SEARCH("T_b_c*ICE*nga*s1",[2]OUT_TransportEnergyCons!$A$4:$A$10000))*1,[2]OUT_TransportEnergyCons!H$4:H$10000))*1000</f>
        <v>2.4307434090736016E-5</v>
      </c>
      <c r="K1998" s="1" cm="1">
        <f t="array" ref="K1998">(SUMPRODUCT(("Var_Cap"=[2]OUT_TransportEnergyCons!$B$4:$B$10000)*1,ISNUMBER(SEARCH("T_b_c*ICE*nga*s1",[2]OUT_TransportEnergyCons!$A$4:$A$10000))*1,[2]OUT_TransportEnergyCons!I$4:I$10000))*1000</f>
        <v>1.5407810971078604E-5</v>
      </c>
      <c r="L1998" s="1" cm="1">
        <f t="array" ref="L1998">(SUMPRODUCT(("Var_Cap"=[2]OUT_TransportEnergyCons!$B$4:$B$10000)*1,ISNUMBER(SEARCH("T_b_c*ICE*nga*s1",[2]OUT_TransportEnergyCons!$A$4:$A$10000))*1,[2]OUT_TransportEnergyCons!J$4:J$10000))*1000</f>
        <v>1.0632420104246301E-5</v>
      </c>
      <c r="N1998" s="1"/>
    </row>
    <row r="1999" spans="2:14" x14ac:dyDescent="0.35">
      <c r="B1999" s="5" t="str">
        <f t="shared" si="2034"/>
        <v>SPS1</v>
      </c>
      <c r="C1999" s="5" t="str">
        <f t="shared" si="2035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3.0337087329467003E-3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7.2405370641048404E-3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1.921079369578395E-4</v>
      </c>
      <c r="J1999" s="1" cm="1">
        <f t="array" ref="J1999">IF((SUMPRODUCT(("Var_Cap"=[2]OUT_TransportEnergyCons!$B$4:$B$10000)*1,ISNUMBER(SEARCH("T_b_c*ICE*nga*s2",[2]OUT_TransportEnergyCons!$A$4:$A$10000))*1,[2]OUT_TransportEnergyCons!H$4:H$10000))*1000&lt;0,0,(SUMPRODUCT(("Var_Cap"=[2]OUT_TransportEnergyCons!$B$4:$B$10000)*1,ISNUMBER(SEARCH("T_b_c*ICE*nga*s2",[2]OUT_TransportEnergyCons!$A$4:$A$10000))*1,[2]OUT_TransportEnergyCons!H$4:H$10000))*1000)</f>
        <v>6.9006133597799864E-7</v>
      </c>
      <c r="K1999" s="1" cm="1">
        <f t="array" ref="K1999">IF((SUMPRODUCT(("Var_Cap"=[2]OUT_TransportEnergyCons!$B$4:$B$10000)*1,ISNUMBER(SEARCH("T_b_c*ICE*nga*s2",[2]OUT_TransportEnergyCons!$A$4:$A$10000))*1,[2]OUT_TransportEnergyCons!I$4:I$10000))*1000&lt;0,0,(SUMPRODUCT(("Var_Cap"=[2]OUT_TransportEnergyCons!$B$4:$B$10000)*1,ISNUMBER(SEARCH("T_b_c*ICE*nga*s2",[2]OUT_TransportEnergyCons!$A$4:$A$10000))*1,[2]OUT_TransportEnergyCons!I$4:I$10000))*1000)</f>
        <v>0</v>
      </c>
      <c r="L1999" s="1" cm="1">
        <f t="array" ref="L1999">IF((SUMPRODUCT(("Var_Cap"=[2]OUT_TransportEnergyCons!$B$4:$B$10000)*1,ISNUMBER(SEARCH("T_b_c*ICE*nga*s2",[2]OUT_TransportEnergyCons!$A$4:$A$10000))*1,[2]OUT_TransportEnergyCons!J$4:J$10000))*1000&lt;0,0,(SUMPRODUCT(("Var_Cap"=[2]OUT_TransportEnergyCons!$B$4:$B$10000)*1,ISNUMBER(SEARCH("T_b_c*ICE*nga*s2",[2]OUT_TransportEnergyCons!$A$4:$A$10000))*1,[2]OUT_TransportEnergyCons!J$4:J$10000))*1000)</f>
        <v>0</v>
      </c>
      <c r="N1999" s="1"/>
    </row>
    <row r="2000" spans="2:14" x14ac:dyDescent="0.35">
      <c r="B2000" s="5" t="str">
        <f t="shared" si="2034"/>
        <v>SPS1</v>
      </c>
      <c r="C2000" s="5" t="str">
        <f t="shared" si="2035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1.8196409797684898E-3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4.5550849416678297E-3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2.4080992613313969E-4</v>
      </c>
      <c r="J2000" s="1" cm="1">
        <f t="array" ref="J2000">(SUMPRODUCT(("Var_Cap"=[2]OUT_TransportEnergyCons!$B$4:$B$10000)*1,ISNUMBER(SEARCH("T_b_c*ICE*nga*s3",[2]OUT_TransportEnergyCons!$A$4:$A$10000))*1,[2]OUT_TransportEnergyCons!H$4:H$10000))*1000</f>
        <v>1.06529199663483E-5</v>
      </c>
      <c r="K2000" s="1" cm="1">
        <f t="array" ref="K2000">(SUMPRODUCT(("Var_Cap"=[2]OUT_TransportEnergyCons!$B$4:$B$10000)*1,ISNUMBER(SEARCH("T_b_c*ICE*nga*s3",[2]OUT_TransportEnergyCons!$A$4:$A$10000))*1,[2]OUT_TransportEnergyCons!I$4:I$10000))*1000</f>
        <v>2.5312802162271199E-5</v>
      </c>
      <c r="L2000" s="1" cm="1">
        <f t="array" ref="L2000">(SUMPRODUCT(("Var_Cap"=[2]OUT_TransportEnergyCons!$B$4:$B$10000)*1,ISNUMBER(SEARCH("T_b_c*ICE*nga*s3",[2]OUT_TransportEnergyCons!$A$4:$A$10000))*1,[2]OUT_TransportEnergyCons!J$4:J$10000))*1000</f>
        <v>5.0213211268727094E-6</v>
      </c>
      <c r="N2000" s="1"/>
    </row>
    <row r="2001" spans="2:14" x14ac:dyDescent="0.35">
      <c r="B2001" s="5" t="str">
        <f t="shared" si="2034"/>
        <v>SPS1</v>
      </c>
      <c r="C2001" s="5" t="str">
        <f t="shared" si="2035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2.3758224202754901E-4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7.39264971942151E-4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0</v>
      </c>
      <c r="J2001" s="1" cm="1">
        <f t="array" ref="J2001">IF((SUMPRODUCT(("Var_Cap"=[2]OUT_TransportEnergyCons!$B$4:$B$10000)*1,ISNUMBER(SEARCH("T_b_c*ICE*nga*s4",[2]OUT_TransportEnergyCons!$A$4:$A$10000))*1,[2]OUT_TransportEnergyCons!H$4:H$10000))*1000&lt;0,0,(SUMPRODUCT(("Var_Cap"=[2]OUT_TransportEnergyCons!$B$4:$B$10000)*1,ISNUMBER(SEARCH("T_b_c*ICE*nga*s4",[2]OUT_TransportEnergyCons!$A$4:$A$10000))*1,[2]OUT_TransportEnergyCons!H$4:H$10000))*1000)</f>
        <v>0</v>
      </c>
      <c r="K2001" s="1" cm="1">
        <f t="array" ref="K2001">IF((SUMPRODUCT(("Var_Cap"=[2]OUT_TransportEnergyCons!$B$4:$B$10000)*1,ISNUMBER(SEARCH("T_b_c*ICE*nga*s4",[2]OUT_TransportEnergyCons!$A$4:$A$10000))*1,[2]OUT_TransportEnergyCons!I$4:I$10000))*1000&lt;0,0,(SUMPRODUCT(("Var_Cap"=[2]OUT_TransportEnergyCons!$B$4:$B$10000)*1,ISNUMBER(SEARCH("T_b_c*ICE*nga*s4",[2]OUT_TransportEnergyCons!$A$4:$A$10000))*1,[2]OUT_TransportEnergyCons!I$4:I$10000))*1000)</f>
        <v>0</v>
      </c>
      <c r="L2001" s="1" cm="1">
        <f t="array" ref="L2001">IF((SUMPRODUCT(("Var_Cap"=[2]OUT_TransportEnergyCons!$B$4:$B$10000)*1,ISNUMBER(SEARCH("T_b_c*ICE*nga*s4",[2]OUT_TransportEnergyCons!$A$4:$A$10000))*1,[2]OUT_TransportEnergyCons!J$4:J$10000))*1000&lt;0,0,(SUMPRODUCT(("Var_Cap"=[2]OUT_TransportEnergyCons!$B$4:$B$10000)*1,ISNUMBER(SEARCH("T_b_c*ICE*nga*s4",[2]OUT_TransportEnergyCons!$A$4:$A$10000))*1,[2]OUT_TransportEnergyCons!J$4:J$10000))*1000)</f>
        <v>0</v>
      </c>
      <c r="N2001" s="1"/>
    </row>
    <row r="2002" spans="2:14" x14ac:dyDescent="0.3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398.27214137424966</v>
      </c>
      <c r="G2002" s="3">
        <f t="shared" ref="G2002:K2002" si="2036">SUM(G2003:G2011)</f>
        <v>399.42697574318652</v>
      </c>
      <c r="H2002" s="3">
        <f t="shared" si="2036"/>
        <v>406.59439126112653</v>
      </c>
      <c r="I2002" s="3">
        <f t="shared" si="2036"/>
        <v>418.59076594255868</v>
      </c>
      <c r="J2002" s="3">
        <f t="shared" si="2036"/>
        <v>442.2767923156353</v>
      </c>
      <c r="K2002" s="3">
        <f t="shared" si="2036"/>
        <v>470.62672477141325</v>
      </c>
      <c r="L2002" s="3">
        <f t="shared" ref="L2002" si="2037">SUM(L2003:L2011)</f>
        <v>536.83246067169125</v>
      </c>
      <c r="N2002" s="1"/>
    </row>
    <row r="2003" spans="2:14" x14ac:dyDescent="0.35">
      <c r="B2003" s="5" t="str">
        <f t="shared" ref="B2003:B2011" si="2038">B2002</f>
        <v>SPS1</v>
      </c>
      <c r="C2003" s="5" t="str">
        <f t="shared" ref="C2003:C2011" si="2039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1.95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1.2999221587943475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0.64995158468443881</v>
      </c>
      <c r="J2003" s="1" cm="1">
        <f t="array" ref="J2003">(SUMPRODUCT(("Var_Cap"=[2]OUT_TransportEnergyCons!$B$4:$B$10000)*1,("-"=[2]OUT_TransportEnergyCons!$C$4:$C$10000)*1,ISNUMBER(SEARCH("tfl*bev*ext",[2]OUT_TransportEnergyCons!$A$4:$A$10000))*1,[2]OUT_TransportEnergyCons!H$4:H$10000))*1000</f>
        <v>0</v>
      </c>
      <c r="K2003" s="1" cm="1">
        <f t="array" ref="K2003">(SUMPRODUCT(("Var_Cap"=[2]OUT_TransportEnergyCons!$B$4:$B$10000)*1,("-"=[2]OUT_TransportEnergyCons!$C$4:$C$10000)*1,ISNUMBER(SEARCH("tfl*bev*ext",[2]OUT_TransportEnergyCons!$A$4:$A$10000))*1,[2]OUT_TransportEnergyCons!I$4:I$10000))*1000</f>
        <v>0</v>
      </c>
      <c r="L2003" s="1" cm="1">
        <f t="array" ref="L2003">(SUMPRODUCT(("Var_Cap"=[2]OUT_TransportEnergyCons!$B$4:$B$10000)*1,("-"=[2]OUT_TransportEnergyCons!$C$4:$C$10000)*1,ISNUMBER(SEARCH("tfl*bev*ext",[2]OUT_TransportEnergyCons!$A$4:$A$10000))*1,[2]OUT_TransportEnergyCons!J$4:J$10000))*1000</f>
        <v>0</v>
      </c>
      <c r="N2003" s="1"/>
    </row>
    <row r="2004" spans="2:14" x14ac:dyDescent="0.35">
      <c r="B2004" s="5" t="str">
        <f t="shared" si="2038"/>
        <v>SPS1</v>
      </c>
      <c r="C2004" s="5" t="str">
        <f t="shared" si="2039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1.6973488371809122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6.2323728735079209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9.1356317991614944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145.02022408433936</v>
      </c>
      <c r="J2004" s="1" cm="1">
        <f t="array" ref="J2004">(SUMPRODUCT(("Var_Cap"=[2]OUT_TransportEnergyCons!$B$4:$B$10000)*1,("-"=[2]OUT_TransportEnergyCons!$C$4:$C$10000)*1,ISNUMBER(SEARCH("tfl*bev*",[2]OUT_TransportEnergyCons!$A$4:$A$10000))*1,[2]OUT_TransportEnergyCons!H$4:H$10000))*1000-J2003</f>
        <v>388.28171932620648</v>
      </c>
      <c r="K2004" s="1" cm="1">
        <f t="array" ref="K2004">(SUMPRODUCT(("Var_Cap"=[2]OUT_TransportEnergyCons!$B$4:$B$10000)*1,("-"=[2]OUT_TransportEnergyCons!$C$4:$C$10000)*1,ISNUMBER(SEARCH("tfl*bev*",[2]OUT_TransportEnergyCons!$A$4:$A$10000))*1,[2]OUT_TransportEnergyCons!I$4:I$10000))*1000-K2003</f>
        <v>470.61917025738711</v>
      </c>
      <c r="L2004" s="1" cm="1">
        <f t="array" ref="L2004">(SUMPRODUCT(("Var_Cap"=[2]OUT_TransportEnergyCons!$B$4:$B$10000)*1,("-"=[2]OUT_TransportEnergyCons!$C$4:$C$10000)*1,ISNUMBER(SEARCH("tfl*bev*",[2]OUT_TransportEnergyCons!$A$4:$A$10000))*1,[2]OUT_TransportEnergyCons!J$4:J$10000))*1000-L2003</f>
        <v>536.83187060776061</v>
      </c>
      <c r="N2004" s="1"/>
    </row>
    <row r="2005" spans="2:14" x14ac:dyDescent="0.35">
      <c r="B2005" s="5" t="str">
        <f t="shared" si="2038"/>
        <v>SPS1</v>
      </c>
      <c r="C2005" s="5" t="str">
        <f t="shared" si="2039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3.0327895704679197E-2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4.6281098085736314E-2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1.1130429089977705E-2</v>
      </c>
      <c r="J2005" s="1" cm="1">
        <f t="array" ref="J2005">(SUMPRODUCT(("Var_Cap"=[2]OUT_TransportEnergyCons!$B$4:$B$10000)*1,("-"=[2]OUT_TransportEnergyCons!$C$4:$C$10000)*1,ISNUMBER(SEARCH("tfl*h2o*",[2]OUT_TransportEnergyCons!$A$4:$A$10000))*1,[2]OUT_TransportEnergyCons!H$4:H$10000))*1000</f>
        <v>6.4509685979526629E-4</v>
      </c>
      <c r="K2005" s="1" cm="1">
        <f t="array" ref="K2005">(SUMPRODUCT(("Var_Cap"=[2]OUT_TransportEnergyCons!$B$4:$B$10000)*1,("-"=[2]OUT_TransportEnergyCons!$C$4:$C$10000)*1,ISNUMBER(SEARCH("tfl*h2o*",[2]OUT_TransportEnergyCons!$A$4:$A$10000))*1,[2]OUT_TransportEnergyCons!I$4:I$10000))*1000</f>
        <v>5.9667209655099053E-4</v>
      </c>
      <c r="L2005" s="1" cm="1">
        <f t="array" ref="L2005">(SUMPRODUCT(("Var_Cap"=[2]OUT_TransportEnergyCons!$B$4:$B$10000)*1,("-"=[2]OUT_TransportEnergyCons!$C$4:$C$10000)*1,ISNUMBER(SEARCH("tfl*h2o*",[2]OUT_TransportEnergyCons!$A$4:$A$10000))*1,[2]OUT_TransportEnergyCons!J$4:J$10000))*1000</f>
        <v>5.9006393068126702E-4</v>
      </c>
      <c r="N2005" s="1"/>
    </row>
    <row r="2006" spans="2:14" x14ac:dyDescent="0.35">
      <c r="B2006" s="5" t="str">
        <f t="shared" si="2038"/>
        <v>SPS1</v>
      </c>
      <c r="C2006" s="5" t="str">
        <f t="shared" si="2039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45.951999999999998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30.634400681765207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15.317247261841105</v>
      </c>
      <c r="J2006" s="1" cm="1">
        <f t="array" ref="J2006">(SUMPRODUCT(("Var_Cap"=[2]OUT_TransportEnergyCons!$B$4:$B$10000)*1,("-"=[2]OUT_TransportEnergyCons!$C$4:$C$10000)*1,ISNUMBER(SEARCH("TfL*ICE*GSL*ext",[2]OUT_TransportEnergyCons!$A$4:$A$10000))*1,[2]OUT_TransportEnergyCons!H$4:H$10000))*1000</f>
        <v>0</v>
      </c>
      <c r="K2006" s="1" cm="1">
        <f t="array" ref="K2006">(SUMPRODUCT(("Var_Cap"=[2]OUT_TransportEnergyCons!$B$4:$B$10000)*1,("-"=[2]OUT_TransportEnergyCons!$C$4:$C$10000)*1,ISNUMBER(SEARCH("TfL*ICE*GSL*ext",[2]OUT_TransportEnergyCons!$A$4:$A$10000))*1,[2]OUT_TransportEnergyCons!I$4:I$10000))*1000</f>
        <v>0</v>
      </c>
      <c r="L2006" s="1" cm="1">
        <f t="array" ref="L2006">(SUMPRODUCT(("Var_Cap"=[2]OUT_TransportEnergyCons!$B$4:$B$10000)*1,("-"=[2]OUT_TransportEnergyCons!$C$4:$C$10000)*1,ISNUMBER(SEARCH("TfL*ICE*GSL*ext",[2]OUT_TransportEnergyCons!$A$4:$A$10000))*1,[2]OUT_TransportEnergyCons!J$4:J$10000))*1000</f>
        <v>0</v>
      </c>
      <c r="N2006" s="1"/>
    </row>
    <row r="2007" spans="2:14" x14ac:dyDescent="0.35">
      <c r="B2007" s="5" t="str">
        <f t="shared" si="2038"/>
        <v>SPS1</v>
      </c>
      <c r="C2007" s="5" t="str">
        <f t="shared" si="2039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10.834430301679333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18.40753937375375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31.034308501779691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52.533946961714975</v>
      </c>
      <c r="J2007" s="1" cm="1">
        <f t="array" ref="J2007">(SUMPRODUCT(("Var_Cap"=[2]OUT_TransportEnergyCons!$B$4:$B$10000)*1,("-"=[2]OUT_TransportEnergyCons!$C$4:$C$10000)*1,ISNUMBER(SEARCH("TfL*ICE*GSL*",[2]OUT_TransportEnergyCons!$A$4:$A$10000))*1,[2]OUT_TransportEnergyCons!H$4:H$10000))*1000-J2006</f>
        <v>28.392542926618493</v>
      </c>
      <c r="K2007" s="1" cm="1">
        <f t="array" ref="K2007">(SUMPRODUCT(("Var_Cap"=[2]OUT_TransportEnergyCons!$B$4:$B$10000)*1,("-"=[2]OUT_TransportEnergyCons!$C$4:$C$10000)*1,ISNUMBER(SEARCH("TfL*ICE*GSL*",[2]OUT_TransportEnergyCons!$A$4:$A$10000))*1,[2]OUT_TransportEnergyCons!I$4:I$10000))*1000-K2006</f>
        <v>1.9937692928798795E-3</v>
      </c>
      <c r="L2007" s="1" cm="1">
        <f t="array" ref="L2007">(SUMPRODUCT(("Var_Cap"=[2]OUT_TransportEnergyCons!$B$4:$B$10000)*1,("-"=[2]OUT_TransportEnergyCons!$C$4:$C$10000)*1,ISNUMBER(SEARCH("TfL*ICE*GSL*",[2]OUT_TransportEnergyCons!$A$4:$A$10000))*1,[2]OUT_TransportEnergyCons!J$4:J$10000))*1000-L2006</f>
        <v>0</v>
      </c>
      <c r="N2007" s="1"/>
    </row>
    <row r="2008" spans="2:14" x14ac:dyDescent="0.35">
      <c r="B2008" s="5" t="str">
        <f t="shared" si="2038"/>
        <v>SPS1</v>
      </c>
      <c r="C2008" s="5" t="str">
        <f t="shared" si="2039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228.99299999999999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152.64877060509787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76.330725922629725</v>
      </c>
      <c r="J2008" s="1" cm="1">
        <f t="array" ref="J2008">(SUMPRODUCT(("Var_Cap"=[2]OUT_TransportEnergyCons!$B$4:$B$10000)*1,("-"=[2]OUT_TransportEnergyCons!$C$4:$C$10000)*1,ISNUMBER(SEARCH("tfl*ICE*DSL*ext",[2]OUT_TransportEnergyCons!$A$4:$A$10000))*1,[2]OUT_TransportEnergyCons!H$4:H$10000))*1000</f>
        <v>0</v>
      </c>
      <c r="K2008" s="1" cm="1">
        <f t="array" ref="K2008">(SUMPRODUCT(("Var_Cap"=[2]OUT_TransportEnergyCons!$B$4:$B$10000)*1,("-"=[2]OUT_TransportEnergyCons!$C$4:$C$10000)*1,ISNUMBER(SEARCH("tfl*ICE*DSL*ext",[2]OUT_TransportEnergyCons!$A$4:$A$10000))*1,[2]OUT_TransportEnergyCons!I$4:I$10000))*1000</f>
        <v>0</v>
      </c>
      <c r="L2008" s="1" cm="1">
        <f t="array" ref="L2008">(SUMPRODUCT(("Var_Cap"=[2]OUT_TransportEnergyCons!$B$4:$B$10000)*1,("-"=[2]OUT_TransportEnergyCons!$C$4:$C$10000)*1,ISNUMBER(SEARCH("tfl*ICE*DSL*ext",[2]OUT_TransportEnergyCons!$A$4:$A$10000))*1,[2]OUT_TransportEnergyCons!J$4:J$10000))*1000</f>
        <v>0</v>
      </c>
      <c r="N2008" s="1"/>
    </row>
    <row r="2009" spans="2:14" x14ac:dyDescent="0.35">
      <c r="B2009" s="5" t="str">
        <f t="shared" si="2038"/>
        <v>SPS1</v>
      </c>
      <c r="C2009" s="5" t="str">
        <f t="shared" si="2039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106.16067873160853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125.49680483119329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127.14439780081921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73.597664614263763</v>
      </c>
      <c r="J2009" s="1" cm="1">
        <f t="array" ref="J2009">(SUMPRODUCT(("Var_Cap"=[2]OUT_TransportEnergyCons!$B$4:$B$10000)*1,("-"=[2]OUT_TransportEnergyCons!$C$4:$C$10000)*1,ISNUMBER(SEARCH("tfl*ICE*DSL*",[2]OUT_TransportEnergyCons!$A$4:$A$10000))*1,[2]OUT_TransportEnergyCons!H$4:H$10000))*1000-J2008</f>
        <v>7.5017130915617958E-2</v>
      </c>
      <c r="K2009" s="1" cm="1">
        <f t="array" ref="K2009">(SUMPRODUCT(("Var_Cap"=[2]OUT_TransportEnergyCons!$B$4:$B$10000)*1,("-"=[2]OUT_TransportEnergyCons!$C$4:$C$10000)*1,ISNUMBER(SEARCH("tfl*ICE*DSL*",[2]OUT_TransportEnergyCons!$A$4:$A$10000))*1,[2]OUT_TransportEnergyCons!I$4:I$10000))*1000-K2008</f>
        <v>1.9108415802863209E-3</v>
      </c>
      <c r="L2009" s="1" cm="1">
        <f t="array" ref="L2009">(SUMPRODUCT(("Var_Cap"=[2]OUT_TransportEnergyCons!$B$4:$B$10000)*1,("-"=[2]OUT_TransportEnergyCons!$C$4:$C$10000)*1,ISNUMBER(SEARCH("tfl*ICE*DSL*",[2]OUT_TransportEnergyCons!$A$4:$A$10000))*1,[2]OUT_TransportEnergyCons!J$4:J$10000))*1000-L2008</f>
        <v>0</v>
      </c>
      <c r="N2009" s="1"/>
    </row>
    <row r="2010" spans="2:14" x14ac:dyDescent="0.35">
      <c r="B2010" s="5" t="str">
        <f t="shared" si="2038"/>
        <v>SPS1</v>
      </c>
      <c r="C2010" s="5" t="str">
        <f t="shared" si="2039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6.7094236436468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52.461006499486011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55.002130813293107</v>
      </c>
      <c r="J2010" s="1" cm="1">
        <f t="array" ref="J2010">(SUMPRODUCT(("Var_Cap"=[2]OUT_TransportEnergyCons!$B$4:$B$10000)*1,("-"=[2]OUT_TransportEnergyCons!$C$4:$C$10000)*1,ISNUMBER(SEARCH("tfl*hyb*DSL*",[2]OUT_TransportEnergyCons!$A$4:$A$10000))*1,[2]OUT_TransportEnergyCons!H$4:H$10000))*1000</f>
        <v>25.525763130179229</v>
      </c>
      <c r="K2010" s="1" cm="1">
        <f t="array" ref="K2010">(SUMPRODUCT(("Var_Cap"=[2]OUT_TransportEnergyCons!$B$4:$B$10000)*1,("-"=[2]OUT_TransportEnergyCons!$C$4:$C$10000)*1,ISNUMBER(SEARCH("tfl*hyb*DSL*",[2]OUT_TransportEnergyCons!$A$4:$A$10000))*1,[2]OUT_TransportEnergyCons!I$4:I$10000))*1000</f>
        <v>2.9056300205397936E-3</v>
      </c>
      <c r="L2010" s="1" cm="1">
        <f t="array" ref="L2010">(SUMPRODUCT(("Var_Cap"=[2]OUT_TransportEnergyCons!$B$4:$B$10000)*1,("-"=[2]OUT_TransportEnergyCons!$C$4:$C$10000)*1,ISNUMBER(SEARCH("tfl*hyb*DSL*",[2]OUT_TransportEnergyCons!$A$4:$A$10000))*1,[2]OUT_TransportEnergyCons!J$4:J$10000))*1000</f>
        <v>0</v>
      </c>
      <c r="N2010" s="1"/>
    </row>
    <row r="2011" spans="2:14" x14ac:dyDescent="0.35">
      <c r="B2011" s="5" t="str">
        <f t="shared" si="2038"/>
        <v>SPS1</v>
      </c>
      <c r="C2011" s="5" t="str">
        <f t="shared" si="2039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2.6846835037808647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2.574840458713394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2.1896721161370123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0.12774427070225</v>
      </c>
      <c r="J2011" s="1" cm="1">
        <f t="array" ref="J2011">(SUMPRODUCT(("Var_Cap"=[2]OUT_TransportEnergyCons!$B$4:$B$10000)*1,("-"=[2]OUT_TransportEnergyCons!$C$4:$C$10000)*1,ISNUMBER(SEARCH("tfl*ice*nga*",[2]OUT_TransportEnergyCons!$A$4:$A$10000))*1,[2]OUT_TransportEnergyCons!H$4:H$10000))*1000</f>
        <v>1.1047048556831209E-3</v>
      </c>
      <c r="K2011" s="1" cm="1">
        <f t="array" ref="K2011">(SUMPRODUCT(("Var_Cap"=[2]OUT_TransportEnergyCons!$B$4:$B$10000)*1,("-"=[2]OUT_TransportEnergyCons!$C$4:$C$10000)*1,ISNUMBER(SEARCH("tfl*ice*nga*",[2]OUT_TransportEnergyCons!$A$4:$A$10000))*1,[2]OUT_TransportEnergyCons!I$4:I$10000))*1000</f>
        <v>1.47601035831338E-4</v>
      </c>
      <c r="L2011" s="1" cm="1">
        <f t="array" ref="L2011">(SUMPRODUCT(("Var_Cap"=[2]OUT_TransportEnergyCons!$B$4:$B$10000)*1,("-"=[2]OUT_TransportEnergyCons!$C$4:$C$10000)*1,ISNUMBER(SEARCH("tfl*ice*nga*",[2]OUT_TransportEnergyCons!$A$4:$A$10000))*1,[2]OUT_TransportEnergyCons!J$4:J$10000))*1000</f>
        <v>0</v>
      </c>
      <c r="N2011" s="1"/>
    </row>
    <row r="2012" spans="2:14" x14ac:dyDescent="0.3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41.615409304618773</v>
      </c>
      <c r="G2012" s="3">
        <f t="shared" ref="G2012" si="2040">SUM(G2013:G2021)</f>
        <v>43.007057546441565</v>
      </c>
      <c r="H2012" s="3">
        <f t="shared" ref="H2012" si="2041">SUM(H2013:H2021)</f>
        <v>43.443583184327622</v>
      </c>
      <c r="I2012" s="3">
        <f t="shared" ref="I2012" si="2042">SUM(I2013:I2021)</f>
        <v>45.254769155425556</v>
      </c>
      <c r="J2012" s="3">
        <f t="shared" ref="J2012" si="2043">SUM(J2013:J2021)</f>
        <v>47.197783316954279</v>
      </c>
      <c r="K2012" s="3">
        <f t="shared" ref="K2012:L2012" si="2044">SUM(K2013:K2021)</f>
        <v>49.1408158888485</v>
      </c>
      <c r="L2012" s="3">
        <f t="shared" si="2044"/>
        <v>53.072985345218747</v>
      </c>
      <c r="N2012" s="1"/>
    </row>
    <row r="2013" spans="2:14" x14ac:dyDescent="0.35">
      <c r="B2013" s="5" t="str">
        <f t="shared" ref="B2013:B2021" si="2045">B2012</f>
        <v>SPS1</v>
      </c>
      <c r="C2013" s="5" t="str">
        <f t="shared" ref="C2013:C2021" si="2046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(SUMPRODUCT(("Var_Cap"=[2]OUT_TransportEnergyCons!$B$4:$B$10000)*1,("-"=[2]OUT_TransportEnergyCons!$C$4:$C$10000)*1,ISNUMBER(SEARCH("tfh*bev*ext",[2]OUT_TransportEnergyCons!$A$4:$A$10000))*1,[2]OUT_TransportEnergyCons!H$4:H$10000))*1000</f>
        <v>0</v>
      </c>
      <c r="K2013" s="1" cm="1">
        <f t="array" ref="K2013">(SUMPRODUCT(("Var_Cap"=[2]OUT_TransportEnergyCons!$B$4:$B$10000)*1,("-"=[2]OUT_TransportEnergyCons!$C$4:$C$10000)*1,ISNUMBER(SEARCH("tfh*bev*ext",[2]OUT_TransportEnergyCons!$A$4:$A$10000))*1,[2]OUT_TransportEnergyCons!I$4:I$10000))*1000</f>
        <v>0</v>
      </c>
      <c r="L2013" s="1" cm="1">
        <f t="array" ref="L2013">(SUMPRODUCT(("Var_Cap"=[2]OUT_TransportEnergyCons!$B$4:$B$10000)*1,("-"=[2]OUT_TransportEnergyCons!$C$4:$C$10000)*1,ISNUMBER(SEARCH("tfh*bev*ext",[2]OUT_TransportEnergyCons!$A$4:$A$10000))*1,[2]OUT_TransportEnergyCons!J$4:J$10000))*1000</f>
        <v>0</v>
      </c>
      <c r="N2013" s="1"/>
    </row>
    <row r="2014" spans="2:14" x14ac:dyDescent="0.35">
      <c r="B2014" s="5" t="str">
        <f t="shared" si="2045"/>
        <v>SPS1</v>
      </c>
      <c r="C2014" s="5" t="str">
        <f t="shared" si="2046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5.1929607422899017E-2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0.20365637277973964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0.30720462489112732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14.180803239640509</v>
      </c>
      <c r="J2014" s="1" cm="1">
        <f t="array" ref="J2014">(SUMPRODUCT(("Var_Cap"=[2]OUT_TransportEnergyCons!$B$4:$B$10000)*1,("-"=[2]OUT_TransportEnergyCons!$C$4:$C$10000)*1,ISNUMBER(SEARCH("tfh*bev*",[2]OUT_TransportEnergyCons!$A$4:$A$10000))*1,[2]OUT_TransportEnergyCons!H$4:H$10000))*1000-J2013</f>
        <v>9.2032100064299289</v>
      </c>
      <c r="K2014" s="1" cm="1">
        <f t="array" ref="K2014">(SUMPRODUCT(("Var_Cap"=[2]OUT_TransportEnergyCons!$B$4:$B$10000)*1,("-"=[2]OUT_TransportEnergyCons!$C$4:$C$10000)*1,ISNUMBER(SEARCH("tfh*bev*",[2]OUT_TransportEnergyCons!$A$4:$A$10000))*1,[2]OUT_TransportEnergyCons!I$4:I$10000))*1000-K2013</f>
        <v>27.2936818974934</v>
      </c>
      <c r="L2014" s="1" cm="1">
        <f t="array" ref="L2014">(SUMPRODUCT(("Var_Cap"=[2]OUT_TransportEnergyCons!$B$4:$B$10000)*1,("-"=[2]OUT_TransportEnergyCons!$C$4:$C$10000)*1,ISNUMBER(SEARCH("tfh*bev*",[2]OUT_TransportEnergyCons!$A$4:$A$10000))*1,[2]OUT_TransportEnergyCons!J$4:J$10000))*1000-L2013</f>
        <v>53.071407382524299</v>
      </c>
      <c r="N2014" s="1"/>
    </row>
    <row r="2015" spans="2:14" x14ac:dyDescent="0.35">
      <c r="B2015" s="5" t="str">
        <f t="shared" si="2045"/>
        <v>SPS1</v>
      </c>
      <c r="C2015" s="5" t="str">
        <f t="shared" si="2046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1.3980072444518665E-2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4.7282724270338368E-2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5.074897440208205E-2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1.795834022622534E-2</v>
      </c>
      <c r="J2015" s="1" cm="1">
        <f t="array" ref="J2015">IF((SUMPRODUCT(("Var_Cap"=[2]OUT_TransportEnergyCons!$B$4:$B$10000)*1,("-"=[2]OUT_TransportEnergyCons!$C$4:$C$10000)*1,ISNUMBER(SEARCH("tfh*h2o*",[2]OUT_TransportEnergyCons!$A$4:$A$10000))*1,[2]OUT_TransportEnergyCons!H$4:H$10000))*1000&lt;0,0,(SUMPRODUCT(("Var_Cap"=[2]OUT_TransportEnergyCons!$B$4:$B$10000)*1,("-"=[2]OUT_TransportEnergyCons!$C$4:$C$10000)*1,ISNUMBER(SEARCH("tfh*h2o*",[2]OUT_TransportEnergyCons!$A$4:$A$10000))*1,[2]OUT_TransportEnergyCons!H$4:H$10000))*1000)</f>
        <v>1.0091225176371398E-3</v>
      </c>
      <c r="K2015" s="1" cm="1">
        <f t="array" ref="K2015">IF((SUMPRODUCT(("Var_Cap"=[2]OUT_TransportEnergyCons!$B$4:$B$10000)*1,("-"=[2]OUT_TransportEnergyCons!$C$4:$C$10000)*1,ISNUMBER(SEARCH("tfh*h2o*",[2]OUT_TransportEnergyCons!$A$4:$A$10000))*1,[2]OUT_TransportEnergyCons!I$4:I$10000))*1000&lt;0,0,(SUMPRODUCT(("Var_Cap"=[2]OUT_TransportEnergyCons!$B$4:$B$10000)*1,("-"=[2]OUT_TransportEnergyCons!$C$4:$C$10000)*1,ISNUMBER(SEARCH("tfh*h2o*",[2]OUT_TransportEnergyCons!$A$4:$A$10000))*1,[2]OUT_TransportEnergyCons!I$4:I$10000))*1000)</f>
        <v>9.694560725408177E-4</v>
      </c>
      <c r="L2015" s="1" cm="1">
        <f t="array" ref="L2015">IF((SUMPRODUCT(("Var_Cap"=[2]OUT_TransportEnergyCons!$B$4:$B$10000)*1,("-"=[2]OUT_TransportEnergyCons!$C$4:$C$10000)*1,ISNUMBER(SEARCH("tfh*h2o*",[2]OUT_TransportEnergyCons!$A$4:$A$10000))*1,[2]OUT_TransportEnergyCons!J$4:J$10000))*1000&lt;0,0,(SUMPRODUCT(("Var_Cap"=[2]OUT_TransportEnergyCons!$B$4:$B$10000)*1,("-"=[2]OUT_TransportEnergyCons!$C$4:$C$10000)*1,ISNUMBER(SEARCH("tfh*h2o*",[2]OUT_TransportEnergyCons!$A$4:$A$10000))*1,[2]OUT_TransportEnergyCons!J$4:J$10000))*1000)</f>
        <v>9.2906588601933697E-4</v>
      </c>
      <c r="N2015" s="1"/>
    </row>
    <row r="2016" spans="2:14" x14ac:dyDescent="0.35">
      <c r="B2016" s="5" t="str">
        <f t="shared" si="2045"/>
        <v>SPS1</v>
      </c>
      <c r="C2016" s="5" t="str">
        <f t="shared" si="2046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(SUMPRODUCT(("Var_Cap"=[2]OUT_TransportEnergyCons!$B$4:$B$10000)*1,("-"=[2]OUT_TransportEnergyCons!$C$4:$C$10000)*1,ISNUMBER(SEARCH("tfh*ICE*GSL*ext",[2]OUT_TransportEnergyCons!$A$4:$A$10000))*1,[2]OUT_TransportEnergyCons!H$4:H$10000))*1000</f>
        <v>0</v>
      </c>
      <c r="K2016" s="1" cm="1">
        <f t="array" ref="K2016">(SUMPRODUCT(("Var_Cap"=[2]OUT_TransportEnergyCons!$B$4:$B$10000)*1,("-"=[2]OUT_TransportEnergyCons!$C$4:$C$10000)*1,ISNUMBER(SEARCH("tfh*ICE*GSL*ext",[2]OUT_TransportEnergyCons!$A$4:$A$10000))*1,[2]OUT_TransportEnergyCons!I$4:I$10000))*1000</f>
        <v>0</v>
      </c>
      <c r="L2016" s="1" cm="1">
        <f t="array" ref="L2016">(SUMPRODUCT(("Var_Cap"=[2]OUT_TransportEnergyCons!$B$4:$B$10000)*1,("-"=[2]OUT_TransportEnergyCons!$C$4:$C$10000)*1,ISNUMBER(SEARCH("tfh*ICE*GSL*ext",[2]OUT_TransportEnergyCons!$A$4:$A$10000))*1,[2]OUT_TransportEnergyCons!J$4:J$10000))*1000</f>
        <v>0</v>
      </c>
      <c r="N2016" s="1"/>
    </row>
    <row r="2017" spans="2:14" x14ac:dyDescent="0.35">
      <c r="B2017" s="5" t="str">
        <f t="shared" si="2045"/>
        <v>SPS1</v>
      </c>
      <c r="C2017" s="5" t="str">
        <f t="shared" si="2046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(SUMPRODUCT(("Var_Cap"=[2]OUT_TransportEnergyCons!$B$4:$B$10000)*1,("-"=[2]OUT_TransportEnergyCons!$C$4:$C$10000)*1,ISNUMBER(SEARCH("tfh*ICE*GSL*",[2]OUT_TransportEnergyCons!$A$4:$A$10000))*1,[2]OUT_TransportEnergyCons!H$4:H$10000))*1000-J2016</f>
        <v>0</v>
      </c>
      <c r="K2017" s="1" cm="1">
        <f t="array" ref="K2017">(SUMPRODUCT(("Var_Cap"=[2]OUT_TransportEnergyCons!$B$4:$B$10000)*1,("-"=[2]OUT_TransportEnergyCons!$C$4:$C$10000)*1,ISNUMBER(SEARCH("tfh*ICE*GSL*",[2]OUT_TransportEnergyCons!$A$4:$A$10000))*1,[2]OUT_TransportEnergyCons!I$4:I$10000))*1000-K2016</f>
        <v>0</v>
      </c>
      <c r="L2017" s="1" cm="1">
        <f t="array" ref="L2017">(SUMPRODUCT(("Var_Cap"=[2]OUT_TransportEnergyCons!$B$4:$B$10000)*1,("-"=[2]OUT_TransportEnergyCons!$C$4:$C$10000)*1,ISNUMBER(SEARCH("tfh*ICE*GSL*",[2]OUT_TransportEnergyCons!$A$4:$A$10000))*1,[2]OUT_TransportEnergyCons!J$4:J$10000))*1000-L2016</f>
        <v>0</v>
      </c>
      <c r="N2017" s="1"/>
    </row>
    <row r="2018" spans="2:14" x14ac:dyDescent="0.35">
      <c r="B2018" s="5" t="str">
        <f t="shared" si="2045"/>
        <v>SPS1</v>
      </c>
      <c r="C2018" s="5" t="str">
        <f t="shared" si="2046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29.662000000000003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19.77451412834683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9.887230634936893</v>
      </c>
      <c r="J2018" s="1" cm="1">
        <f t="array" ref="J2018">(SUMPRODUCT(("Var_Cap"=[2]OUT_TransportEnergyCons!$B$4:$B$10000)*1,("-"=[2]OUT_TransportEnergyCons!$C$4:$C$10000)*1,ISNUMBER(SEARCH("tfh*ICE*DSL*ext",[2]OUT_TransportEnergyCons!$A$4:$A$10000))*1,[2]OUT_TransportEnergyCons!H$4:H$10000))*1000</f>
        <v>0</v>
      </c>
      <c r="K2018" s="1" cm="1">
        <f t="array" ref="K2018">(SUMPRODUCT(("Var_Cap"=[2]OUT_TransportEnergyCons!$B$4:$B$10000)*1,("-"=[2]OUT_TransportEnergyCons!$C$4:$C$10000)*1,ISNUMBER(SEARCH("tfh*ICE*DSL*ext",[2]OUT_TransportEnergyCons!$A$4:$A$10000))*1,[2]OUT_TransportEnergyCons!I$4:I$10000))*1000</f>
        <v>0</v>
      </c>
      <c r="L2018" s="1" cm="1">
        <f t="array" ref="L2018">(SUMPRODUCT(("Var_Cap"=[2]OUT_TransportEnergyCons!$B$4:$B$10000)*1,("-"=[2]OUT_TransportEnergyCons!$C$4:$C$10000)*1,ISNUMBER(SEARCH("tfh*ICE*DSL*ext",[2]OUT_TransportEnergyCons!$A$4:$A$10000))*1,[2]OUT_TransportEnergyCons!J$4:J$10000))*1000</f>
        <v>0</v>
      </c>
      <c r="N2018" s="1"/>
    </row>
    <row r="2019" spans="2:14" x14ac:dyDescent="0.35">
      <c r="B2019" s="5" t="str">
        <f t="shared" si="2045"/>
        <v>SPS1</v>
      </c>
      <c r="C2019" s="5" t="str">
        <f t="shared" si="2046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11.766283015685669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13.777857610234658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10.772496592233583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1.026777309734598</v>
      </c>
      <c r="J2019" s="1" cm="1">
        <f t="array" ref="J2019">(SUMPRODUCT(("Var_Cap"=[2]OUT_TransportEnergyCons!$B$4:$B$10000)*1,("-"=[2]OUT_TransportEnergyCons!$C$4:$C$10000)*1,ISNUMBER(SEARCH("tfh*ICE*DSL*",[2]OUT_TransportEnergyCons!$A$4:$A$10000))*1,[2]OUT_TransportEnergyCons!H$4:H$10000))*1000-J2018</f>
        <v>1.62149609776764E-3</v>
      </c>
      <c r="K2019" s="1" cm="1">
        <f t="array" ref="K2019">(SUMPRODUCT(("Var_Cap"=[2]OUT_TransportEnergyCons!$B$4:$B$10000)*1,("-"=[2]OUT_TransportEnergyCons!$C$4:$C$10000)*1,ISNUMBER(SEARCH("tfh*ICE*DSL*",[2]OUT_TransportEnergyCons!$A$4:$A$10000))*1,[2]OUT_TransportEnergyCons!I$4:I$10000))*1000-K2018</f>
        <v>1.4192908049906604E-3</v>
      </c>
      <c r="L2019" s="1" cm="1">
        <f t="array" ref="L2019">(SUMPRODUCT(("Var_Cap"=[2]OUT_TransportEnergyCons!$B$4:$B$10000)*1,("-"=[2]OUT_TransportEnergyCons!$C$4:$C$10000)*1,ISNUMBER(SEARCH("tfh*ICE*DSL*",[2]OUT_TransportEnergyCons!$A$4:$A$10000))*1,[2]OUT_TransportEnergyCons!J$4:J$10000))*1000-L2018</f>
        <v>8.4017564108775905E-5</v>
      </c>
      <c r="N2019" s="1"/>
    </row>
    <row r="2020" spans="2:14" x14ac:dyDescent="0.35">
      <c r="B2020" s="5" t="str">
        <f t="shared" si="2045"/>
        <v>SPS1</v>
      </c>
      <c r="C2020" s="5" t="str">
        <f t="shared" si="2046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3.1847213923581501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12.45178270525542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20.054690490280276</v>
      </c>
      <c r="J2020" s="1" cm="1">
        <f t="array" ref="J2020">(SUMPRODUCT(("Var_Cap"=[2]OUT_TransportEnergyCons!$B$4:$B$10000)*1,("-"=[2]OUT_TransportEnergyCons!$C$4:$C$10000)*1,ISNUMBER(SEARCH("tfh*hyb*DSL*",[2]OUT_TransportEnergyCons!$A$4:$A$10000))*1,[2]OUT_TransportEnergyCons!H$4:H$10000))*1000</f>
        <v>37.979106350353504</v>
      </c>
      <c r="K2020" s="1" cm="1">
        <f t="array" ref="K2020">(SUMPRODUCT(("Var_Cap"=[2]OUT_TransportEnergyCons!$B$4:$B$10000)*1,("-"=[2]OUT_TransportEnergyCons!$C$4:$C$10000)*1,ISNUMBER(SEARCH("tfh*hyb*DSL*",[2]OUT_TransportEnergyCons!$A$4:$A$10000))*1,[2]OUT_TransportEnergyCons!I$4:I$10000))*1000</f>
        <v>21.8356471144183</v>
      </c>
      <c r="L2020" s="1" cm="1">
        <f t="array" ref="L2020">(SUMPRODUCT(("Var_Cap"=[2]OUT_TransportEnergyCons!$B$4:$B$10000)*1,("-"=[2]OUT_TransportEnergyCons!$C$4:$C$10000)*1,ISNUMBER(SEARCH("tfh*hyb*DSL*",[2]OUT_TransportEnergyCons!$A$4:$A$10000))*1,[2]OUT_TransportEnergyCons!J$4:J$10000))*1000</f>
        <v>2.0674911188315199E-4</v>
      </c>
      <c r="N2020" s="1"/>
    </row>
    <row r="2021" spans="2:14" x14ac:dyDescent="0.35">
      <c r="B2021" s="5" t="str">
        <f t="shared" si="2045"/>
        <v>SPS1</v>
      </c>
      <c r="C2021" s="5" t="str">
        <f t="shared" si="2046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0.1212166090656851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8.6472780131976332E-2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8.6836159198574694E-2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8.7309140607052721E-2</v>
      </c>
      <c r="J2021" s="1" cm="1">
        <f t="array" ref="J2021">(SUMPRODUCT(("Var_Cap"=[2]OUT_TransportEnergyCons!$B$4:$B$10000)*1,("-"=[2]OUT_TransportEnergyCons!$C$4:$C$10000)*1,ISNUMBER(SEARCH("tfh*ice*nga*",[2]OUT_TransportEnergyCons!$A$4:$A$10000))*1,[2]OUT_TransportEnergyCons!H$4:H$10000))*1000</f>
        <v>1.2836341555438299E-2</v>
      </c>
      <c r="K2021" s="1" cm="1">
        <f t="array" ref="K2021">(SUMPRODUCT(("Var_Cap"=[2]OUT_TransportEnergyCons!$B$4:$B$10000)*1,("-"=[2]OUT_TransportEnergyCons!$C$4:$C$10000)*1,ISNUMBER(SEARCH("tfh*ice*nga*",[2]OUT_TransportEnergyCons!$A$4:$A$10000))*1,[2]OUT_TransportEnergyCons!I$4:I$10000))*1000</f>
        <v>9.0981300592716356E-3</v>
      </c>
      <c r="L2021" s="1" cm="1">
        <f t="array" ref="L2021">(SUMPRODUCT(("Var_Cap"=[2]OUT_TransportEnergyCons!$B$4:$B$10000)*1,("-"=[2]OUT_TransportEnergyCons!$C$4:$C$10000)*1,ISNUMBER(SEARCH("tfh*ice*nga*",[2]OUT_TransportEnergyCons!$A$4:$A$10000))*1,[2]OUT_TransportEnergyCons!J$4:J$10000))*1000</f>
        <v>3.58130132443103E-4</v>
      </c>
      <c r="N2021" s="1"/>
    </row>
    <row r="2022" spans="2:14" x14ac:dyDescent="0.3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047">SUM(F2023,F2027,F2030)</f>
        <v>2.6353821030730001E-3</v>
      </c>
      <c r="G2022" s="3">
        <f t="shared" ref="G2022" si="2048">SUM(G2023,G2027,G2030)</f>
        <v>2.6969516592278784E-3</v>
      </c>
      <c r="H2022" s="3">
        <f t="shared" ref="H2022" si="2049">SUM(H2023,H2027,H2030)</f>
        <v>2.8243651003021578E-3</v>
      </c>
      <c r="I2022" s="3">
        <f t="shared" ref="I2022" si="2050">SUM(I2023,I2027,I2030)</f>
        <v>7.6779616293379113E-3</v>
      </c>
      <c r="J2022" s="3">
        <f t="shared" ref="J2022" si="2051">SUM(J2023,J2027,J2030)</f>
        <v>0.36989725198722145</v>
      </c>
      <c r="K2022" s="3">
        <f t="shared" ref="K2022:L2022" si="2052">SUM(K2023,K2027,K2030)</f>
        <v>4.867472839032307</v>
      </c>
      <c r="L2022" s="3">
        <f t="shared" si="2052"/>
        <v>5.5969547345970661</v>
      </c>
      <c r="N2022" s="1"/>
    </row>
    <row r="2023" spans="2:14" x14ac:dyDescent="0.35">
      <c r="B2023" s="5" t="str">
        <f t="shared" ref="B2023:B2032" si="2053">B2022</f>
        <v>SPS1</v>
      </c>
      <c r="C2023" s="5" t="str">
        <f t="shared" ref="C2023:C2032" si="2054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2.6353821030730001E-3</v>
      </c>
      <c r="G2023" s="1" cm="1">
        <f t="array" ref="G2023">SUMPRODUCT(ISNUMBER(SEARCH("SUP_ELCH2*",[1]OUT_SyntheticFuels!$C$4:$C$1000))*1,("Var_cap"=[1]OUT_SyntheticFuels!$B$4:$B$1000)*1,[1]OUT_SyntheticFuels!F$4:F$1000)</f>
        <v>2.6969516592278784E-3</v>
      </c>
      <c r="H2023" s="1" cm="1">
        <f t="array" ref="H2023">SUMPRODUCT(ISNUMBER(SEARCH("SUP_ELCH2*",[1]OUT_SyntheticFuels!$C$4:$C$1000))*1,("Var_cap"=[1]OUT_SyntheticFuels!$B$4:$B$1000)*1,[1]OUT_SyntheticFuels!G$4:G$1000)</f>
        <v>2.8243651003021578E-3</v>
      </c>
      <c r="I2023" s="1" cm="1">
        <f t="array" ref="I2023">SUMPRODUCT(ISNUMBER(SEARCH("SUP_ELCH2*",[1]OUT_SyntheticFuels!$C$4:$C$1000))*1,("Var_cap"=[1]OUT_SyntheticFuels!$B$4:$B$1000)*1,[1]OUT_SyntheticFuels!H$4:H$1000)</f>
        <v>6.7822524685678077E-3</v>
      </c>
      <c r="J2023" s="1" cm="1">
        <f t="array" ref="J2023">SUMPRODUCT(ISNUMBER(SEARCH("SUP_ELCH2*",[2]OUT_SyntheticFuels!$C$4:$C$1000))*1,("Var_cap"=[2]OUT_SyntheticFuels!$B$4:$B$1000)*1,[2]OUT_SyntheticFuels!I$4:I$1000)</f>
        <v>0.3368740113193871</v>
      </c>
      <c r="K2023" s="1" cm="1">
        <f t="array" ref="K2023">SUMPRODUCT(ISNUMBER(SEARCH("SUP_ELCH2*",[2]OUT_SyntheticFuels!$C$4:$C$1000))*1,("Var_cap"=[2]OUT_SyntheticFuels!$B$4:$B$1000)*1,[2]OUT_SyntheticFuels!J$4:J$1000)</f>
        <v>4.7958349060003478</v>
      </c>
      <c r="L2023" s="1" cm="1">
        <f t="array" ref="L2023">SUMPRODUCT(ISNUMBER(SEARCH("SUP_ELCH2*",[2]OUT_SyntheticFuels!$C$4:$C$1000))*1,("Var_cap"=[2]OUT_SyntheticFuels!$B$4:$B$1000)*1,[2]OUT_SyntheticFuels!K$4:K$1000)</f>
        <v>5.5240697352586814</v>
      </c>
      <c r="N2023" s="1"/>
    </row>
    <row r="2024" spans="2:14" x14ac:dyDescent="0.35">
      <c r="B2024" s="5" t="str">
        <f t="shared" si="2053"/>
        <v>SPS1</v>
      </c>
      <c r="C2024" s="5" t="str">
        <f t="shared" si="2054"/>
        <v>CH</v>
      </c>
      <c r="D2024" t="s">
        <v>2145</v>
      </c>
      <c r="E2024" t="s">
        <v>2154</v>
      </c>
      <c r="F2024" s="1">
        <f t="shared" ref="F2024" si="2055">F2023-F2025-F2026</f>
        <v>2.6353821030730001E-3</v>
      </c>
      <c r="G2024" s="1">
        <f t="shared" ref="G2024" si="2056">G2023-G2025-G2026</f>
        <v>2.6969516592278784E-3</v>
      </c>
      <c r="H2024" s="1">
        <f t="shared" ref="H2024" si="2057">H2023-H2025-H2026</f>
        <v>2.8243651003021578E-3</v>
      </c>
      <c r="I2024" s="1">
        <f t="shared" ref="I2024" si="2058">I2023-I2025-I2026</f>
        <v>6.6399646229177633E-3</v>
      </c>
      <c r="J2024" s="1">
        <f t="shared" ref="J2024" si="2059">J2023-J2025-J2026</f>
        <v>0.3368218925211971</v>
      </c>
      <c r="K2024" s="1">
        <f t="shared" ref="K2024:L2024" si="2060">K2023-K2025-K2026</f>
        <v>2.4298363834305188</v>
      </c>
      <c r="L2024" s="1">
        <f t="shared" si="2060"/>
        <v>3.0206074899613045</v>
      </c>
      <c r="N2024" s="1"/>
    </row>
    <row r="2025" spans="2:14" x14ac:dyDescent="0.35">
      <c r="B2025" s="5" t="str">
        <f t="shared" si="2053"/>
        <v>SPS1</v>
      </c>
      <c r="C2025" s="5" t="str">
        <f t="shared" si="2054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1.42287845650044E-4</v>
      </c>
      <c r="J2025" s="1" cm="1">
        <f t="array" ref="J2025">SUMPRODUCT(ISNUMBER(SEARCH("SUP_ELCH2*D",[2]OUT_SyntheticFuels!$C$4:$C$1000))*1,("Var_cap"=[2]OUT_SyntheticFuels!$B$4:$B$1000)*1,[2]OUT_SyntheticFuels!I$4:I$1000)</f>
        <v>5.2118798189992798E-5</v>
      </c>
      <c r="K2025" s="1" cm="1">
        <f t="array" ref="K2025">SUMPRODUCT(ISNUMBER(SEARCH("SUP_ELCH2*D",[2]OUT_SyntheticFuels!$C$4:$C$1000))*1,("Var_cap"=[2]OUT_SyntheticFuels!$B$4:$B$1000)*1,[2]OUT_SyntheticFuels!J$4:J$1000)</f>
        <v>2.3653707163025701</v>
      </c>
      <c r="L2025" s="1" cm="1">
        <f t="array" ref="L2025">SUMPRODUCT(ISNUMBER(SEARCH("SUP_ELCH2*D",[2]OUT_SyntheticFuels!$C$4:$C$1000))*1,("Var_cap"=[2]OUT_SyntheticFuels!$B$4:$B$1000)*1,[2]OUT_SyntheticFuels!K$4:K$1000)</f>
        <v>2.5027145843057998</v>
      </c>
      <c r="N2025" s="1"/>
    </row>
    <row r="2026" spans="2:14" x14ac:dyDescent="0.35">
      <c r="B2026" s="5" t="str">
        <f t="shared" si="2053"/>
        <v>SPS1</v>
      </c>
      <c r="C2026" s="5" t="str">
        <f t="shared" si="2054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SUMPRODUCT(ISNUMBER(SEARCH("SUP_ELCH2*SOEC*",[2]OUT_SyntheticFuels!$C$4:$C$1000))*1,("Var_cap"=[2]OUT_SyntheticFuels!$B$4:$B$1000)*1,[2]OUT_SyntheticFuels!I$4:I$1000)</f>
        <v>0</v>
      </c>
      <c r="K2026" s="1" cm="1">
        <f t="array" ref="K2026">SUMPRODUCT(ISNUMBER(SEARCH("SUP_ELCH2*SOEC*",[2]OUT_SyntheticFuels!$C$4:$C$1000))*1,("Var_cap"=[2]OUT_SyntheticFuels!$B$4:$B$1000)*1,[2]OUT_SyntheticFuels!J$4:J$1000)</f>
        <v>6.2780626725909502E-4</v>
      </c>
      <c r="L2026" s="1" cm="1">
        <f t="array" ref="L2026">SUMPRODUCT(ISNUMBER(SEARCH("SUP_ELCH2*SOEC*",[2]OUT_SyntheticFuels!$C$4:$C$1000))*1,("Var_cap"=[2]OUT_SyntheticFuels!$B$4:$B$1000)*1,[2]OUT_SyntheticFuels!K$4:K$1000)</f>
        <v>7.4766099157717316E-4</v>
      </c>
      <c r="N2026" s="1"/>
    </row>
    <row r="2027" spans="2:14" x14ac:dyDescent="0.35">
      <c r="B2027" s="5" t="str">
        <f t="shared" si="2053"/>
        <v>SPS1</v>
      </c>
      <c r="C2027" s="5" t="str">
        <f t="shared" si="2054"/>
        <v>CH</v>
      </c>
      <c r="D2027" t="s">
        <v>2148</v>
      </c>
      <c r="E2027" t="s">
        <v>2154</v>
      </c>
      <c r="F2027" s="1">
        <f t="shared" ref="F2027" si="2061">SUM(F2028:F2029)</f>
        <v>0</v>
      </c>
      <c r="G2027" s="1">
        <f t="shared" ref="G2027" si="2062">SUM(G2028:G2029)</f>
        <v>0</v>
      </c>
      <c r="H2027" s="1">
        <f t="shared" ref="H2027" si="2063">SUM(H2028:H2029)</f>
        <v>0</v>
      </c>
      <c r="I2027" s="1">
        <f t="shared" ref="I2027" si="2064">SUM(I2028:I2029)</f>
        <v>8.3647918781319503E-6</v>
      </c>
      <c r="J2027" s="1">
        <f t="shared" ref="J2027" si="2065">SUM(J2028:J2029)</f>
        <v>7.1526349069427402E-7</v>
      </c>
      <c r="K2027" s="1">
        <f t="shared" ref="K2027:L2027" si="2066">SUM(K2028:K2029)</f>
        <v>1.090913437664366E-6</v>
      </c>
      <c r="L2027" s="1">
        <f t="shared" si="2066"/>
        <v>1.0545887656845194E-4</v>
      </c>
      <c r="N2027" s="1"/>
    </row>
    <row r="2028" spans="2:14" x14ac:dyDescent="0.35">
      <c r="B2028" s="5" t="str">
        <f t="shared" si="2053"/>
        <v>SPS1</v>
      </c>
      <c r="C2028" s="5" t="str">
        <f t="shared" si="2054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8.3647918781319503E-6</v>
      </c>
      <c r="J2028" s="1" cm="1">
        <f t="array" ref="J2028">SUMPRODUCT(ISNUMBER(SEARCH("SUP_NGAH2",[2]OUT_SyntheticFuels!$C$4:$C$1000))*1,("Var_cap"=[2]OUT_SyntheticFuels!$B$4:$B$1000)*1,[2]OUT_SyntheticFuels!I$4:I$1000)-J2029</f>
        <v>7.1526349069427402E-7</v>
      </c>
      <c r="K2028" s="1" cm="1">
        <f t="array" ref="K2028">SUMPRODUCT(ISNUMBER(SEARCH("SUP_NGAH2",[2]OUT_SyntheticFuels!$C$4:$C$1000))*1,("Var_cap"=[2]OUT_SyntheticFuels!$B$4:$B$1000)*1,[2]OUT_SyntheticFuels!J$4:J$1000)-K2029</f>
        <v>8.5431288212212198E-7</v>
      </c>
      <c r="L2028" s="1" cm="1">
        <f t="array" ref="L2028">SUMPRODUCT(ISNUMBER(SEARCH("SUP_NGAH2",[2]OUT_SyntheticFuels!$C$4:$C$1000))*1,("Var_cap"=[2]OUT_SyntheticFuels!$B$4:$B$1000)*1,[2]OUT_SyntheticFuels!K$4:K$1000)-L2029</f>
        <v>7.2581270142506104E-5</v>
      </c>
      <c r="N2028" s="1"/>
    </row>
    <row r="2029" spans="2:14" x14ac:dyDescent="0.35">
      <c r="B2029" s="5" t="str">
        <f t="shared" si="2053"/>
        <v>SPS1</v>
      </c>
      <c r="C2029" s="5" t="str">
        <f t="shared" si="2054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SUMPRODUCT(ISNUMBER(SEARCH("SUP_NGAH2CCS",[2]OUT_SyntheticFuels!$C$4:$C$1000))*1,("Var_cap"=[2]OUT_SyntheticFuels!$B$4:$B$1000)*1,[2]OUT_SyntheticFuels!I$4:I$1000)</f>
        <v>0</v>
      </c>
      <c r="K2029" s="1" cm="1">
        <f t="array" ref="K2029">SUMPRODUCT(ISNUMBER(SEARCH("SUP_NGAH2CCS",[2]OUT_SyntheticFuels!$C$4:$C$1000))*1,("Var_cap"=[2]OUT_SyntheticFuels!$B$4:$B$1000)*1,[2]OUT_SyntheticFuels!J$4:J$1000)</f>
        <v>2.3660055554224401E-7</v>
      </c>
      <c r="L2029" s="1" cm="1">
        <f t="array" ref="L2029">SUMPRODUCT(ISNUMBER(SEARCH("SUP_NGAH2CCS",[2]OUT_SyntheticFuels!$C$4:$C$1000))*1,("Var_cap"=[2]OUT_SyntheticFuels!$B$4:$B$1000)*1,[2]OUT_SyntheticFuels!K$4:K$1000)</f>
        <v>3.2877606425945847E-5</v>
      </c>
      <c r="N2029" s="1"/>
    </row>
    <row r="2030" spans="2:14" x14ac:dyDescent="0.35">
      <c r="B2030" s="5" t="str">
        <f t="shared" si="2053"/>
        <v>SPS1</v>
      </c>
      <c r="C2030" s="5" t="str">
        <f t="shared" si="2054"/>
        <v>CH</v>
      </c>
      <c r="D2030" t="s">
        <v>2151</v>
      </c>
      <c r="E2030" t="s">
        <v>2154</v>
      </c>
      <c r="F2030" s="1">
        <f t="shared" ref="F2030" si="2067">SUM(F2031:F2032)</f>
        <v>0</v>
      </c>
      <c r="G2030" s="1">
        <f t="shared" ref="G2030" si="2068">SUM(G2031:G2032)</f>
        <v>0</v>
      </c>
      <c r="H2030" s="1">
        <f t="shared" ref="H2030" si="2069">SUM(H2031:H2032)</f>
        <v>0</v>
      </c>
      <c r="I2030" s="1">
        <f t="shared" ref="I2030" si="2070">SUM(I2031:I2032)</f>
        <v>8.8734436889197196E-4</v>
      </c>
      <c r="J2030" s="1">
        <f t="shared" ref="J2030" si="2071">SUM(J2031:J2032)</f>
        <v>3.3022525404343611E-2</v>
      </c>
      <c r="K2030" s="1">
        <f t="shared" ref="K2030:L2030" si="2072">SUM(K2031:K2032)</f>
        <v>7.1636842118520991E-2</v>
      </c>
      <c r="L2030" s="1">
        <f t="shared" si="2072"/>
        <v>7.2779540461816755E-2</v>
      </c>
      <c r="N2030" s="1"/>
    </row>
    <row r="2031" spans="2:14" x14ac:dyDescent="0.35">
      <c r="B2031" s="5" t="str">
        <f t="shared" si="2053"/>
        <v>SPS1</v>
      </c>
      <c r="C2031" s="5" t="str">
        <f t="shared" si="2054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8.8734436889197196E-4</v>
      </c>
      <c r="J2031" s="1" cm="1">
        <f t="array" ref="J2031">SUMPRODUCT(ISNUMBER(SEARCH("SUP_WODH2",[2]OUT_SyntheticFuels!$C$4:$C$1000))*1,("Var_cap"=[2]OUT_SyntheticFuels!$B$4:$B$1000)*1,[2]OUT_SyntheticFuels!I$4:I$1000)-J2032</f>
        <v>3.3022525404343611E-2</v>
      </c>
      <c r="K2031" s="1" cm="1">
        <f t="array" ref="K2031">SUMPRODUCT(ISNUMBER(SEARCH("SUP_WODH2",[2]OUT_SyntheticFuels!$C$4:$C$1000))*1,("Var_cap"=[2]OUT_SyntheticFuels!$B$4:$B$1000)*1,[2]OUT_SyntheticFuels!J$4:J$1000)-K2032</f>
        <v>7.1636842118520991E-2</v>
      </c>
      <c r="L2031" s="1" cm="1">
        <f t="array" ref="L2031">SUMPRODUCT(ISNUMBER(SEARCH("SUP_WODH2",[2]OUT_SyntheticFuels!$C$4:$C$1000))*1,("Var_cap"=[2]OUT_SyntheticFuels!$B$4:$B$1000)*1,[2]OUT_SyntheticFuels!K$4:K$1000)-L2032</f>
        <v>7.2779540461816755E-2</v>
      </c>
      <c r="N2031" s="1"/>
    </row>
    <row r="2032" spans="2:14" x14ac:dyDescent="0.35">
      <c r="B2032" s="5" t="str">
        <f t="shared" si="2053"/>
        <v>SPS1</v>
      </c>
      <c r="C2032" s="5" t="str">
        <f t="shared" si="2054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SUMPRODUCT(ISNUMBER(SEARCH("SUP_WODH2CCS",[2]OUT_SyntheticFuels!$C$4:$C$1000))*1,("Var_cap"=[2]OUT_SyntheticFuels!$B$4:$B$1000)*1,[2]OUT_SyntheticFuels!I$4:I$1000)</f>
        <v>0</v>
      </c>
      <c r="K2032" s="1" cm="1">
        <f t="array" ref="K2032">SUMPRODUCT(ISNUMBER(SEARCH("SUP_WODH2CCS",[2]OUT_SyntheticFuels!$C$4:$C$1000))*1,("Var_cap"=[2]OUT_SyntheticFuels!$B$4:$B$1000)*1,[2]OUT_SyntheticFuels!J$4:J$1000)</f>
        <v>0</v>
      </c>
      <c r="L2032" s="1" cm="1">
        <f t="array" ref="L2032">SUMPRODUCT(ISNUMBER(SEARCH("SUP_WODH2CCS",[2]OUT_SyntheticFuels!$C$4:$C$1000))*1,("Var_cap"=[2]OUT_SyntheticFuels!$B$4:$B$1000)*1,[2]OUT_SyntheticFuels!K$4:K$1000)</f>
        <v>0</v>
      </c>
      <c r="N2032" s="1"/>
    </row>
    <row r="2033" spans="2:14" x14ac:dyDescent="0.3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6"/>
      <c r="G2033" s="26"/>
      <c r="H2033" s="26"/>
      <c r="I2033" s="26"/>
      <c r="J2033" s="26"/>
      <c r="K2033" s="26"/>
      <c r="L2033" s="26"/>
      <c r="N2033" s="1"/>
    </row>
    <row r="2034" spans="2:14" x14ac:dyDescent="0.35">
      <c r="B2034" s="5" t="str">
        <f t="shared" ref="B2034:B2049" si="2073">B2033</f>
        <v>SPS1</v>
      </c>
      <c r="C2034" s="5" t="str">
        <f t="shared" ref="C2034:C2049" si="2074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6.2414620691383371E-2</v>
      </c>
      <c r="G2034" s="7" cm="1">
        <f t="array" ref="G2034">SUMPRODUCT(("CT_CWODBDS"=[1]OUT_SyntheticFuels!$C$4:$C$1000)*1,("Var_cap"=[1]OUT_SyntheticFuels!$B$4:$B$1000)*1,[1]OUT_SyntheticFuels!F$4:F$1000)</f>
        <v>6.2409584697077226E-2</v>
      </c>
      <c r="H2034" s="7" cm="1">
        <f t="array" ref="H2034">SUMPRODUCT(("CT_CWODBDS"=[1]OUT_SyntheticFuels!$C$4:$C$1000)*1,("Var_cap"=[1]OUT_SyntheticFuels!$B$4:$B$1000)*1,[1]OUT_SyntheticFuels!G$4:G$1000)</f>
        <v>6.2309309925621462E-2</v>
      </c>
      <c r="I2034" s="7" cm="1">
        <f t="array" ref="I2034">SUMPRODUCT(("CT_CWODBDS"=[1]OUT_SyntheticFuels!$C$4:$C$1000)*1,("Var_cap"=[1]OUT_SyntheticFuels!$B$4:$B$1000)*1,[1]OUT_SyntheticFuels!H$4:H$1000)</f>
        <v>1.5724493680443277E-3</v>
      </c>
      <c r="J2034" s="7" cm="1">
        <f t="array" ref="J2034">SUMPRODUCT(("CT_CWODBDS"=[2]OUT_SyntheticFuels!$C$4:$C$1000)*1,("Var_cap"=[2]OUT_SyntheticFuels!$B$4:$B$1000)*1,[2]OUT_SyntheticFuels!I$4:I$1000)</f>
        <v>1.1347776754033236E-4</v>
      </c>
      <c r="K2034" s="7" cm="1">
        <f t="array" ref="K2034">SUMPRODUCT(("CT_CWODBDS"=[2]OUT_SyntheticFuels!$C$4:$C$1000)*1,("Var_cap"=[2]OUT_SyntheticFuels!$B$4:$B$1000)*1,[2]OUT_SyntheticFuels!J$4:J$1000)</f>
        <v>8.2021877473411144E-4</v>
      </c>
      <c r="L2034" s="7" cm="1">
        <f t="array" ref="L2034">SUMPRODUCT(("CT_CWODBDS"=[2]OUT_SyntheticFuels!$C$4:$C$1000)*1,("Var_cap"=[2]OUT_SyntheticFuels!$B$4:$B$1000)*1,[2]OUT_SyntheticFuels!K$4:K$1000)</f>
        <v>8.0441169878730243E-4</v>
      </c>
      <c r="N2034" s="1"/>
    </row>
    <row r="2035" spans="2:14" x14ac:dyDescent="0.35">
      <c r="B2035" s="5" t="str">
        <f t="shared" si="2073"/>
        <v>SPS1</v>
      </c>
      <c r="C2035" s="5" t="str">
        <f t="shared" si="2074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SUMPRODUCT(("CT_CWODBDSCCS"=[2]OUT_SyntheticFuels!$C$4:$C$1000)*1,("Var_cap"=[2]OUT_SyntheticFuels!$B$4:$B$1000)*1,[2]OUT_SyntheticFuels!I$4:I$1000)</f>
        <v>0</v>
      </c>
      <c r="K2035" s="7" cm="1">
        <f t="array" ref="K2035">SUMPRODUCT(("CT_CWODBDSCCS"=[2]OUT_SyntheticFuels!$C$4:$C$1000)*1,("Var_cap"=[2]OUT_SyntheticFuels!$B$4:$B$1000)*1,[2]OUT_SyntheticFuels!J$4:J$1000)</f>
        <v>0</v>
      </c>
      <c r="L2035" s="7" cm="1">
        <f t="array" ref="L2035">SUMPRODUCT(("CT_CWODBDSCCS"=[2]OUT_SyntheticFuels!$C$4:$C$1000)*1,("Var_cap"=[2]OUT_SyntheticFuels!$B$4:$B$1000)*1,[2]OUT_SyntheticFuels!K$4:K$1000)</f>
        <v>0</v>
      </c>
      <c r="N2035" s="1"/>
    </row>
    <row r="2036" spans="2:14" x14ac:dyDescent="0.35">
      <c r="B2036" s="5" t="str">
        <f t="shared" si="2073"/>
        <v>SPS1</v>
      </c>
      <c r="C2036" s="5" t="str">
        <f t="shared" si="2074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5.9347347707705007E-2</v>
      </c>
      <c r="G2036" s="7" cm="1">
        <f t="array" ref="G2036">SUMPRODUCT(("CT_CWODETH"=[1]OUT_SyntheticFuels!$C$4:$C$1000)*1,("Var_cap"=[1]OUT_SyntheticFuels!$B$4:$B$1000)*1,[1]OUT_SyntheticFuels!F$4:F$1000)</f>
        <v>5.9351820895005694E-2</v>
      </c>
      <c r="H2036" s="7" cm="1">
        <f t="array" ref="H2036">SUMPRODUCT(("CT_CWODETH"=[1]OUT_SyntheticFuels!$C$4:$C$1000)*1,("Var_cap"=[1]OUT_SyntheticFuels!$B$4:$B$1000)*1,[1]OUT_SyntheticFuels!G$4:G$1000)</f>
        <v>6.2905050650972183E-2</v>
      </c>
      <c r="I2036" s="7" cm="1">
        <f t="array" ref="I2036">SUMPRODUCT(("CT_CWODETH"=[1]OUT_SyntheticFuels!$C$4:$C$1000)*1,("Var_cap"=[1]OUT_SyntheticFuels!$B$4:$B$1000)*1,[1]OUT_SyntheticFuels!H$4:H$1000)</f>
        <v>7.6909181841653365E-2</v>
      </c>
      <c r="J2036" s="7" cm="1">
        <f t="array" ref="J2036">SUMPRODUCT(("CT_CWODETH"=[2]OUT_SyntheticFuels!$C$4:$C$1000)*1,("Var_cap"=[2]OUT_SyntheticFuels!$B$4:$B$1000)*1,[2]OUT_SyntheticFuels!I$4:I$1000)</f>
        <v>3.9435470773098447E-5</v>
      </c>
      <c r="K2036" s="7" cm="1">
        <f t="array" ref="K2036">SUMPRODUCT(("CT_CWODETH"=[2]OUT_SyntheticFuels!$C$4:$C$1000)*1,("Var_cap"=[2]OUT_SyntheticFuels!$B$4:$B$1000)*1,[2]OUT_SyntheticFuels!J$4:J$1000)</f>
        <v>3.5915589914798512E-5</v>
      </c>
      <c r="L2036" s="7" cm="1">
        <f t="array" ref="L2036">SUMPRODUCT(("CT_CWODETH"=[2]OUT_SyntheticFuels!$C$4:$C$1000)*1,("Var_cap"=[2]OUT_SyntheticFuels!$B$4:$B$1000)*1,[2]OUT_SyntheticFuels!K$4:K$1000)</f>
        <v>1.5421497605200646E-5</v>
      </c>
      <c r="N2036" s="1"/>
    </row>
    <row r="2037" spans="2:14" x14ac:dyDescent="0.35">
      <c r="B2037" s="5" t="str">
        <f t="shared" si="2073"/>
        <v>SPS1</v>
      </c>
      <c r="C2037" s="5" t="str">
        <f t="shared" si="2074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SUMPRODUCT(("CT_CWODETHCCS"=[2]OUT_SyntheticFuels!$C$4:$C$1000)*1,("Var_cap"=[2]OUT_SyntheticFuels!$B$4:$B$1000)*1,[2]OUT_SyntheticFuels!I$4:I$1000)</f>
        <v>0</v>
      </c>
      <c r="K2037" s="7" cm="1">
        <f t="array" ref="K2037">SUMPRODUCT(("CT_CWODETHCCS"=[2]OUT_SyntheticFuels!$C$4:$C$1000)*1,("Var_cap"=[2]OUT_SyntheticFuels!$B$4:$B$1000)*1,[2]OUT_SyntheticFuels!J$4:J$1000)</f>
        <v>0</v>
      </c>
      <c r="L2037" s="7" cm="1">
        <f t="array" ref="L2037">SUMPRODUCT(("CT_CWODETHCCS"=[2]OUT_SyntheticFuels!$C$4:$C$1000)*1,("Var_cap"=[2]OUT_SyntheticFuels!$B$4:$B$1000)*1,[2]OUT_SyntheticFuels!K$4:K$1000)</f>
        <v>0</v>
      </c>
      <c r="N2037" s="1"/>
    </row>
    <row r="2038" spans="2:14" x14ac:dyDescent="0.35">
      <c r="B2038" s="5" t="str">
        <f t="shared" si="2073"/>
        <v>SPS1</v>
      </c>
      <c r="C2038" s="5" t="str">
        <f t="shared" si="2074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6.8337729709203501E-2</v>
      </c>
      <c r="G2038" s="7" cm="1">
        <f t="array" ref="G2038">SUMPRODUCT(("SUP_MNRBIO"=[1]OUT_SyntheticFuels!$C$4:$C$1000)*1,("Var_cap"=[1]OUT_SyntheticFuels!$B$4:$B$1000)*1,[1]OUT_SyntheticFuels!F$4:F$1000)</f>
        <v>0.16254882538797885</v>
      </c>
      <c r="H2038" s="7" cm="1">
        <f t="array" ref="H2038">SUMPRODUCT(("SUP_MNRBIO"=[1]OUT_SyntheticFuels!$C$4:$C$1000)*1,("Var_cap"=[1]OUT_SyntheticFuels!$B$4:$B$1000)*1,[1]OUT_SyntheticFuels!G$4:G$1000)</f>
        <v>0.16256342554111533</v>
      </c>
      <c r="I2038" s="7" cm="1">
        <f t="array" ref="I2038">SUMPRODUCT(("SUP_MNRBIO"=[1]OUT_SyntheticFuels!$C$4:$C$1000)*1,("Var_cap"=[1]OUT_SyntheticFuels!$B$4:$B$1000)*1,[1]OUT_SyntheticFuels!H$4:H$1000)</f>
        <v>0.16256341209374639</v>
      </c>
      <c r="J2038" s="7" cm="1">
        <f t="array" ref="J2038">SUMPRODUCT(("SUP_MNRBIO"=[2]OUT_SyntheticFuels!$C$4:$C$1000)*1,("Var_cap"=[2]OUT_SyntheticFuels!$B$4:$B$1000)*1,[2]OUT_SyntheticFuels!I$4:I$1000)</f>
        <v>0.16240208489759922</v>
      </c>
      <c r="K2038" s="7" cm="1">
        <f t="array" ref="K2038">SUMPRODUCT(("SUP_MNRBIO"=[2]OUT_SyntheticFuels!$C$4:$C$1000)*1,("Var_cap"=[2]OUT_SyntheticFuels!$B$4:$B$1000)*1,[2]OUT_SyntheticFuels!J$4:J$1000)</f>
        <v>0.18949206971291988</v>
      </c>
      <c r="L2038" s="7" cm="1">
        <f t="array" ref="L2038">SUMPRODUCT(("SUP_MNRBIO"=[2]OUT_SyntheticFuels!$C$4:$C$1000)*1,("Var_cap"=[2]OUT_SyntheticFuels!$B$4:$B$1000)*1,[2]OUT_SyntheticFuels!K$4:K$1000)</f>
        <v>0.18949186087249989</v>
      </c>
      <c r="N2038" s="1"/>
    </row>
    <row r="2039" spans="2:14" x14ac:dyDescent="0.35">
      <c r="B2039" s="5" t="str">
        <f t="shared" si="2073"/>
        <v>SPS1</v>
      </c>
      <c r="C2039" s="5" t="str">
        <f t="shared" si="2074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0.21279699567428934</v>
      </c>
      <c r="G2039" s="7" cm="1">
        <f t="array" ref="G2039">SUMPRODUCT(("SUP_WSTBIO"=[1]OUT_SyntheticFuels!$C$4:$C$1000)*1,("Var_cap"=[1]OUT_SyntheticFuels!$B$4:$B$1000)*1,[1]OUT_SyntheticFuels!F$4:F$1000)</f>
        <v>0.24150485329446542</v>
      </c>
      <c r="H2039" s="7" cm="1">
        <f t="array" ref="H2039">SUMPRODUCT(("SUP_WSTBIO"=[1]OUT_SyntheticFuels!$C$4:$C$1000)*1,("Var_cap"=[1]OUT_SyntheticFuels!$B$4:$B$1000)*1,[1]OUT_SyntheticFuels!G$4:G$1000)</f>
        <v>0.24147065447397506</v>
      </c>
      <c r="I2039" s="7" cm="1">
        <f t="array" ref="I2039">SUMPRODUCT(("SUP_WSTBIO"=[1]OUT_SyntheticFuels!$C$4:$C$1000)*1,("Var_cap"=[1]OUT_SyntheticFuels!$B$4:$B$1000)*1,[1]OUT_SyntheticFuels!H$4:H$1000)</f>
        <v>0.26147671468051759</v>
      </c>
      <c r="J2039" s="7" cm="1">
        <f t="array" ref="J2039">SUMPRODUCT(("SUP_WSTBIO"=[2]OUT_SyntheticFuels!$C$4:$C$1000)*1,("Var_cap"=[2]OUT_SyntheticFuels!$B$4:$B$1000)*1,[2]OUT_SyntheticFuels!I$4:I$1000)</f>
        <v>0.28930163153007965</v>
      </c>
      <c r="K2039" s="7" cm="1">
        <f t="array" ref="K2039">SUMPRODUCT(("SUP_WSTBIO"=[2]OUT_SyntheticFuels!$C$4:$C$1000)*1,("Var_cap"=[2]OUT_SyntheticFuels!$B$4:$B$1000)*1,[2]OUT_SyntheticFuels!J$4:J$1000)</f>
        <v>0.31763756364616913</v>
      </c>
      <c r="L2039" s="7" cm="1">
        <f t="array" ref="L2039">SUMPRODUCT(("SUP_WSTBIO"=[2]OUT_SyntheticFuels!$C$4:$C$1000)*1,("Var_cap"=[2]OUT_SyntheticFuels!$B$4:$B$1000)*1,[2]OUT_SyntheticFuels!K$4:K$1000)</f>
        <v>0.37191092855412833</v>
      </c>
      <c r="N2039" s="1"/>
    </row>
    <row r="2040" spans="2:14" x14ac:dyDescent="0.35">
      <c r="B2040" s="5" t="str">
        <f t="shared" si="2073"/>
        <v>SPS1</v>
      </c>
      <c r="C2040" s="5" t="str">
        <f t="shared" si="2074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SUMPRODUCT(("SUP_WSTBIOCCS"=[2]OUT_SyntheticFuels!$C$4:$C$1000)*1,("Var_cap"=[2]OUT_SyntheticFuels!$B$4:$B$1000)*1,[2]OUT_SyntheticFuels!I$4:I$1000)</f>
        <v>0</v>
      </c>
      <c r="K2040" s="7" cm="1">
        <f t="array" ref="K2040">SUMPRODUCT(("SUP_WSTBIOCCS"=[2]OUT_SyntheticFuels!$C$4:$C$1000)*1,("Var_cap"=[2]OUT_SyntheticFuels!$B$4:$B$1000)*1,[2]OUT_SyntheticFuels!J$4:J$1000)</f>
        <v>0</v>
      </c>
      <c r="L2040" s="7" cm="1">
        <f t="array" ref="L2040">SUMPRODUCT(("SUP_WSTBIOCCS"=[2]OUT_SyntheticFuels!$C$4:$C$1000)*1,("Var_cap"=[2]OUT_SyntheticFuels!$B$4:$B$1000)*1,[2]OUT_SyntheticFuels!K$4:K$1000)</f>
        <v>0</v>
      </c>
      <c r="N2040" s="1"/>
    </row>
    <row r="2041" spans="2:14" x14ac:dyDescent="0.35">
      <c r="B2041" s="5" t="str">
        <f t="shared" si="2073"/>
        <v>SPS1</v>
      </c>
      <c r="C2041" s="5" t="str">
        <f t="shared" si="2074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SUMPRODUCT(("SUP_WSTHTGBIO"=[2]OUT_SyntheticFuels!$C$4:$C$1000)*1,("Var_cap"=[2]OUT_SyntheticFuels!$B$4:$B$1000)*1,[2]OUT_SyntheticFuels!I$4:I$1000)</f>
        <v>0</v>
      </c>
      <c r="K2041" s="7" cm="1">
        <f t="array" ref="K2041">SUMPRODUCT(("SUP_WSTHTGBIO"=[2]OUT_SyntheticFuels!$C$4:$C$1000)*1,("Var_cap"=[2]OUT_SyntheticFuels!$B$4:$B$1000)*1,[2]OUT_SyntheticFuels!J$4:J$1000)</f>
        <v>3.73176286755829E-3</v>
      </c>
      <c r="L2041" s="7" cm="1">
        <f t="array" ref="L2041">SUMPRODUCT(("SUP_WSTHTGBIO"=[2]OUT_SyntheticFuels!$C$4:$C$1000)*1,("Var_cap"=[2]OUT_SyntheticFuels!$B$4:$B$1000)*1,[2]OUT_SyntheticFuels!K$4:K$1000)</f>
        <v>4.3686141515724879E-3</v>
      </c>
      <c r="N2041" s="1"/>
    </row>
    <row r="2042" spans="2:14" x14ac:dyDescent="0.35">
      <c r="B2042" s="5" t="str">
        <f t="shared" si="2073"/>
        <v>SPS1</v>
      </c>
      <c r="C2042" s="5" t="str">
        <f t="shared" si="2074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SUMPRODUCT(("SUP_WSTHTGBIOCCS"=[2]OUT_SyntheticFuels!$C$4:$C$1000)*1,("Var_cap"=[2]OUT_SyntheticFuels!$B$4:$B$1000)*1,[2]OUT_SyntheticFuels!I$4:I$1000)</f>
        <v>0</v>
      </c>
      <c r="K2042" s="7" cm="1">
        <f t="array" ref="K2042">SUMPRODUCT(("SUP_WSTHTGBIOCCS"=[2]OUT_SyntheticFuels!$C$4:$C$1000)*1,("Var_cap"=[2]OUT_SyntheticFuels!$B$4:$B$1000)*1,[2]OUT_SyntheticFuels!J$4:J$1000)</f>
        <v>0</v>
      </c>
      <c r="L2042" s="7" cm="1">
        <f t="array" ref="L2042">SUMPRODUCT(("SUP_WSTHTGBIOCCS"=[2]OUT_SyntheticFuels!$C$4:$C$1000)*1,("Var_cap"=[2]OUT_SyntheticFuels!$B$4:$B$1000)*1,[2]OUT_SyntheticFuels!K$4:K$1000)</f>
        <v>0</v>
      </c>
      <c r="N2042" s="1"/>
    </row>
    <row r="2043" spans="2:14" x14ac:dyDescent="0.35">
      <c r="B2043" s="5" t="str">
        <f t="shared" si="2073"/>
        <v>SPS1</v>
      </c>
      <c r="C2043" s="5" t="str">
        <f t="shared" si="2074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1.6210554757487498E-5</v>
      </c>
      <c r="G2043" s="7" cm="1">
        <f t="array" ref="G2043">SUMPRODUCT(("SUP_WODBIO"=[1]OUT_SyntheticFuels!$C$4:$C$1000)*1,("Var_cap"=[1]OUT_SyntheticFuels!$B$4:$B$1000)*1,[1]OUT_SyntheticFuels!F$4:F$1000)</f>
        <v>6.3860374680141071E-4</v>
      </c>
      <c r="H2043" s="7" cm="1">
        <f t="array" ref="H2043">SUMPRODUCT(("SUP_WODBIO"=[1]OUT_SyntheticFuels!$C$4:$C$1000)*1,("Var_cap"=[1]OUT_SyntheticFuels!$B$4:$B$1000)*1,[1]OUT_SyntheticFuels!G$4:G$1000)</f>
        <v>6.6402033593582742E-4</v>
      </c>
      <c r="I2043" s="7" cm="1">
        <f t="array" ref="I2043">SUMPRODUCT(("SUP_WODBIO"=[1]OUT_SyntheticFuels!$C$4:$C$1000)*1,("Var_cap"=[1]OUT_SyntheticFuels!$B$4:$B$1000)*1,[1]OUT_SyntheticFuels!H$4:H$1000)</f>
        <v>6.7125995242248832E-4</v>
      </c>
      <c r="J2043" s="7" cm="1">
        <f t="array" ref="J2043">SUMPRODUCT(("SUP_WODBIO"=[2]OUT_SyntheticFuels!$C$4:$C$1000)*1,("Var_cap"=[2]OUT_SyntheticFuels!$B$4:$B$1000)*1,[2]OUT_SyntheticFuels!I$4:I$1000)</f>
        <v>3.0766491728078452E-5</v>
      </c>
      <c r="K2043" s="7" cm="1">
        <f t="array" ref="K2043">SUMPRODUCT(("SUP_WODBIO"=[2]OUT_SyntheticFuels!$C$4:$C$1000)*1,("Var_cap"=[2]OUT_SyntheticFuels!$B$4:$B$1000)*1,[2]OUT_SyntheticFuels!J$4:J$1000)</f>
        <v>5.3540140059650461E-5</v>
      </c>
      <c r="L2043" s="7" cm="1">
        <f t="array" ref="L2043">SUMPRODUCT(("SUP_WODBIO"=[2]OUT_SyntheticFuels!$C$4:$C$1000)*1,("Var_cap"=[2]OUT_SyntheticFuels!$B$4:$B$1000)*1,[2]OUT_SyntheticFuels!K$4:K$1000)</f>
        <v>4.860066757608602E-5</v>
      </c>
      <c r="N2043" s="1"/>
    </row>
    <row r="2044" spans="2:14" x14ac:dyDescent="0.35">
      <c r="B2044" s="5" t="str">
        <f t="shared" si="2073"/>
        <v>SPS1</v>
      </c>
      <c r="C2044" s="5" t="str">
        <f t="shared" si="2074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SUMPRODUCT(("SUP_WODBIOCCS"=[2]OUT_SyntheticFuels!$C$4:$C$1000)*1,("Var_cap"=[2]OUT_SyntheticFuels!$B$4:$B$1000)*1,[2]OUT_SyntheticFuels!I$4:I$1000)</f>
        <v>0</v>
      </c>
      <c r="K2044" s="7" cm="1">
        <f t="array" ref="K2044">SUMPRODUCT(("SUP_WODBIOCCS"=[2]OUT_SyntheticFuels!$C$4:$C$1000)*1,("Var_cap"=[2]OUT_SyntheticFuels!$B$4:$B$1000)*1,[2]OUT_SyntheticFuels!J$4:J$1000)</f>
        <v>0</v>
      </c>
      <c r="L2044" s="7" cm="1">
        <f t="array" ref="L2044">SUMPRODUCT(("SUP_WODBIOCCS"=[2]OUT_SyntheticFuels!$C$4:$C$1000)*1,("Var_cap"=[2]OUT_SyntheticFuels!$B$4:$B$1000)*1,[2]OUT_SyntheticFuels!K$4:K$1000)</f>
        <v>0</v>
      </c>
      <c r="N2044" s="1"/>
    </row>
    <row r="2045" spans="2:14" x14ac:dyDescent="0.35">
      <c r="B2045" s="5" t="str">
        <f t="shared" si="2073"/>
        <v>SPS1</v>
      </c>
      <c r="C2045" s="5" t="str">
        <f t="shared" si="2074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4.352469906735415E-2</v>
      </c>
      <c r="G2045" s="7" cm="1">
        <f t="array" ref="G2045">SUMPRODUCT(("SUP_BIONGA"=[1]OUT_SyntheticFuels!$C$4:$C$1000)*1,("Var_cap"=[1]OUT_SyntheticFuels!$B$4:$B$1000)*1,[1]OUT_SyntheticFuels!F$4:F$1000)</f>
        <v>0.13617636338315181</v>
      </c>
      <c r="H2045" s="7" cm="1">
        <f t="array" ref="H2045">SUMPRODUCT(("SUP_BIONGA"=[1]OUT_SyntheticFuels!$C$4:$C$1000)*1,("Var_cap"=[1]OUT_SyntheticFuels!$B$4:$B$1000)*1,[1]OUT_SyntheticFuels!G$4:G$1000)</f>
        <v>0.13616944382452406</v>
      </c>
      <c r="I2045" s="7" cm="1">
        <f t="array" ref="I2045">SUMPRODUCT(("SUP_BIONGA"=[1]OUT_SyntheticFuels!$C$4:$C$1000)*1,("Var_cap"=[1]OUT_SyntheticFuels!$B$4:$B$1000)*1,[1]OUT_SyntheticFuels!H$4:H$1000)</f>
        <v>0.13322674348498703</v>
      </c>
      <c r="J2045" s="7" cm="1">
        <f t="array" ref="J2045">SUMPRODUCT(("SUP_BIONGA"=[2]OUT_SyntheticFuels!$C$4:$C$1000)*1,("Var_cap"=[2]OUT_SyntheticFuels!$B$4:$B$1000)*1,[2]OUT_SyntheticFuels!I$4:I$1000)</f>
        <v>0.17585287881995479</v>
      </c>
      <c r="K2045" s="7" cm="1">
        <f t="array" ref="K2045">SUMPRODUCT(("SUP_BIONGA"=[2]OUT_SyntheticFuels!$C$4:$C$1000)*1,("Var_cap"=[2]OUT_SyntheticFuels!$B$4:$B$1000)*1,[2]OUT_SyntheticFuels!J$4:J$1000)</f>
        <v>0.22783646728865573</v>
      </c>
      <c r="L2045" s="7" cm="1">
        <f t="array" ref="L2045">SUMPRODUCT(("SUP_BIONGA"=[2]OUT_SyntheticFuels!$C$4:$C$1000)*1,("Var_cap"=[2]OUT_SyntheticFuels!$B$4:$B$1000)*1,[2]OUT_SyntheticFuels!K$4:K$1000)</f>
        <v>0.24188076011788417</v>
      </c>
      <c r="N2045" s="1"/>
    </row>
    <row r="2046" spans="2:14" x14ac:dyDescent="0.35">
      <c r="B2046" s="5" t="str">
        <f t="shared" si="2073"/>
        <v>SPS1</v>
      </c>
      <c r="C2046" s="5" t="str">
        <f t="shared" si="2074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0.36634906655500521</v>
      </c>
      <c r="G2046" s="7" cm="1">
        <f t="array" ref="G2046">SUMPRODUCT(("CT_CWODPLT"=[1]OUT_SyntheticFuels!$C$4:$C$1000)*1,("Var_cap"=[1]OUT_SyntheticFuels!$B$4:$B$1000)*1,[1]OUT_SyntheticFuels!F$4:F$1000)</f>
        <v>0.40757188095441188</v>
      </c>
      <c r="H2046" s="7" cm="1">
        <f t="array" ref="H2046">SUMPRODUCT(("CT_CWODPLT"=[1]OUT_SyntheticFuels!$C$4:$C$1000)*1,("Var_cap"=[1]OUT_SyntheticFuels!$B$4:$B$1000)*1,[1]OUT_SyntheticFuels!G$4:G$1000)</f>
        <v>0.12668917879899505</v>
      </c>
      <c r="I2046" s="7" cm="1">
        <f t="array" ref="I2046">SUMPRODUCT(("CT_CWODPLT"=[1]OUT_SyntheticFuels!$C$4:$C$1000)*1,("Var_cap"=[1]OUT_SyntheticFuels!$B$4:$B$1000)*1,[1]OUT_SyntheticFuels!H$4:H$1000)</f>
        <v>0.12559257919378103</v>
      </c>
      <c r="J2046" s="7" cm="1">
        <f t="array" ref="J2046">SUMPRODUCT(("CT_CWODPLT"=[2]OUT_SyntheticFuels!$C$4:$C$1000)*1,("Var_cap"=[2]OUT_SyntheticFuels!$B$4:$B$1000)*1,[2]OUT_SyntheticFuels!I$4:I$1000)</f>
        <v>0.11731830053957865</v>
      </c>
      <c r="K2046" s="7" cm="1">
        <f t="array" ref="K2046">SUMPRODUCT(("CT_CWODPLT"=[2]OUT_SyntheticFuels!$C$4:$C$1000)*1,("Var_cap"=[2]OUT_SyntheticFuels!$B$4:$B$1000)*1,[2]OUT_SyntheticFuels!J$4:J$1000)</f>
        <v>0.13402901498855863</v>
      </c>
      <c r="L2046" s="7" cm="1">
        <f t="array" ref="L2046">SUMPRODUCT(("CT_CWODPLT"=[2]OUT_SyntheticFuels!$C$4:$C$1000)*1,("Var_cap"=[2]OUT_SyntheticFuels!$B$4:$B$1000)*1,[2]OUT_SyntheticFuels!K$4:K$1000)</f>
        <v>0.127544883677911</v>
      </c>
      <c r="N2046" s="1"/>
    </row>
    <row r="2047" spans="2:14" x14ac:dyDescent="0.35">
      <c r="B2047" s="5" t="str">
        <f t="shared" si="2073"/>
        <v>SPS1</v>
      </c>
      <c r="C2047" s="5" t="str">
        <f t="shared" si="2074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1.4756301969204599E-5</v>
      </c>
      <c r="J2047" s="7" cm="1">
        <f t="array" ref="J2047">SUMPRODUCT(("SUP_H2NGA"=[2]OUT_SyntheticFuels!$C$4:$C$1000)*1,("Var_cap"=[2]OUT_SyntheticFuels!$B$4:$B$1000)*1,[2]OUT_SyntheticFuels!I$4:I$1000)</f>
        <v>1.532656862594039E-6</v>
      </c>
      <c r="K2047" s="7" cm="1">
        <f t="array" ref="K2047">SUMPRODUCT(("SUP_H2NGA"=[2]OUT_SyntheticFuels!$C$4:$C$1000)*1,("Var_cap"=[2]OUT_SyntheticFuels!$B$4:$B$1000)*1,[2]OUT_SyntheticFuels!J$4:J$1000)</f>
        <v>1.8345859759191174</v>
      </c>
      <c r="L2047" s="7" cm="1">
        <f t="array" ref="L2047">SUMPRODUCT(("SUP_H2NGA"=[2]OUT_SyntheticFuels!$C$4:$C$1000)*1,("Var_cap"=[2]OUT_SyntheticFuels!$B$4:$B$1000)*1,[2]OUT_SyntheticFuels!K$4:K$1000)</f>
        <v>2.3797946718175003</v>
      </c>
      <c r="N2047" s="1"/>
    </row>
    <row r="2048" spans="2:14" x14ac:dyDescent="0.35">
      <c r="B2048" s="5" t="str">
        <f t="shared" si="2073"/>
        <v>SPS1</v>
      </c>
      <c r="C2048" s="5" t="str">
        <f t="shared" si="2074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3.63733123604139E-5</v>
      </c>
      <c r="J2048" s="7" cm="1">
        <f t="array" ref="J2048">SUMPRODUCT(("SUP_H2DSL"=[2]OUT_SyntheticFuels!$C$4:$C$1000)*1,("Var_cap"=[2]OUT_SyntheticFuels!$B$4:$B$1000)*1,[2]OUT_SyntheticFuels!I$4:I$1000)</f>
        <v>2.74270513238393E-6</v>
      </c>
      <c r="K2048" s="7" cm="1">
        <f t="array" ref="K2048">SUMPRODUCT(("SUP_H2DSL"=[2]OUT_SyntheticFuels!$C$4:$C$1000)*1,("Var_cap"=[2]OUT_SyntheticFuels!$B$4:$B$1000)*1,[2]OUT_SyntheticFuels!J$4:J$1000)</f>
        <v>9.4948497503651544E-2</v>
      </c>
      <c r="L2048" s="7" cm="1">
        <f t="array" ref="L2048">SUMPRODUCT(("SUP_H2DSL"=[2]OUT_SyntheticFuels!$C$4:$C$1000)*1,("Var_cap"=[2]OUT_SyntheticFuels!$B$4:$B$1000)*1,[2]OUT_SyntheticFuels!K$4:K$1000)</f>
        <v>0.15920118097536717</v>
      </c>
      <c r="N2048" s="1"/>
    </row>
    <row r="2049" spans="2:14" x14ac:dyDescent="0.35">
      <c r="B2049" s="5" t="str">
        <f t="shared" si="2073"/>
        <v>SPS1</v>
      </c>
      <c r="C2049" s="5" t="str">
        <f t="shared" si="2074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4.2022697970547602E-5</v>
      </c>
      <c r="J2049" s="7" cm="1">
        <f t="array" ref="J2049">SUMPRODUCT(("SUP_H2GSL"=[2]OUT_SyntheticFuels!$C$4:$C$1000)*1,("Var_cap"=[2]OUT_SyntheticFuels!$B$4:$B$1000)*1,[2]OUT_SyntheticFuels!I$4:I$1000)</f>
        <v>5.3852474521937845E-6</v>
      </c>
      <c r="K2049" s="7" cm="1">
        <f t="array" ref="K2049">SUMPRODUCT(("SUP_H2GSL"=[2]OUT_SyntheticFuels!$C$4:$C$1000)*1,("Var_cap"=[2]OUT_SyntheticFuels!$B$4:$B$1000)*1,[2]OUT_SyntheticFuels!J$4:J$1000)</f>
        <v>0.12431342252577982</v>
      </c>
      <c r="L2049" s="7" cm="1">
        <f t="array" ref="L2049">SUMPRODUCT(("SUP_H2GSL"=[2]OUT_SyntheticFuels!$C$4:$C$1000)*1,("Var_cap"=[2]OUT_SyntheticFuels!$B$4:$B$1000)*1,[2]OUT_SyntheticFuels!K$4:K$1000)</f>
        <v>0.108030737189669</v>
      </c>
      <c r="N2049" s="1"/>
    </row>
    <row r="2050" spans="2:14" x14ac:dyDescent="0.3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075">SUM(F2051,F2053,F2057,F2061,F2077,F2084,F2092,F2094,F2102,F2106,F2100)</f>
        <v>8.3213570651093194E-2</v>
      </c>
      <c r="G2050" s="3">
        <f t="shared" si="2075"/>
        <v>0.18450593490718212</v>
      </c>
      <c r="H2050" s="3">
        <f t="shared" si="2075"/>
        <v>5.2115821422494397</v>
      </c>
      <c r="I2050" s="3">
        <f t="shared" si="2075"/>
        <v>7.1696373544008587</v>
      </c>
      <c r="J2050" s="3">
        <f t="shared" si="2075"/>
        <v>2.6307451607929346</v>
      </c>
      <c r="K2050" s="3">
        <f t="shared" si="2075"/>
        <v>22.117565651043471</v>
      </c>
      <c r="L2050" s="3">
        <f t="shared" ref="L2050" si="2076">SUM(L2051,L2053,L2057,L2061,L2077,L2084,L2092,L2094,L2102,L2106,L2100)</f>
        <v>22.213225313329914</v>
      </c>
      <c r="N2050" s="1"/>
    </row>
    <row r="2051" spans="2:14" x14ac:dyDescent="0.35">
      <c r="B2051" s="5" t="str">
        <f>B2050</f>
        <v>SPS1</v>
      </c>
      <c r="C2051" s="5" t="str">
        <f t="shared" ref="C2051:C2113" si="2077">C2050</f>
        <v>CH</v>
      </c>
      <c r="D2051" t="s">
        <v>2180</v>
      </c>
      <c r="E2051" t="str">
        <f t="shared" ref="E2051:E2082" si="2078">E2050</f>
        <v>GWe/yr.</v>
      </c>
      <c r="F2051" s="1">
        <f t="shared" ref="F2051:L2051" si="2079">+F2052</f>
        <v>0</v>
      </c>
      <c r="G2051" s="1">
        <f t="shared" si="2079"/>
        <v>0</v>
      </c>
      <c r="H2051" s="1">
        <f t="shared" si="2079"/>
        <v>0</v>
      </c>
      <c r="I2051" s="1">
        <f t="shared" si="2079"/>
        <v>0</v>
      </c>
      <c r="J2051" s="1">
        <f t="shared" si="2079"/>
        <v>0</v>
      </c>
      <c r="K2051" s="1">
        <f t="shared" si="2079"/>
        <v>0</v>
      </c>
      <c r="L2051" s="1">
        <f t="shared" si="2079"/>
        <v>0</v>
      </c>
      <c r="N2051" s="1"/>
    </row>
    <row r="2052" spans="2:14" x14ac:dyDescent="0.35">
      <c r="B2052" s="5" t="str">
        <f t="shared" ref="B2052:B2113" si="2080">B2051</f>
        <v>SPS1</v>
      </c>
      <c r="C2052" s="5" t="str">
        <f t="shared" si="2077"/>
        <v>CH</v>
      </c>
      <c r="D2052" t="s">
        <v>2181</v>
      </c>
      <c r="E2052" t="str">
        <f t="shared" si="2078"/>
        <v>GWe/yr.</v>
      </c>
      <c r="F2052" s="1">
        <f>'[1]Electricity and CHPs_NCAP'!B$14</f>
        <v>0</v>
      </c>
      <c r="G2052" s="1">
        <f>'[1]Electricity and CHPs_NCAP'!C$14</f>
        <v>0</v>
      </c>
      <c r="H2052" s="1">
        <f>'[1]Electricity and CHPs_NCAP'!D$14</f>
        <v>0</v>
      </c>
      <c r="I2052" s="1">
        <f>'[1]Electricity and CHPs_NCAP'!E$14</f>
        <v>0</v>
      </c>
      <c r="J2052" s="1">
        <f>'[2]Electricity and CHPs_NCAP'!F$14</f>
        <v>0</v>
      </c>
      <c r="K2052" s="1">
        <f>'[2]Electricity and CHPs_NCAP'!G$14</f>
        <v>0</v>
      </c>
      <c r="L2052" s="1">
        <f>'[2]Electricity and CHPs_NCAP'!H$14</f>
        <v>0</v>
      </c>
      <c r="N2052" s="1"/>
    </row>
    <row r="2053" spans="2:14" x14ac:dyDescent="0.35">
      <c r="B2053" s="5" t="str">
        <f t="shared" si="2080"/>
        <v>SPS1</v>
      </c>
      <c r="C2053" s="5" t="str">
        <f t="shared" si="2077"/>
        <v>CH</v>
      </c>
      <c r="D2053" t="s">
        <v>2182</v>
      </c>
      <c r="E2053" t="str">
        <f t="shared" si="2078"/>
        <v>GWe/yr.</v>
      </c>
      <c r="F2053" s="1">
        <f t="shared" ref="F2053:K2053" si="2081">SUM(F2054:F2056)</f>
        <v>0</v>
      </c>
      <c r="G2053" s="1">
        <f t="shared" si="2081"/>
        <v>8.2077009434940465E-2</v>
      </c>
      <c r="H2053" s="1">
        <f t="shared" si="2081"/>
        <v>5.6263049827889537E-2</v>
      </c>
      <c r="I2053" s="1">
        <f t="shared" si="2081"/>
        <v>0.19800050233517039</v>
      </c>
      <c r="J2053" s="1">
        <f t="shared" si="2081"/>
        <v>1.4753566165862189E-6</v>
      </c>
      <c r="K2053" s="1">
        <f t="shared" si="2081"/>
        <v>0.1926394001101876</v>
      </c>
      <c r="L2053" s="1">
        <f t="shared" ref="L2053" si="2082">SUM(L2054:L2056)</f>
        <v>0.96505240678826909</v>
      </c>
      <c r="N2053" s="1"/>
    </row>
    <row r="2054" spans="2:14" x14ac:dyDescent="0.35">
      <c r="B2054" s="5" t="str">
        <f t="shared" si="2080"/>
        <v>SPS1</v>
      </c>
      <c r="C2054" s="5" t="str">
        <f t="shared" si="2077"/>
        <v>CH</v>
      </c>
      <c r="D2054" t="s">
        <v>2183</v>
      </c>
      <c r="E2054" t="str">
        <f t="shared" si="2078"/>
        <v>GWe/yr.</v>
      </c>
      <c r="F2054" s="1">
        <f>'[1]Electricity and CHPs_NCAP'!B$15</f>
        <v>0</v>
      </c>
      <c r="G2054" s="1">
        <f>'[1]Electricity and CHPs_NCAP'!C$15</f>
        <v>6.7433343013801897E-2</v>
      </c>
      <c r="H2054" s="1">
        <f>'[1]Electricity and CHPs_NCAP'!D$15</f>
        <v>1.9269694653528339E-2</v>
      </c>
      <c r="I2054" s="1">
        <f>'[1]Electricity and CHPs_NCAP'!E$15</f>
        <v>0.19600321022085351</v>
      </c>
      <c r="J2054" s="1">
        <f>'[2]Electricity and CHPs_NCAP'!F$15</f>
        <v>6.8341092516871999E-7</v>
      </c>
      <c r="K2054" s="1">
        <f>'[2]Electricity and CHPs_NCAP'!G$15</f>
        <v>1.1572767895856539E-6</v>
      </c>
      <c r="L2054" s="1">
        <f>'[2]Electricity and CHPs_NCAP'!H$15</f>
        <v>0.64007679581262555</v>
      </c>
      <c r="N2054" s="1"/>
    </row>
    <row r="2055" spans="2:14" x14ac:dyDescent="0.35">
      <c r="B2055" s="5" t="str">
        <f t="shared" si="2080"/>
        <v>SPS1</v>
      </c>
      <c r="C2055" s="5" t="str">
        <f t="shared" si="2077"/>
        <v>CH</v>
      </c>
      <c r="D2055" t="s">
        <v>2184</v>
      </c>
      <c r="E2055" t="str">
        <f t="shared" si="2078"/>
        <v>GWe/yr.</v>
      </c>
      <c r="F2055" s="1">
        <f>'[1]Electricity and CHPs_NCAP'!B$16</f>
        <v>0</v>
      </c>
      <c r="G2055" s="1">
        <f>'[1]Electricity and CHPs_NCAP'!C$16</f>
        <v>9.77240805752062E-3</v>
      </c>
      <c r="H2055" s="1">
        <f>'[1]Electricity and CHPs_NCAP'!D$16</f>
        <v>3.699075894892441E-2</v>
      </c>
      <c r="I2055" s="1">
        <f>'[1]Electricity and CHPs_NCAP'!E$16</f>
        <v>1.9946923314106469E-3</v>
      </c>
      <c r="J2055" s="1">
        <f>'[2]Electricity and CHPs_NCAP'!F$16</f>
        <v>7.3361360847337101E-7</v>
      </c>
      <c r="K2055" s="1">
        <f>'[2]Electricity and CHPs_NCAP'!G$16</f>
        <v>0.19263814131673282</v>
      </c>
      <c r="L2055" s="1">
        <f>'[2]Electricity and CHPs_NCAP'!H$16</f>
        <v>0.32497523079350149</v>
      </c>
      <c r="N2055" s="1"/>
    </row>
    <row r="2056" spans="2:14" x14ac:dyDescent="0.35">
      <c r="B2056" s="5" t="str">
        <f t="shared" si="2080"/>
        <v>SPS1</v>
      </c>
      <c r="C2056" s="5" t="str">
        <f t="shared" si="2077"/>
        <v>CH</v>
      </c>
      <c r="D2056" t="s">
        <v>2185</v>
      </c>
      <c r="E2056" t="str">
        <f t="shared" si="2078"/>
        <v>GWe/yr.</v>
      </c>
      <c r="F2056" s="1">
        <f>'[1]Electricity and CHPs_NCAP'!B$17</f>
        <v>0</v>
      </c>
      <c r="G2056" s="1">
        <f>'[1]Electricity and CHPs_NCAP'!C$17</f>
        <v>4.8712583636179498E-3</v>
      </c>
      <c r="H2056" s="1">
        <f>'[1]Electricity and CHPs_NCAP'!D$17</f>
        <v>2.59622543678957E-6</v>
      </c>
      <c r="I2056" s="1">
        <f>'[1]Electricity and CHPs_NCAP'!E$17</f>
        <v>2.5997829062343898E-6</v>
      </c>
      <c r="J2056" s="1">
        <f>'[2]Electricity and CHPs_NCAP'!F$17</f>
        <v>5.8332082944127999E-8</v>
      </c>
      <c r="K2056" s="1">
        <f>'[2]Electricity and CHPs_NCAP'!G$17</f>
        <v>1.0151666519380601E-7</v>
      </c>
      <c r="L2056" s="1">
        <f>'[2]Electricity and CHPs_NCAP'!H$17</f>
        <v>3.80182141971467E-7</v>
      </c>
      <c r="N2056" s="1"/>
    </row>
    <row r="2057" spans="2:14" x14ac:dyDescent="0.35">
      <c r="B2057" s="5" t="str">
        <f t="shared" si="2080"/>
        <v>SPS1</v>
      </c>
      <c r="C2057" s="5" t="str">
        <f t="shared" si="2077"/>
        <v>CH</v>
      </c>
      <c r="D2057" t="s">
        <v>2186</v>
      </c>
      <c r="E2057" t="str">
        <f t="shared" si="2078"/>
        <v>GWe/yr.</v>
      </c>
      <c r="F2057" s="1">
        <f t="shared" ref="F2057:K2057" si="2083">SUM(F2058:F2060)</f>
        <v>0</v>
      </c>
      <c r="G2057" s="1">
        <f t="shared" si="2083"/>
        <v>2.4361250594758427E-2</v>
      </c>
      <c r="H2057" s="1">
        <f t="shared" si="2083"/>
        <v>1.5895312969099063E-2</v>
      </c>
      <c r="I2057" s="1">
        <f t="shared" si="2083"/>
        <v>1.6841405489253582E-2</v>
      </c>
      <c r="J2057" s="1">
        <f t="shared" si="2083"/>
        <v>1.0512652022493811E-5</v>
      </c>
      <c r="K2057" s="1">
        <f t="shared" si="2083"/>
        <v>1.5336490251704701E-5</v>
      </c>
      <c r="L2057" s="1">
        <f t="shared" ref="L2057" si="2084">SUM(L2058:L2060)</f>
        <v>3.6476987125590931E-5</v>
      </c>
      <c r="N2057" s="1"/>
    </row>
    <row r="2058" spans="2:14" x14ac:dyDescent="0.35">
      <c r="B2058" s="5" t="str">
        <f t="shared" si="2080"/>
        <v>SPS1</v>
      </c>
      <c r="C2058" s="5" t="str">
        <f t="shared" si="2077"/>
        <v>CH</v>
      </c>
      <c r="D2058" t="s">
        <v>2187</v>
      </c>
      <c r="E2058" t="str">
        <f t="shared" si="2078"/>
        <v>GWe/yr.</v>
      </c>
      <c r="F2058" s="1">
        <f>'[1]Electricity and CHPs_NCAP'!B$18</f>
        <v>0</v>
      </c>
      <c r="G2058" s="1">
        <f>'[1]Electricity and CHPs_NCAP'!C$18</f>
        <v>6.8119039490294295E-4</v>
      </c>
      <c r="H2058" s="1">
        <f>'[1]Electricity and CHPs_NCAP'!D$18</f>
        <v>1.5747048355054499E-2</v>
      </c>
      <c r="I2058" s="1">
        <f>'[1]Electricity and CHPs_NCAP'!E$18</f>
        <v>1.671709355842E-2</v>
      </c>
      <c r="J2058" s="1">
        <f>'[2]Electricity and CHPs_NCAP'!F$18</f>
        <v>5.3482556721407898E-6</v>
      </c>
      <c r="K2058" s="1">
        <f>'[2]Electricity and CHPs_NCAP'!G$18</f>
        <v>1.3036116387635E-6</v>
      </c>
      <c r="L2058" s="1">
        <f>'[2]Electricity and CHPs_NCAP'!H$18</f>
        <v>1.3494892113778299E-6</v>
      </c>
      <c r="N2058" s="1"/>
    </row>
    <row r="2059" spans="2:14" x14ac:dyDescent="0.35">
      <c r="B2059" s="5" t="str">
        <f t="shared" si="2080"/>
        <v>SPS1</v>
      </c>
      <c r="C2059" s="5" t="str">
        <f t="shared" si="2077"/>
        <v>CH</v>
      </c>
      <c r="D2059" t="s">
        <v>2188</v>
      </c>
      <c r="E2059" t="str">
        <f t="shared" si="2078"/>
        <v>GWe/yr.</v>
      </c>
      <c r="F2059" s="1">
        <f>'[1]Electricity and CHPs_NCAP'!B$28</f>
        <v>0</v>
      </c>
      <c r="G2059" s="1">
        <f>'[1]Electricity and CHPs_NCAP'!C$28</f>
        <v>4.3320247787038599E-4</v>
      </c>
      <c r="H2059" s="1">
        <f>'[1]Electricity and CHPs_NCAP'!D$28</f>
        <v>1.4826461404456501E-4</v>
      </c>
      <c r="I2059" s="1">
        <f>'[1]Electricity and CHPs_NCAP'!E$28</f>
        <v>1.24311930833582E-4</v>
      </c>
      <c r="J2059" s="1">
        <f>'[2]Electricity and CHPs_NCAP'!F$28</f>
        <v>5.1643963503530202E-6</v>
      </c>
      <c r="K2059" s="1">
        <f>'[2]Electricity and CHPs_NCAP'!G$28</f>
        <v>1.40328786129412E-5</v>
      </c>
      <c r="L2059" s="1">
        <f>'[2]Electricity and CHPs_NCAP'!H$28</f>
        <v>3.5127497914213099E-5</v>
      </c>
      <c r="N2059" s="1"/>
    </row>
    <row r="2060" spans="2:14" x14ac:dyDescent="0.35">
      <c r="B2060" s="5" t="str">
        <f t="shared" si="2080"/>
        <v>SPS1</v>
      </c>
      <c r="C2060" s="5" t="str">
        <f t="shared" si="2077"/>
        <v>CH</v>
      </c>
      <c r="D2060" t="s">
        <v>2189</v>
      </c>
      <c r="E2060" t="str">
        <f t="shared" si="2078"/>
        <v>GWe/yr.</v>
      </c>
      <c r="F2060" s="1">
        <f>'[1]Electricity and CHPs_NCAP'!B$41</f>
        <v>0</v>
      </c>
      <c r="G2060" s="1">
        <f>'[1]Electricity and CHPs_NCAP'!C$41</f>
        <v>2.3246857721985099E-2</v>
      </c>
      <c r="H2060" s="1">
        <f>'[1]Electricity and CHPs_NCAP'!D$41</f>
        <v>0</v>
      </c>
      <c r="I2060" s="1">
        <f>'[1]Electricity and CHPs_NCAP'!E$41</f>
        <v>0</v>
      </c>
      <c r="J2060" s="1">
        <f>'[2]Electricity and CHPs_NCAP'!F$41</f>
        <v>0</v>
      </c>
      <c r="K2060" s="1">
        <f>'[2]Electricity and CHPs_NCAP'!G$41</f>
        <v>0</v>
      </c>
      <c r="L2060" s="1">
        <f>'[2]Electricity and CHPs_NCAP'!H$41</f>
        <v>0</v>
      </c>
      <c r="N2060" s="1"/>
    </row>
    <row r="2061" spans="2:14" x14ac:dyDescent="0.35">
      <c r="B2061" s="5" t="str">
        <f t="shared" si="2080"/>
        <v>SPS1</v>
      </c>
      <c r="C2061" s="5" t="str">
        <f t="shared" si="2077"/>
        <v>CH</v>
      </c>
      <c r="D2061" t="s">
        <v>2190</v>
      </c>
      <c r="E2061" t="str">
        <f t="shared" si="2078"/>
        <v>GWe/yr.</v>
      </c>
      <c r="F2061" s="1">
        <f t="shared" ref="F2061:K2061" si="2085">SUM(F2062:F2076)</f>
        <v>0</v>
      </c>
      <c r="G2061" s="1">
        <f t="shared" si="2085"/>
        <v>5.6099990487264502E-2</v>
      </c>
      <c r="H2061" s="1">
        <f t="shared" si="2085"/>
        <v>8.38158132644066E-3</v>
      </c>
      <c r="I2061" s="1">
        <f t="shared" si="2085"/>
        <v>1.583104292076893E-2</v>
      </c>
      <c r="J2061" s="1">
        <f t="shared" si="2085"/>
        <v>6.561716938385663E-2</v>
      </c>
      <c r="K2061" s="1">
        <f t="shared" si="2085"/>
        <v>3.3203123081146355E-2</v>
      </c>
      <c r="L2061" s="1">
        <f t="shared" ref="L2061" si="2086">SUM(L2062:L2076)</f>
        <v>0.18200316922584212</v>
      </c>
      <c r="N2061" s="1"/>
    </row>
    <row r="2062" spans="2:14" x14ac:dyDescent="0.35">
      <c r="B2062" s="5" t="str">
        <f t="shared" si="2080"/>
        <v>SPS1</v>
      </c>
      <c r="C2062" s="5" t="str">
        <f t="shared" si="2077"/>
        <v>CH</v>
      </c>
      <c r="D2062" t="s">
        <v>2191</v>
      </c>
      <c r="E2062" t="str">
        <f t="shared" si="2078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'[2]Electricity and CHPs_NCAP'!F$21</f>
        <v>0</v>
      </c>
      <c r="K2062" s="1">
        <f>'[2]Electricity and CHPs_NCAP'!G$21</f>
        <v>5.9908763094371402E-6</v>
      </c>
      <c r="L2062" s="1">
        <f>'[2]Electricity and CHPs_NCAP'!H$21</f>
        <v>3.1241602872401003E-4</v>
      </c>
      <c r="N2062" s="1"/>
    </row>
    <row r="2063" spans="2:14" x14ac:dyDescent="0.35">
      <c r="B2063" s="5" t="str">
        <f t="shared" si="2080"/>
        <v>SPS1</v>
      </c>
      <c r="C2063" s="5" t="str">
        <f t="shared" si="2077"/>
        <v>CH</v>
      </c>
      <c r="D2063" t="s">
        <v>2192</v>
      </c>
      <c r="E2063" t="str">
        <f t="shared" si="2078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'[2]Electricity and CHPs_NCAP'!F$22</f>
        <v>6.6518611093171402E-4</v>
      </c>
      <c r="K2063" s="1">
        <f>'[2]Electricity and CHPs_NCAP'!G$22</f>
        <v>4.6241700364116003E-6</v>
      </c>
      <c r="L2063" s="1">
        <f>'[2]Electricity and CHPs_NCAP'!H$22</f>
        <v>7.7453364645512598E-2</v>
      </c>
      <c r="N2063" s="1"/>
    </row>
    <row r="2064" spans="2:14" x14ac:dyDescent="0.35">
      <c r="B2064" s="5" t="str">
        <f t="shared" si="2080"/>
        <v>SPS1</v>
      </c>
      <c r="C2064" s="5" t="str">
        <f t="shared" si="2077"/>
        <v>CH</v>
      </c>
      <c r="D2064" t="s">
        <v>2193</v>
      </c>
      <c r="E2064" t="str">
        <f t="shared" si="2078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'[2]Electricity and CHPs_NCAP'!F$23</f>
        <v>0</v>
      </c>
      <c r="K2064" s="1">
        <f>'[2]Electricity and CHPs_NCAP'!G$23</f>
        <v>0</v>
      </c>
      <c r="L2064" s="1">
        <f>'[2]Electricity and CHPs_NCAP'!H$23</f>
        <v>0</v>
      </c>
      <c r="N2064" s="1"/>
    </row>
    <row r="2065" spans="2:14" x14ac:dyDescent="0.35">
      <c r="B2065" s="5" t="str">
        <f t="shared" si="2080"/>
        <v>SPS1</v>
      </c>
      <c r="C2065" s="5" t="str">
        <f t="shared" si="2077"/>
        <v>CH</v>
      </c>
      <c r="D2065" t="s">
        <v>2194</v>
      </c>
      <c r="E2065" t="str">
        <f t="shared" si="2078"/>
        <v>GWe/yr.</v>
      </c>
      <c r="F2065" s="1">
        <f>'[1]Electricity and CHPs_NCAP'!B$24</f>
        <v>0</v>
      </c>
      <c r="G2065" s="1">
        <f>'[1]Electricity and CHPs_NCAP'!C$24</f>
        <v>3.16525421390184E-6</v>
      </c>
      <c r="H2065" s="1">
        <f>'[1]Electricity and CHPs_NCAP'!D$24</f>
        <v>0</v>
      </c>
      <c r="I2065" s="1">
        <f>'[1]Electricity and CHPs_NCAP'!E$24</f>
        <v>0</v>
      </c>
      <c r="J2065" s="1">
        <f>'[2]Electricity and CHPs_NCAP'!F$24</f>
        <v>0</v>
      </c>
      <c r="K2065" s="1">
        <f>'[2]Electricity and CHPs_NCAP'!G$24</f>
        <v>0</v>
      </c>
      <c r="L2065" s="1">
        <f>'[2]Electricity and CHPs_NCAP'!H$24</f>
        <v>0</v>
      </c>
      <c r="N2065" s="1"/>
    </row>
    <row r="2066" spans="2:14" x14ac:dyDescent="0.35">
      <c r="B2066" s="5" t="str">
        <f t="shared" si="2080"/>
        <v>SPS1</v>
      </c>
      <c r="C2066" s="5" t="str">
        <f t="shared" si="2077"/>
        <v>CH</v>
      </c>
      <c r="D2066" t="s">
        <v>2195</v>
      </c>
      <c r="E2066" t="str">
        <f t="shared" si="2078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'[2]Electricity and CHPs_NCAP'!F$29</f>
        <v>0</v>
      </c>
      <c r="K2066" s="1">
        <f>'[2]Electricity and CHPs_NCAP'!G$29</f>
        <v>0</v>
      </c>
      <c r="L2066" s="1">
        <f>'[2]Electricity and CHPs_NCAP'!H$29</f>
        <v>0</v>
      </c>
      <c r="N2066" s="1"/>
    </row>
    <row r="2067" spans="2:14" x14ac:dyDescent="0.35">
      <c r="B2067" s="5" t="str">
        <f t="shared" si="2080"/>
        <v>SPS1</v>
      </c>
      <c r="C2067" s="5" t="str">
        <f t="shared" si="2077"/>
        <v>CH</v>
      </c>
      <c r="D2067" t="s">
        <v>2196</v>
      </c>
      <c r="E2067" t="str">
        <f t="shared" si="2078"/>
        <v>GWe/yr.</v>
      </c>
      <c r="F2067" s="1">
        <f>'[1]Electricity and CHPs_NCAP'!B$39</f>
        <v>0</v>
      </c>
      <c r="G2067" s="1">
        <f>'[1]Electricity and CHPs_NCAP'!C$39</f>
        <v>1.3583102283850299E-5</v>
      </c>
      <c r="H2067" s="1">
        <f>'[1]Electricity and CHPs_NCAP'!D$39</f>
        <v>1.73569168056178E-3</v>
      </c>
      <c r="I2067" s="1">
        <f>'[1]Electricity and CHPs_NCAP'!E$39</f>
        <v>3.48541316175593E-3</v>
      </c>
      <c r="J2067" s="1">
        <f>'[2]Electricity and CHPs_NCAP'!F$39</f>
        <v>2.0723575282906199E-2</v>
      </c>
      <c r="K2067" s="1">
        <f>'[2]Electricity and CHPs_NCAP'!G$39</f>
        <v>2.8245632646218058E-7</v>
      </c>
      <c r="L2067" s="1">
        <f>'[2]Electricity and CHPs_NCAP'!H$39</f>
        <v>3.1321423321195599E-2</v>
      </c>
      <c r="N2067" s="1"/>
    </row>
    <row r="2068" spans="2:14" x14ac:dyDescent="0.35">
      <c r="B2068" s="5" t="str">
        <f t="shared" si="2080"/>
        <v>SPS1</v>
      </c>
      <c r="C2068" s="5" t="str">
        <f t="shared" si="2077"/>
        <v>CH</v>
      </c>
      <c r="D2068" t="s">
        <v>2197</v>
      </c>
      <c r="E2068" t="str">
        <f t="shared" si="2078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'[2]Electricity and CHPs_NCAP'!F$40</f>
        <v>0</v>
      </c>
      <c r="K2068" s="1">
        <f>'[2]Electricity and CHPs_NCAP'!G$40</f>
        <v>2.0389690269927E-3</v>
      </c>
      <c r="L2068" s="1">
        <f>'[2]Electricity and CHPs_NCAP'!H$40</f>
        <v>2.9421797358413201E-2</v>
      </c>
      <c r="N2068" s="1"/>
    </row>
    <row r="2069" spans="2:14" x14ac:dyDescent="0.35">
      <c r="B2069" s="5" t="str">
        <f t="shared" si="2080"/>
        <v>SPS1</v>
      </c>
      <c r="C2069" s="5" t="str">
        <f t="shared" si="2077"/>
        <v>CH</v>
      </c>
      <c r="D2069" t="s">
        <v>2198</v>
      </c>
      <c r="E2069" t="str">
        <f t="shared" si="2078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0</v>
      </c>
      <c r="J2069" s="1">
        <f>'[2]Electricity and CHPs_NCAP'!F$47</f>
        <v>1.4622845346432301E-4</v>
      </c>
      <c r="K2069" s="1">
        <f>'[2]Electricity and CHPs_NCAP'!G$47</f>
        <v>5.1306074034462795E-7</v>
      </c>
      <c r="L2069" s="1">
        <f>'[2]Electricity and CHPs_NCAP'!H$47</f>
        <v>4.0070880700940701E-6</v>
      </c>
      <c r="N2069" s="1"/>
    </row>
    <row r="2070" spans="2:14" x14ac:dyDescent="0.35">
      <c r="B2070" s="5" t="str">
        <f t="shared" si="2080"/>
        <v>SPS1</v>
      </c>
      <c r="C2070" s="5" t="str">
        <f t="shared" si="2077"/>
        <v>CH</v>
      </c>
      <c r="D2070" t="s">
        <v>2199</v>
      </c>
      <c r="E2070" t="str">
        <f t="shared" si="2078"/>
        <v>GWe/yr.</v>
      </c>
      <c r="F2070" s="1">
        <f>'[1]Electricity and CHPs_NCAP'!B$48</f>
        <v>0</v>
      </c>
      <c r="G2070" s="1">
        <f>'[1]Electricity and CHPs_NCAP'!C$48</f>
        <v>9.64415610812778E-4</v>
      </c>
      <c r="H2070" s="1">
        <f>'[1]Electricity and CHPs_NCAP'!D$48</f>
        <v>0</v>
      </c>
      <c r="I2070" s="1">
        <f>'[1]Electricity and CHPs_NCAP'!E$48</f>
        <v>0</v>
      </c>
      <c r="J2070" s="1">
        <f>'[2]Electricity and CHPs_NCAP'!F$48</f>
        <v>0</v>
      </c>
      <c r="K2070" s="1">
        <f>'[2]Electricity and CHPs_NCAP'!G$48</f>
        <v>0</v>
      </c>
      <c r="L2070" s="1">
        <f>'[2]Electricity and CHPs_NCAP'!H$48</f>
        <v>0</v>
      </c>
      <c r="N2070" s="1"/>
    </row>
    <row r="2071" spans="2:14" x14ac:dyDescent="0.35">
      <c r="B2071" s="5" t="str">
        <f t="shared" si="2080"/>
        <v>SPS1</v>
      </c>
      <c r="C2071" s="5" t="str">
        <f t="shared" si="2077"/>
        <v>CH</v>
      </c>
      <c r="D2071" t="s">
        <v>2200</v>
      </c>
      <c r="E2071" t="str">
        <f t="shared" si="2078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0</v>
      </c>
      <c r="J2071" s="1">
        <f>'[2]Electricity and CHPs_NCAP'!F$49</f>
        <v>0</v>
      </c>
      <c r="K2071" s="1">
        <f>'[2]Electricity and CHPs_NCAP'!G$49</f>
        <v>0</v>
      </c>
      <c r="L2071" s="1">
        <f>'[2]Electricity and CHPs_NCAP'!H$49</f>
        <v>0</v>
      </c>
      <c r="N2071" s="1"/>
    </row>
    <row r="2072" spans="2:14" x14ac:dyDescent="0.35">
      <c r="B2072" s="5" t="str">
        <f t="shared" si="2080"/>
        <v>SPS1</v>
      </c>
      <c r="C2072" s="5" t="str">
        <f t="shared" si="2077"/>
        <v>CH</v>
      </c>
      <c r="D2072" t="s">
        <v>2201</v>
      </c>
      <c r="E2072" t="str">
        <f t="shared" si="2078"/>
        <v>GWe/yr.</v>
      </c>
      <c r="F2072" s="1">
        <f>'[1]Electricity and CHPs_NCAP'!B$51</f>
        <v>0</v>
      </c>
      <c r="G2072" s="1">
        <f>'[1]Electricity and CHPs_NCAP'!C$51</f>
        <v>1.4748962007393746E-3</v>
      </c>
      <c r="H2072" s="1">
        <f>'[1]Electricity and CHPs_NCAP'!D$51</f>
        <v>0</v>
      </c>
      <c r="I2072" s="1">
        <f>'[1]Electricity and CHPs_NCAP'!E$51</f>
        <v>0</v>
      </c>
      <c r="J2072" s="1">
        <f>'[2]Electricity and CHPs_NCAP'!F$51</f>
        <v>0</v>
      </c>
      <c r="K2072" s="1">
        <f>'[2]Electricity and CHPs_NCAP'!G$51</f>
        <v>0</v>
      </c>
      <c r="L2072" s="1">
        <f>'[2]Electricity and CHPs_NCAP'!H$51</f>
        <v>0</v>
      </c>
      <c r="N2072" s="1"/>
    </row>
    <row r="2073" spans="2:14" x14ac:dyDescent="0.35">
      <c r="B2073" s="5" t="str">
        <f t="shared" si="2080"/>
        <v>SPS1</v>
      </c>
      <c r="C2073" s="5" t="str">
        <f t="shared" si="2077"/>
        <v>CH</v>
      </c>
      <c r="D2073" t="s">
        <v>2202</v>
      </c>
      <c r="E2073" t="str">
        <f t="shared" si="2078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0</v>
      </c>
      <c r="J2073" s="1">
        <f>'[2]Electricity and CHPs_NCAP'!F$52</f>
        <v>0</v>
      </c>
      <c r="K2073" s="1">
        <f>'[2]Electricity and CHPs_NCAP'!G$52</f>
        <v>0</v>
      </c>
      <c r="L2073" s="1">
        <f>'[2]Electricity and CHPs_NCAP'!H$52</f>
        <v>0</v>
      </c>
      <c r="N2073" s="1"/>
    </row>
    <row r="2074" spans="2:14" x14ac:dyDescent="0.35">
      <c r="B2074" s="5" t="str">
        <f t="shared" si="2080"/>
        <v>SPS1</v>
      </c>
      <c r="C2074" s="5" t="str">
        <f t="shared" si="2077"/>
        <v>CH</v>
      </c>
      <c r="D2074" t="s">
        <v>2203</v>
      </c>
      <c r="E2074" t="str">
        <f t="shared" si="2078"/>
        <v>GWe/yr.</v>
      </c>
      <c r="F2074" s="1">
        <f>'[1]Electricity and CHPs_NCAP'!B$54</f>
        <v>0</v>
      </c>
      <c r="G2074" s="1">
        <f>'[1]Electricity and CHPs_NCAP'!C$54</f>
        <v>2.6269355026159E-2</v>
      </c>
      <c r="H2074" s="1">
        <f>'[1]Electricity and CHPs_NCAP'!D$54</f>
        <v>6.6458896458788802E-3</v>
      </c>
      <c r="I2074" s="1">
        <f>'[1]Electricity and CHPs_NCAP'!E$54</f>
        <v>1.2345629759013E-2</v>
      </c>
      <c r="J2074" s="1">
        <f>'[2]Electricity and CHPs_NCAP'!F$54</f>
        <v>4.4082179536554397E-2</v>
      </c>
      <c r="K2074" s="1">
        <f>'[2]Electricity and CHPs_NCAP'!G$54</f>
        <v>3.1152743490741E-2</v>
      </c>
      <c r="L2074" s="1">
        <f>'[2]Electricity and CHPs_NCAP'!H$54</f>
        <v>4.3490160783926597E-2</v>
      </c>
      <c r="N2074" s="1"/>
    </row>
    <row r="2075" spans="2:14" x14ac:dyDescent="0.35">
      <c r="B2075" s="5" t="str">
        <f t="shared" si="2080"/>
        <v>SPS1</v>
      </c>
      <c r="C2075" s="5" t="str">
        <f t="shared" si="2077"/>
        <v>CH</v>
      </c>
      <c r="D2075" t="s">
        <v>2204</v>
      </c>
      <c r="E2075" t="str">
        <f t="shared" si="2078"/>
        <v>GWe/yr.</v>
      </c>
      <c r="F2075" s="1">
        <f>'[1]Electricity and CHPs_NCAP'!B$55</f>
        <v>0</v>
      </c>
      <c r="G2075" s="1">
        <f>'[1]Electricity and CHPs_NCAP'!C$55</f>
        <v>2.7374575293055599E-2</v>
      </c>
      <c r="H2075" s="1">
        <f>'[1]Electricity and CHPs_NCAP'!D$55</f>
        <v>0</v>
      </c>
      <c r="I2075" s="1">
        <f>'[1]Electricity and CHPs_NCAP'!E$55</f>
        <v>0</v>
      </c>
      <c r="J2075" s="1">
        <f>'[2]Electricity and CHPs_NCAP'!F$55</f>
        <v>0</v>
      </c>
      <c r="K2075" s="1">
        <f>'[2]Electricity and CHPs_NCAP'!G$55</f>
        <v>0</v>
      </c>
      <c r="L2075" s="1">
        <f>'[2]Electricity and CHPs_NCAP'!H$55</f>
        <v>0</v>
      </c>
      <c r="N2075" s="1"/>
    </row>
    <row r="2076" spans="2:14" x14ac:dyDescent="0.35">
      <c r="B2076" s="5" t="str">
        <f t="shared" si="2080"/>
        <v>SPS1</v>
      </c>
      <c r="C2076" s="5" t="str">
        <f t="shared" si="2077"/>
        <v>CH</v>
      </c>
      <c r="D2076" t="s">
        <v>2205</v>
      </c>
      <c r="E2076" t="str">
        <f t="shared" si="2078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0</v>
      </c>
      <c r="J2076" s="1">
        <f>'[2]Electricity and CHPs_NCAP'!F$58</f>
        <v>0</v>
      </c>
      <c r="K2076" s="1">
        <f>'[2]Electricity and CHPs_NCAP'!G$58</f>
        <v>0</v>
      </c>
      <c r="L2076" s="1">
        <f>'[2]Electricity and CHPs_NCAP'!H$58</f>
        <v>0</v>
      </c>
      <c r="N2076" s="1"/>
    </row>
    <row r="2077" spans="2:14" x14ac:dyDescent="0.35">
      <c r="B2077" s="5" t="str">
        <f t="shared" si="2080"/>
        <v>SPS1</v>
      </c>
      <c r="C2077" s="5" t="str">
        <f t="shared" si="2077"/>
        <v>CH</v>
      </c>
      <c r="D2077" t="s">
        <v>2206</v>
      </c>
      <c r="E2077" t="str">
        <f t="shared" si="2078"/>
        <v>GWe/yr.</v>
      </c>
      <c r="F2077" s="1">
        <f t="shared" ref="F2077:K2077" si="2087">SUM(F2078:F2083)</f>
        <v>0</v>
      </c>
      <c r="G2077" s="1">
        <f t="shared" si="2087"/>
        <v>2.0089719393286353E-5</v>
      </c>
      <c r="H2077" s="1">
        <f t="shared" si="2087"/>
        <v>3.3310134757570137E-2</v>
      </c>
      <c r="I2077" s="1">
        <f t="shared" si="2087"/>
        <v>5.0010641885071254E-2</v>
      </c>
      <c r="J2077" s="1">
        <f t="shared" si="2087"/>
        <v>7.8522595127116054E-2</v>
      </c>
      <c r="K2077" s="1">
        <f t="shared" si="2087"/>
        <v>0.20521989849277489</v>
      </c>
      <c r="L2077" s="1">
        <f t="shared" ref="L2077" si="2088">SUM(L2078:L2083)</f>
        <v>0.25733680396327102</v>
      </c>
      <c r="N2077" s="1"/>
    </row>
    <row r="2078" spans="2:14" x14ac:dyDescent="0.35">
      <c r="B2078" s="5" t="str">
        <f t="shared" si="2080"/>
        <v>SPS1</v>
      </c>
      <c r="C2078" s="5" t="str">
        <f t="shared" si="2077"/>
        <v>CH</v>
      </c>
      <c r="D2078" t="s">
        <v>2207</v>
      </c>
      <c r="E2078" t="str">
        <f t="shared" si="2078"/>
        <v>GWe/yr.</v>
      </c>
      <c r="F2078" s="1">
        <f>'[1]Electricity and CHPs_NCAP'!B$19</f>
        <v>0</v>
      </c>
      <c r="G2078" s="1">
        <f>'[1]Electricity and CHPs_NCAP'!C$19</f>
        <v>6.2944844115577101E-6</v>
      </c>
      <c r="H2078" s="1">
        <f>'[1]Electricity and CHPs_NCAP'!D$19</f>
        <v>3.3303223640693103E-2</v>
      </c>
      <c r="I2078" s="1">
        <f>'[1]Electricity and CHPs_NCAP'!E$19</f>
        <v>4.7093043683537297E-2</v>
      </c>
      <c r="J2078" s="1">
        <f>'[2]Electricity and CHPs_NCAP'!F$19</f>
        <v>7.5987019849830403E-2</v>
      </c>
      <c r="K2078" s="1">
        <f>'[2]Electricity and CHPs_NCAP'!G$19</f>
        <v>3.83039964467169E-8</v>
      </c>
      <c r="L2078" s="1">
        <f>'[2]Electricity and CHPs_NCAP'!H$19</f>
        <v>2.4711643836849201E-8</v>
      </c>
      <c r="N2078" s="1"/>
    </row>
    <row r="2079" spans="2:14" x14ac:dyDescent="0.35">
      <c r="B2079" s="5" t="str">
        <f t="shared" si="2080"/>
        <v>SPS1</v>
      </c>
      <c r="C2079" s="5" t="str">
        <f t="shared" si="2077"/>
        <v>CH</v>
      </c>
      <c r="D2079" t="s">
        <v>2208</v>
      </c>
      <c r="E2079" t="str">
        <f t="shared" si="2078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'[2]Electricity and CHPs_NCAP'!F$20</f>
        <v>0</v>
      </c>
      <c r="K2079" s="1">
        <f>'[2]Electricity and CHPs_NCAP'!G$20</f>
        <v>0.145645008850045</v>
      </c>
      <c r="L2079" s="1">
        <f>'[2]Electricity and CHPs_NCAP'!H$20</f>
        <v>0.20250527152733899</v>
      </c>
      <c r="N2079" s="1"/>
    </row>
    <row r="2080" spans="2:14" x14ac:dyDescent="0.35">
      <c r="B2080" s="5" t="str">
        <f t="shared" si="2080"/>
        <v>SPS1</v>
      </c>
      <c r="C2080" s="5" t="str">
        <f t="shared" si="2077"/>
        <v>CH</v>
      </c>
      <c r="D2080" t="s">
        <v>2209</v>
      </c>
      <c r="E2080" t="str">
        <f t="shared" si="2078"/>
        <v>GWe/yr.</v>
      </c>
      <c r="F2080" s="1">
        <f>'[1]Electricity and CHPs_NCAP'!B$26</f>
        <v>0</v>
      </c>
      <c r="G2080" s="1">
        <f>'[1]Electricity and CHPs_NCAP'!C$26</f>
        <v>7.2413854533022801E-6</v>
      </c>
      <c r="H2080" s="1">
        <f>'[1]Electricity and CHPs_NCAP'!D$26</f>
        <v>4.0133576567924799E-6</v>
      </c>
      <c r="I2080" s="1">
        <f>'[1]Electricity and CHPs_NCAP'!E$26</f>
        <v>2.9064328118965899E-3</v>
      </c>
      <c r="J2080" s="1">
        <f>'[2]Electricity and CHPs_NCAP'!F$26</f>
        <v>2.53530124579039E-3</v>
      </c>
      <c r="K2080" s="1">
        <f>'[2]Electricity and CHPs_NCAP'!G$26</f>
        <v>5.7281402079606202E-6</v>
      </c>
      <c r="L2080" s="1">
        <f>'[2]Electricity and CHPs_NCAP'!H$26</f>
        <v>2.6115755727180302E-8</v>
      </c>
      <c r="N2080" s="1"/>
    </row>
    <row r="2081" spans="2:14" x14ac:dyDescent="0.35">
      <c r="B2081" s="5" t="str">
        <f t="shared" si="2080"/>
        <v>SPS1</v>
      </c>
      <c r="C2081" s="5" t="str">
        <f t="shared" si="2077"/>
        <v>CH</v>
      </c>
      <c r="D2081" t="s">
        <v>2210</v>
      </c>
      <c r="E2081" t="str">
        <f t="shared" si="2078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'[2]Electricity and CHPs_NCAP'!F$27</f>
        <v>0</v>
      </c>
      <c r="K2081" s="1">
        <f>'[2]Electricity and CHPs_NCAP'!G$27</f>
        <v>4.8545978959438803E-2</v>
      </c>
      <c r="L2081" s="1">
        <f>'[2]Electricity and CHPs_NCAP'!H$27</f>
        <v>3.3114290046416299E-2</v>
      </c>
      <c r="N2081" s="1"/>
    </row>
    <row r="2082" spans="2:14" x14ac:dyDescent="0.35">
      <c r="B2082" s="5" t="str">
        <f t="shared" si="2080"/>
        <v>SPS1</v>
      </c>
      <c r="C2082" s="5" t="str">
        <f t="shared" si="2077"/>
        <v>CH</v>
      </c>
      <c r="D2082" t="s">
        <v>2211</v>
      </c>
      <c r="E2082" t="str">
        <f t="shared" si="2078"/>
        <v>GWe/yr.</v>
      </c>
      <c r="F2082" s="1">
        <f>'[1]Electricity and CHPs_NCAP'!B$44</f>
        <v>0</v>
      </c>
      <c r="G2082" s="1">
        <f>'[1]Electricity and CHPs_NCAP'!C$44</f>
        <v>6.5538495284263599E-6</v>
      </c>
      <c r="H2082" s="1">
        <f>'[1]Electricity and CHPs_NCAP'!D$44</f>
        <v>2.8977592202434901E-6</v>
      </c>
      <c r="I2082" s="1">
        <f>'[1]Electricity and CHPs_NCAP'!E$44</f>
        <v>1.1165389637362701E-5</v>
      </c>
      <c r="J2082" s="1">
        <f>'[2]Electricity and CHPs_NCAP'!F$44</f>
        <v>2.7403149525916598E-7</v>
      </c>
      <c r="K2082" s="1">
        <f>'[2]Electricity and CHPs_NCAP'!G$44</f>
        <v>8.8860820876413595E-8</v>
      </c>
      <c r="L2082" s="1">
        <f>'[2]Electricity and CHPs_NCAP'!H$44</f>
        <v>2.8375003648007298E-8</v>
      </c>
      <c r="N2082" s="1"/>
    </row>
    <row r="2083" spans="2:14" x14ac:dyDescent="0.35">
      <c r="B2083" s="5" t="str">
        <f t="shared" si="2080"/>
        <v>SPS1</v>
      </c>
      <c r="C2083" s="5" t="str">
        <f t="shared" si="2077"/>
        <v>CH</v>
      </c>
      <c r="D2083" t="s">
        <v>2212</v>
      </c>
      <c r="E2083" t="str">
        <f t="shared" ref="E2083:E2113" si="2089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'[2]Electricity and CHPs_NCAP'!F$45</f>
        <v>0</v>
      </c>
      <c r="K2083" s="1">
        <f>'[2]Electricity and CHPs_NCAP'!G$45</f>
        <v>1.1023055378265799E-2</v>
      </c>
      <c r="L2083" s="1">
        <f>'[2]Electricity and CHPs_NCAP'!H$45</f>
        <v>2.17171631871125E-2</v>
      </c>
      <c r="N2083" s="1"/>
    </row>
    <row r="2084" spans="2:14" x14ac:dyDescent="0.35">
      <c r="B2084" s="5" t="str">
        <f t="shared" si="2080"/>
        <v>SPS1</v>
      </c>
      <c r="C2084" s="5" t="str">
        <f t="shared" si="2077"/>
        <v>CH</v>
      </c>
      <c r="D2084" t="s">
        <v>2213</v>
      </c>
      <c r="E2084" t="str">
        <f t="shared" si="2089"/>
        <v>GWe/yr.</v>
      </c>
      <c r="F2084" s="1">
        <f t="shared" ref="F2084:K2084" si="2090">SUM(F2085:F2091)</f>
        <v>0</v>
      </c>
      <c r="G2084" s="1">
        <f t="shared" si="2090"/>
        <v>1.4034605265957061E-2</v>
      </c>
      <c r="H2084" s="1">
        <f t="shared" si="2090"/>
        <v>3.1609603422618149E-2</v>
      </c>
      <c r="I2084" s="1">
        <f t="shared" si="2090"/>
        <v>5.0863965431456673E-2</v>
      </c>
      <c r="J2084" s="1">
        <f t="shared" si="2090"/>
        <v>0.11682195999291663</v>
      </c>
      <c r="K2084" s="1">
        <f t="shared" si="2090"/>
        <v>0.10354744050973574</v>
      </c>
      <c r="L2084" s="1">
        <f t="shared" ref="L2084" si="2091">SUM(L2085:L2091)</f>
        <v>0.27903073120338284</v>
      </c>
      <c r="N2084" s="1"/>
    </row>
    <row r="2085" spans="2:14" x14ac:dyDescent="0.35">
      <c r="B2085" s="5" t="str">
        <f t="shared" si="2080"/>
        <v>SPS1</v>
      </c>
      <c r="C2085" s="5" t="str">
        <f t="shared" si="2077"/>
        <v>CH</v>
      </c>
      <c r="D2085" t="s">
        <v>2214</v>
      </c>
      <c r="E2085" t="str">
        <f t="shared" si="2089"/>
        <v>GWe/yr.</v>
      </c>
      <c r="F2085" s="1">
        <f>'[1]Electricity and CHPs_NCAP'!B$25</f>
        <v>0</v>
      </c>
      <c r="G2085" s="1">
        <f>'[1]Electricity and CHPs_NCAP'!C$25</f>
        <v>6.7366484568596205E-4</v>
      </c>
      <c r="H2085" s="1">
        <f>'[1]Electricity and CHPs_NCAP'!D$25</f>
        <v>3.2804993034795098E-4</v>
      </c>
      <c r="I2085" s="1">
        <f>'[1]Electricity and CHPs_NCAP'!E$25</f>
        <v>2.33579354156465E-3</v>
      </c>
      <c r="J2085" s="1">
        <f>'[2]Electricity and CHPs_NCAP'!F$25</f>
        <v>2.35826466064042E-2</v>
      </c>
      <c r="K2085" s="1">
        <f>'[2]Electricity and CHPs_NCAP'!G$25</f>
        <v>3.5018328710696399E-2</v>
      </c>
      <c r="L2085" s="1">
        <f>'[2]Electricity and CHPs_NCAP'!H$25</f>
        <v>4.9644545210219701E-2</v>
      </c>
      <c r="N2085" s="1"/>
    </row>
    <row r="2086" spans="2:14" x14ac:dyDescent="0.35">
      <c r="B2086" s="5" t="str">
        <f t="shared" si="2080"/>
        <v>SPS1</v>
      </c>
      <c r="C2086" s="5" t="str">
        <f t="shared" si="2077"/>
        <v>CH</v>
      </c>
      <c r="D2086" t="s">
        <v>2215</v>
      </c>
      <c r="E2086" t="str">
        <f t="shared" si="2089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'[2]Electricity and CHPs_NCAP'!F$31</f>
        <v>0</v>
      </c>
      <c r="K2086" s="1">
        <f>'[2]Electricity and CHPs_NCAP'!G$31</f>
        <v>2.7614803321836598E-4</v>
      </c>
      <c r="L2086" s="1">
        <f>'[2]Electricity and CHPs_NCAP'!H$31</f>
        <v>0.134019210605652</v>
      </c>
      <c r="N2086" s="1"/>
    </row>
    <row r="2087" spans="2:14" x14ac:dyDescent="0.35">
      <c r="B2087" s="5" t="str">
        <f t="shared" si="2080"/>
        <v>SPS1</v>
      </c>
      <c r="C2087" s="5" t="str">
        <f t="shared" si="2077"/>
        <v>CH</v>
      </c>
      <c r="D2087" t="s">
        <v>2216</v>
      </c>
      <c r="E2087" t="str">
        <f t="shared" si="2089"/>
        <v>GWe/yr.</v>
      </c>
      <c r="F2087" s="1">
        <f>'[1]Electricity and CHPs_NCAP'!B$42</f>
        <v>0</v>
      </c>
      <c r="G2087" s="1">
        <f>'[1]Electricity and CHPs_NCAP'!C$42</f>
        <v>1.3360940420271099E-2</v>
      </c>
      <c r="H2087" s="1">
        <f>'[1]Electricity and CHPs_NCAP'!D$42</f>
        <v>3.12815534922702E-2</v>
      </c>
      <c r="I2087" s="1">
        <f>'[1]Electricity and CHPs_NCAP'!E$42</f>
        <v>4.7887059106327602E-2</v>
      </c>
      <c r="J2087" s="1">
        <f>'[2]Electricity and CHPs_NCAP'!F$42</f>
        <v>6.03875341073382E-2</v>
      </c>
      <c r="K2087" s="1">
        <f>'[2]Electricity and CHPs_NCAP'!G$42</f>
        <v>1.7012352955296298E-2</v>
      </c>
      <c r="L2087" s="1">
        <f>'[2]Electricity and CHPs_NCAP'!H$42</f>
        <v>6.5028703370606594E-2</v>
      </c>
      <c r="N2087" s="1"/>
    </row>
    <row r="2088" spans="2:14" x14ac:dyDescent="0.35">
      <c r="B2088" s="5" t="str">
        <f t="shared" si="2080"/>
        <v>SPS1</v>
      </c>
      <c r="C2088" s="5" t="str">
        <f t="shared" si="2077"/>
        <v>CH</v>
      </c>
      <c r="D2088" t="s">
        <v>2217</v>
      </c>
      <c r="E2088" t="str">
        <f t="shared" si="2089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'[2]Electricity and CHPs_NCAP'!F$43</f>
        <v>0</v>
      </c>
      <c r="K2088" s="1">
        <f>'[2]Electricity and CHPs_NCAP'!G$43</f>
        <v>4.2097749493471101E-2</v>
      </c>
      <c r="L2088" s="1">
        <f>'[2]Electricity and CHPs_NCAP'!H$43</f>
        <v>3.0297835537944202E-2</v>
      </c>
      <c r="N2088" s="1"/>
    </row>
    <row r="2089" spans="2:14" x14ac:dyDescent="0.35">
      <c r="B2089" s="5" t="str">
        <f t="shared" si="2080"/>
        <v>SPS1</v>
      </c>
      <c r="C2089" s="5" t="str">
        <f t="shared" si="2077"/>
        <v>CH</v>
      </c>
      <c r="D2089" t="s">
        <v>2218</v>
      </c>
      <c r="E2089" t="str">
        <f t="shared" si="2089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1.3927684143595729E-4</v>
      </c>
      <c r="J2089" s="1">
        <f>'[2]Electricity and CHPs_NCAP'!F$50</f>
        <v>1.3742686328993621E-4</v>
      </c>
      <c r="K2089" s="1">
        <f>'[2]Electricity and CHPs_NCAP'!G$50</f>
        <v>1.2130228617588481E-5</v>
      </c>
      <c r="L2089" s="1">
        <f>'[2]Electricity and CHPs_NCAP'!H$50</f>
        <v>2.1934002953850381E-5</v>
      </c>
      <c r="N2089" s="1"/>
    </row>
    <row r="2090" spans="2:14" x14ac:dyDescent="0.35">
      <c r="B2090" s="5" t="str">
        <f t="shared" si="2080"/>
        <v>SPS1</v>
      </c>
      <c r="C2090" s="5" t="str">
        <f t="shared" si="2077"/>
        <v>CH</v>
      </c>
      <c r="D2090" t="s">
        <v>2219</v>
      </c>
      <c r="E2090" t="str">
        <f t="shared" si="2089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2.4619668007455696E-4</v>
      </c>
      <c r="J2090" s="1">
        <f>'[2]Electricity and CHPs_NCAP'!F$53</f>
        <v>3.2670346537051601E-2</v>
      </c>
      <c r="K2090" s="1">
        <f>'[2]Electricity and CHPs_NCAP'!G$53</f>
        <v>9.1301232521368795E-3</v>
      </c>
      <c r="L2090" s="1">
        <f>'[2]Electricity and CHPs_NCAP'!H$53</f>
        <v>9.9770636839194714E-7</v>
      </c>
      <c r="N2090" s="1"/>
    </row>
    <row r="2091" spans="2:14" x14ac:dyDescent="0.35">
      <c r="B2091" s="5" t="str">
        <f t="shared" si="2080"/>
        <v>SPS1</v>
      </c>
      <c r="C2091" s="5" t="str">
        <f t="shared" si="2077"/>
        <v>CH</v>
      </c>
      <c r="D2091" t="s">
        <v>2220</v>
      </c>
      <c r="E2091" t="str">
        <f t="shared" si="2089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2.5563926205390602E-4</v>
      </c>
      <c r="J2091" s="1">
        <f>'[2]Electricity and CHPs_NCAP'!F$56</f>
        <v>4.4005878832685901E-5</v>
      </c>
      <c r="K2091" s="1">
        <f>'[2]Electricity and CHPs_NCAP'!G$56</f>
        <v>6.0783629911085003E-7</v>
      </c>
      <c r="L2091" s="1">
        <f>'[2]Electricity and CHPs_NCAP'!H$56</f>
        <v>1.7504769638055398E-5</v>
      </c>
      <c r="N2091" s="1"/>
    </row>
    <row r="2092" spans="2:14" x14ac:dyDescent="0.35">
      <c r="B2092" s="5" t="str">
        <f t="shared" si="2080"/>
        <v>SPS1</v>
      </c>
      <c r="C2092" s="5" t="str">
        <f t="shared" si="2077"/>
        <v>CH</v>
      </c>
      <c r="D2092" t="s">
        <v>2221</v>
      </c>
      <c r="E2092" t="str">
        <f t="shared" si="2089"/>
        <v>GWe/yr.</v>
      </c>
      <c r="F2092" s="1">
        <f t="shared" ref="F2092:L2092" si="2092">F2093</f>
        <v>0</v>
      </c>
      <c r="G2092" s="1">
        <f t="shared" si="2092"/>
        <v>7.1347297093900097E-3</v>
      </c>
      <c r="H2092" s="1">
        <f t="shared" si="2092"/>
        <v>0.29201248831448601</v>
      </c>
      <c r="I2092" s="1">
        <f t="shared" si="2092"/>
        <v>0.28589390713535401</v>
      </c>
      <c r="J2092" s="1">
        <f t="shared" si="2092"/>
        <v>2.2900328756947499E-2</v>
      </c>
      <c r="K2092" s="1">
        <f t="shared" si="2092"/>
        <v>2.3214853241423302E-6</v>
      </c>
      <c r="L2092" s="1">
        <f t="shared" si="2092"/>
        <v>0.12631491737734099</v>
      </c>
      <c r="N2092" s="1"/>
    </row>
    <row r="2093" spans="2:14" x14ac:dyDescent="0.35">
      <c r="B2093" s="5" t="str">
        <f t="shared" si="2080"/>
        <v>SPS1</v>
      </c>
      <c r="C2093" s="5" t="str">
        <f t="shared" si="2077"/>
        <v>CH</v>
      </c>
      <c r="D2093" t="s">
        <v>2222</v>
      </c>
      <c r="E2093" t="str">
        <f t="shared" si="2089"/>
        <v>GWe/yr.</v>
      </c>
      <c r="F2093" s="1">
        <f>'[1]Electricity and CHPs_NCAP'!B$33</f>
        <v>0</v>
      </c>
      <c r="G2093" s="1">
        <f>'[1]Electricity and CHPs_NCAP'!C$33</f>
        <v>7.1347297093900097E-3</v>
      </c>
      <c r="H2093" s="1">
        <f>'[1]Electricity and CHPs_NCAP'!D$33</f>
        <v>0.29201248831448601</v>
      </c>
      <c r="I2093" s="1">
        <f>'[1]Electricity and CHPs_NCAP'!E$33</f>
        <v>0.28589390713535401</v>
      </c>
      <c r="J2093" s="1">
        <f>'[2]Electricity and CHPs_NCAP'!F$33</f>
        <v>2.2900328756947499E-2</v>
      </c>
      <c r="K2093" s="1">
        <f>'[2]Electricity and CHPs_NCAP'!G$33</f>
        <v>2.3214853241423302E-6</v>
      </c>
      <c r="L2093" s="1">
        <f>'[2]Electricity and CHPs_NCAP'!H$33</f>
        <v>0.12631491737734099</v>
      </c>
      <c r="N2093" s="1"/>
    </row>
    <row r="2094" spans="2:14" x14ac:dyDescent="0.35">
      <c r="B2094" s="5" t="str">
        <f t="shared" si="2080"/>
        <v>SPS1</v>
      </c>
      <c r="C2094" s="5" t="str">
        <f t="shared" si="2077"/>
        <v>CH</v>
      </c>
      <c r="D2094" t="s">
        <v>2223</v>
      </c>
      <c r="E2094" t="str">
        <f t="shared" si="2089"/>
        <v>GWe/yr.</v>
      </c>
      <c r="F2094" s="1">
        <f t="shared" ref="F2094:K2094" si="2093">SUM(F2095:F2099)</f>
        <v>0</v>
      </c>
      <c r="G2094" s="1">
        <f t="shared" si="2093"/>
        <v>6.1163047796207915E-4</v>
      </c>
      <c r="H2094" s="1">
        <f t="shared" si="2093"/>
        <v>4.4476915261073771</v>
      </c>
      <c r="I2094" s="1">
        <f t="shared" si="2093"/>
        <v>6.1905492890803924</v>
      </c>
      <c r="J2094" s="1">
        <f t="shared" si="2093"/>
        <v>2.1017620591084167</v>
      </c>
      <c r="K2094" s="1">
        <f t="shared" si="2093"/>
        <v>19.968150516554822</v>
      </c>
      <c r="L2094" s="1">
        <f t="shared" ref="L2094" si="2094">SUM(L2095:L2099)</f>
        <v>18.410753591628449</v>
      </c>
      <c r="N2094" s="1"/>
    </row>
    <row r="2095" spans="2:14" x14ac:dyDescent="0.35">
      <c r="B2095" s="5" t="str">
        <f t="shared" si="2080"/>
        <v>SPS1</v>
      </c>
      <c r="C2095" s="5" t="str">
        <f t="shared" si="2077"/>
        <v>CH</v>
      </c>
      <c r="D2095" t="s">
        <v>2224</v>
      </c>
      <c r="E2095" t="str">
        <f t="shared" si="2089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4.490579305494672E-2</v>
      </c>
      <c r="I2095" s="1">
        <f>'[1]Electricity and CHPs_NCAP'!E$34</f>
        <v>0.22034307666447547</v>
      </c>
      <c r="J2095" s="1">
        <f>'[2]Electricity and CHPs_NCAP'!F$34</f>
        <v>4.2926528539207779E-3</v>
      </c>
      <c r="K2095" s="1">
        <f>'[2]Electricity and CHPs_NCAP'!G$34</f>
        <v>6.8882522707357596</v>
      </c>
      <c r="L2095" s="1">
        <f>'[2]Electricity and CHPs_NCAP'!H$34</f>
        <v>4.1332976459883355</v>
      </c>
      <c r="N2095" s="1"/>
    </row>
    <row r="2096" spans="2:14" x14ac:dyDescent="0.35">
      <c r="B2096" s="5" t="str">
        <f t="shared" si="2080"/>
        <v>SPS1</v>
      </c>
      <c r="C2096" s="5" t="str">
        <f t="shared" si="2077"/>
        <v>CH</v>
      </c>
      <c r="D2096" t="s">
        <v>2225</v>
      </c>
      <c r="E2096" t="str">
        <f t="shared" si="2089"/>
        <v>GWe/yr.</v>
      </c>
      <c r="F2096" s="1">
        <f>'[1]Electricity and CHPs_NCAP'!B$35</f>
        <v>0</v>
      </c>
      <c r="G2096" s="1">
        <f>'[1]Electricity and CHPs_NCAP'!C$35</f>
        <v>2.0099865908369601E-6</v>
      </c>
      <c r="H2096" s="1">
        <f>'[1]Electricity and CHPs_NCAP'!D$35</f>
        <v>1.76790967767338</v>
      </c>
      <c r="I2096" s="1">
        <f>'[1]Electricity and CHPs_NCAP'!E$35</f>
        <v>2.1224874166294101</v>
      </c>
      <c r="J2096" s="1">
        <f>'[2]Electricity and CHPs_NCAP'!F$35</f>
        <v>0.79881058979368103</v>
      </c>
      <c r="K2096" s="1">
        <f>'[2]Electricity and CHPs_NCAP'!G$35</f>
        <v>6.5865030238467996</v>
      </c>
      <c r="L2096" s="1">
        <f>'[2]Electricity and CHPs_NCAP'!H$35</f>
        <v>5.5511885838961996</v>
      </c>
      <c r="N2096" s="1"/>
    </row>
    <row r="2097" spans="2:14" x14ac:dyDescent="0.35">
      <c r="B2097" s="5" t="str">
        <f t="shared" si="2080"/>
        <v>SPS1</v>
      </c>
      <c r="C2097" s="5" t="str">
        <f t="shared" si="2077"/>
        <v>CH</v>
      </c>
      <c r="D2097" t="s">
        <v>2226</v>
      </c>
      <c r="E2097" t="str">
        <f t="shared" si="2089"/>
        <v>GWe/yr.</v>
      </c>
      <c r="F2097" s="1">
        <f>'[1]Electricity and CHPs_NCAP'!B$36</f>
        <v>0</v>
      </c>
      <c r="G2097" s="1">
        <f>'[1]Electricity and CHPs_NCAP'!C$36</f>
        <v>2.7873040867991032E-4</v>
      </c>
      <c r="H2097" s="1">
        <f>'[1]Electricity and CHPs_NCAP'!D$36</f>
        <v>0.19804164539180591</v>
      </c>
      <c r="I2097" s="1">
        <f>'[1]Electricity and CHPs_NCAP'!E$36</f>
        <v>1.7743120522978684</v>
      </c>
      <c r="J2097" s="1">
        <f>'[2]Electricity and CHPs_NCAP'!F$36</f>
        <v>0.40045392835102001</v>
      </c>
      <c r="K2097" s="1">
        <f>'[2]Electricity and CHPs_NCAP'!G$36</f>
        <v>0.77054379542553197</v>
      </c>
      <c r="L2097" s="1">
        <f>'[2]Electricity and CHPs_NCAP'!H$36</f>
        <v>2.3938338401167871</v>
      </c>
      <c r="N2097" s="1"/>
    </row>
    <row r="2098" spans="2:14" x14ac:dyDescent="0.35">
      <c r="B2098" s="5" t="str">
        <f t="shared" si="2080"/>
        <v>SPS1</v>
      </c>
      <c r="C2098" s="5" t="str">
        <f t="shared" si="2077"/>
        <v>CH</v>
      </c>
      <c r="D2098" t="s">
        <v>2227</v>
      </c>
      <c r="E2098" t="str">
        <f t="shared" si="2089"/>
        <v>GWe/yr.</v>
      </c>
      <c r="F2098" s="1">
        <f>'[1]Electricity and CHPs_NCAP'!B$37</f>
        <v>0</v>
      </c>
      <c r="G2098" s="1">
        <f>'[1]Electricity and CHPs_NCAP'!C$37</f>
        <v>3.2902293382866467E-4</v>
      </c>
      <c r="H2098" s="1">
        <f>'[1]Electricity and CHPs_NCAP'!D$37</f>
        <v>0.43222928735288446</v>
      </c>
      <c r="I2098" s="1">
        <f>'[1]Electricity and CHPs_NCAP'!E$37</f>
        <v>7.9402545648480701E-3</v>
      </c>
      <c r="J2098" s="1">
        <f>'[2]Electricity and CHPs_NCAP'!F$37</f>
        <v>0.16812452421895679</v>
      </c>
      <c r="K2098" s="1">
        <f>'[2]Electricity and CHPs_NCAP'!G$37</f>
        <v>0.30875114443163981</v>
      </c>
      <c r="L2098" s="1">
        <f>'[2]Electricity and CHPs_NCAP'!H$37</f>
        <v>1.3434707520593978</v>
      </c>
      <c r="N2098" s="1"/>
    </row>
    <row r="2099" spans="2:14" x14ac:dyDescent="0.35">
      <c r="B2099" s="5" t="str">
        <f t="shared" si="2080"/>
        <v>SPS1</v>
      </c>
      <c r="C2099" s="5" t="str">
        <f t="shared" si="2077"/>
        <v>CH</v>
      </c>
      <c r="D2099" t="s">
        <v>2228</v>
      </c>
      <c r="E2099" t="str">
        <f t="shared" si="2089"/>
        <v>GWe/yr.</v>
      </c>
      <c r="F2099" s="1">
        <f>'[1]Electricity and CHPs_NCAP'!B$38</f>
        <v>0</v>
      </c>
      <c r="G2099" s="1">
        <f>'[1]Electricity and CHPs_NCAP'!C$38</f>
        <v>1.8671488626671899E-6</v>
      </c>
      <c r="H2099" s="1">
        <f>'[1]Electricity and CHPs_NCAP'!D$38</f>
        <v>2.0046051226343602</v>
      </c>
      <c r="I2099" s="1">
        <f>'[1]Electricity and CHPs_NCAP'!E$38</f>
        <v>2.0654664889237901</v>
      </c>
      <c r="J2099" s="1">
        <f>'[2]Electricity and CHPs_NCAP'!F$38</f>
        <v>0.73008036389083797</v>
      </c>
      <c r="K2099" s="1">
        <f>'[2]Electricity and CHPs_NCAP'!G$38</f>
        <v>5.4141002821150899</v>
      </c>
      <c r="L2099" s="1">
        <f>'[2]Electricity and CHPs_NCAP'!H$38</f>
        <v>4.9889627695677303</v>
      </c>
      <c r="N2099" s="1"/>
    </row>
    <row r="2100" spans="2:14" x14ac:dyDescent="0.35">
      <c r="B2100" s="5" t="str">
        <f t="shared" si="2080"/>
        <v>SPS1</v>
      </c>
      <c r="C2100" s="5" t="str">
        <f t="shared" si="2077"/>
        <v>CH</v>
      </c>
      <c r="D2100" t="s">
        <v>2229</v>
      </c>
      <c r="E2100" t="str">
        <f t="shared" si="2089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'[2]Electricity and CHPs_NCAP'!F$32</f>
        <v>0</v>
      </c>
      <c r="K2100" s="1">
        <f>'[2]Electricity and CHPs_NCAP'!G$32</f>
        <v>3.55680010842451E-4</v>
      </c>
      <c r="L2100" s="1">
        <f>'[2]Electricity and CHPs_NCAP'!H$32</f>
        <v>1.2781862930717901E-7</v>
      </c>
      <c r="N2100" s="1"/>
    </row>
    <row r="2101" spans="2:14" x14ac:dyDescent="0.35">
      <c r="B2101" s="5" t="str">
        <f t="shared" si="2080"/>
        <v>SPS1</v>
      </c>
      <c r="C2101" s="5" t="str">
        <f t="shared" si="2077"/>
        <v>CH</v>
      </c>
      <c r="D2101" t="s">
        <v>2230</v>
      </c>
      <c r="E2101" t="str">
        <f t="shared" si="2089"/>
        <v>GWe/yr.</v>
      </c>
      <c r="F2101" s="1">
        <f t="shared" ref="F2101:K2101" si="2095">F2100</f>
        <v>0</v>
      </c>
      <c r="G2101" s="1">
        <f t="shared" si="2095"/>
        <v>0</v>
      </c>
      <c r="H2101" s="1">
        <f t="shared" si="2095"/>
        <v>0</v>
      </c>
      <c r="I2101" s="1">
        <f t="shared" si="2095"/>
        <v>0</v>
      </c>
      <c r="J2101" s="1">
        <f t="shared" si="2095"/>
        <v>0</v>
      </c>
      <c r="K2101" s="1">
        <f t="shared" si="2095"/>
        <v>3.55680010842451E-4</v>
      </c>
      <c r="L2101" s="1">
        <f t="shared" ref="L2101" si="2096">L2100</f>
        <v>1.2781862930717901E-7</v>
      </c>
      <c r="N2101" s="1"/>
    </row>
    <row r="2102" spans="2:14" x14ac:dyDescent="0.35">
      <c r="B2102" s="5" t="str">
        <f t="shared" si="2080"/>
        <v>SPS1</v>
      </c>
      <c r="C2102" s="5" t="str">
        <f t="shared" si="2077"/>
        <v>CH</v>
      </c>
      <c r="D2102" t="s">
        <v>2231</v>
      </c>
      <c r="E2102" t="str">
        <f t="shared" si="2089"/>
        <v>GWe/yr.</v>
      </c>
      <c r="F2102" s="1">
        <f t="shared" ref="F2102:K2102" si="2097">SUM(F2103:F2105)</f>
        <v>0</v>
      </c>
      <c r="G2102" s="1">
        <f t="shared" si="2097"/>
        <v>0</v>
      </c>
      <c r="H2102" s="1">
        <f t="shared" si="2097"/>
        <v>0</v>
      </c>
      <c r="I2102" s="1">
        <f t="shared" si="2097"/>
        <v>2.5823633226281801E-3</v>
      </c>
      <c r="J2102" s="1">
        <f t="shared" si="2097"/>
        <v>3.69109863524807E-4</v>
      </c>
      <c r="K2102" s="1">
        <f t="shared" si="2097"/>
        <v>1.2833020167317405E-2</v>
      </c>
      <c r="L2102" s="1">
        <f t="shared" ref="L2102" si="2098">SUM(L2103:L2105)</f>
        <v>8.1343915488100202E-2</v>
      </c>
      <c r="N2102" s="1"/>
    </row>
    <row r="2103" spans="2:14" x14ac:dyDescent="0.35">
      <c r="B2103" s="5" t="str">
        <f t="shared" si="2080"/>
        <v>SPS1</v>
      </c>
      <c r="C2103" s="5" t="str">
        <f t="shared" si="2077"/>
        <v>CH</v>
      </c>
      <c r="D2103" t="s">
        <v>2232</v>
      </c>
      <c r="E2103" t="str">
        <f t="shared" si="2089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'[2]Electricity and CHPs_NCAP'!F$30</f>
        <v>0</v>
      </c>
      <c r="K2103" s="1">
        <f>'[2]Electricity and CHPs_NCAP'!G$30</f>
        <v>3.25560663185577E-4</v>
      </c>
      <c r="L2103" s="1">
        <f>'[2]Electricity and CHPs_NCAP'!H$30</f>
        <v>6.9073859374409394E-2</v>
      </c>
      <c r="N2103" s="1"/>
    </row>
    <row r="2104" spans="2:14" x14ac:dyDescent="0.35">
      <c r="B2104" s="5" t="str">
        <f t="shared" si="2080"/>
        <v>SPS1</v>
      </c>
      <c r="C2104" s="5" t="str">
        <f t="shared" si="2077"/>
        <v>CH</v>
      </c>
      <c r="D2104" t="s">
        <v>2233</v>
      </c>
      <c r="E2104" t="str">
        <f t="shared" si="2089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0</v>
      </c>
      <c r="J2104" s="1">
        <f>'[2]Electricity and CHPs_NCAP'!F$46</f>
        <v>3.5386796974438701E-4</v>
      </c>
      <c r="K2104" s="1">
        <f>'[2]Electricity and CHPs_NCAP'!G$46</f>
        <v>1.2089291899522601E-2</v>
      </c>
      <c r="L2104" s="1">
        <f>'[2]Electricity and CHPs_NCAP'!H$46</f>
        <v>1.2236225311259201E-2</v>
      </c>
      <c r="N2104" s="1"/>
    </row>
    <row r="2105" spans="2:14" x14ac:dyDescent="0.35">
      <c r="B2105" s="5" t="str">
        <f t="shared" si="2080"/>
        <v>SPS1</v>
      </c>
      <c r="C2105" s="5" t="str">
        <f t="shared" si="2077"/>
        <v>CH</v>
      </c>
      <c r="D2105" t="s">
        <v>2234</v>
      </c>
      <c r="E2105" t="str">
        <f t="shared" si="2089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2.5823633226281801E-3</v>
      </c>
      <c r="J2105" s="1">
        <f>'[2]Electricity and CHPs_NCAP'!F$57</f>
        <v>1.5241893780419999E-5</v>
      </c>
      <c r="K2105" s="1">
        <f>'[2]Electricity and CHPs_NCAP'!G$57</f>
        <v>4.1816760460922802E-4</v>
      </c>
      <c r="L2105" s="1">
        <f>'[2]Electricity and CHPs_NCAP'!H$57</f>
        <v>3.3830802431611798E-5</v>
      </c>
      <c r="N2105" s="1"/>
    </row>
    <row r="2106" spans="2:14" x14ac:dyDescent="0.35">
      <c r="B2106" s="5" t="str">
        <f t="shared" si="2080"/>
        <v>SPS1</v>
      </c>
      <c r="C2106" s="5" t="str">
        <f t="shared" si="2077"/>
        <v>CH</v>
      </c>
      <c r="D2106" t="s">
        <v>2235</v>
      </c>
      <c r="E2106" t="str">
        <f t="shared" si="2089"/>
        <v>GWe/yr.</v>
      </c>
      <c r="F2106" s="1">
        <f t="shared" ref="F2106:K2106" si="2099">SUM(F2107:F2113)</f>
        <v>8.3213570651093194E-2</v>
      </c>
      <c r="G2106" s="1">
        <f t="shared" si="2099"/>
        <v>1.6662921751629407E-4</v>
      </c>
      <c r="H2106" s="1">
        <f t="shared" si="2099"/>
        <v>0.3264184455239591</v>
      </c>
      <c r="I2106" s="1">
        <f t="shared" si="2099"/>
        <v>0.3590642368007631</v>
      </c>
      <c r="J2106" s="1">
        <f t="shared" si="2099"/>
        <v>0.24473995055151729</v>
      </c>
      <c r="K2106" s="1">
        <f t="shared" si="2099"/>
        <v>1.6015989141410729</v>
      </c>
      <c r="L2106" s="1">
        <f t="shared" ref="L2106" si="2100">SUM(L2107:L2113)</f>
        <v>1.9113531728495001</v>
      </c>
      <c r="N2106" s="1"/>
    </row>
    <row r="2107" spans="2:14" x14ac:dyDescent="0.35">
      <c r="B2107" s="5" t="str">
        <f t="shared" si="2080"/>
        <v>SPS1</v>
      </c>
      <c r="C2107" s="5" t="str">
        <f t="shared" si="2077"/>
        <v>CH</v>
      </c>
      <c r="D2107" t="s">
        <v>2236</v>
      </c>
      <c r="E2107" t="str">
        <f t="shared" si="2089"/>
        <v>GWe/yr.</v>
      </c>
      <c r="F2107" s="1">
        <f>'[1]Electricity and CHPs_NCAP'!B$63</f>
        <v>0</v>
      </c>
      <c r="G2107" s="1">
        <f>'[1]Electricity and CHPs_NCAP'!C$63</f>
        <v>9.8710089689859603E-6</v>
      </c>
      <c r="H2107" s="1">
        <f>'[1]Electricity and CHPs_NCAP'!D$63</f>
        <v>1.01942253928081E-5</v>
      </c>
      <c r="I2107" s="1">
        <f>'[1]Electricity and CHPs_NCAP'!E$63</f>
        <v>9.7242591239973706E-6</v>
      </c>
      <c r="J2107" s="1">
        <f>'[2]Electricity and CHPs_NCAP'!F$63</f>
        <v>3.8780720807208702E-7</v>
      </c>
      <c r="K2107" s="1">
        <f>'[2]Electricity and CHPs_NCAP'!G$63</f>
        <v>5.6165605951999904E-7</v>
      </c>
      <c r="L2107" s="1">
        <f>'[2]Electricity and CHPs_NCAP'!H$63</f>
        <v>3.9523351029878701E-7</v>
      </c>
      <c r="N2107" s="1"/>
    </row>
    <row r="2108" spans="2:14" x14ac:dyDescent="0.35">
      <c r="B2108" s="5" t="str">
        <f t="shared" si="2080"/>
        <v>SPS1</v>
      </c>
      <c r="C2108" s="5" t="str">
        <f t="shared" si="2077"/>
        <v>CH</v>
      </c>
      <c r="D2108" t="s">
        <v>2237</v>
      </c>
      <c r="E2108" t="str">
        <f t="shared" si="2089"/>
        <v>GWe/yr.</v>
      </c>
      <c r="F2108" s="1">
        <f>'[1]Electricity and CHPs_NCAP'!B$64</f>
        <v>1.2706960992768201E-2</v>
      </c>
      <c r="G2108" s="1">
        <f>'[1]Electricity and CHPs_NCAP'!C$64</f>
        <v>2.2776678607035101E-5</v>
      </c>
      <c r="H2108" s="1">
        <f>'[1]Electricity and CHPs_NCAP'!D$64</f>
        <v>1.65505083251737E-4</v>
      </c>
      <c r="I2108" s="1">
        <f>'[1]Electricity and CHPs_NCAP'!E$64</f>
        <v>2.24933384207151E-2</v>
      </c>
      <c r="J2108" s="1">
        <f>'[2]Electricity and CHPs_NCAP'!F$64</f>
        <v>3.7987237880243402E-3</v>
      </c>
      <c r="K2108" s="1">
        <f>'[2]Electricity and CHPs_NCAP'!G$64</f>
        <v>0.48565681196602201</v>
      </c>
      <c r="L2108" s="1">
        <f>'[2]Electricity and CHPs_NCAP'!H$64</f>
        <v>0.69457793314307703</v>
      </c>
      <c r="N2108" s="1"/>
    </row>
    <row r="2109" spans="2:14" x14ac:dyDescent="0.35">
      <c r="B2109" s="5" t="str">
        <f t="shared" si="2080"/>
        <v>SPS1</v>
      </c>
      <c r="C2109" s="5" t="str">
        <f t="shared" si="2077"/>
        <v>CH</v>
      </c>
      <c r="D2109" t="s">
        <v>2238</v>
      </c>
      <c r="E2109" t="str">
        <f t="shared" si="2089"/>
        <v>GWe/yr.</v>
      </c>
      <c r="F2109" s="1">
        <f>'[1]Electricity and CHPs_NCAP'!B$65</f>
        <v>9.6401009126476107E-3</v>
      </c>
      <c r="G2109" s="1">
        <f>'[1]Electricity and CHPs_NCAP'!C$65</f>
        <v>1.6638496562853701E-5</v>
      </c>
      <c r="H2109" s="1">
        <f>'[1]Electricity and CHPs_NCAP'!D$65</f>
        <v>1.19894829257338E-4</v>
      </c>
      <c r="I2109" s="1">
        <f>'[1]Electricity and CHPs_NCAP'!E$65</f>
        <v>1.0479613311352101E-2</v>
      </c>
      <c r="J2109" s="1">
        <f>'[2]Electricity and CHPs_NCAP'!F$65</f>
        <v>3.3570997984470798E-3</v>
      </c>
      <c r="K2109" s="1">
        <f>'[2]Electricity and CHPs_NCAP'!G$65</f>
        <v>0.23387636428665701</v>
      </c>
      <c r="L2109" s="1">
        <f>'[2]Electricity and CHPs_NCAP'!H$65</f>
        <v>0.248850775954643</v>
      </c>
      <c r="N2109" s="1"/>
    </row>
    <row r="2110" spans="2:14" x14ac:dyDescent="0.35">
      <c r="B2110" s="5" t="str">
        <f t="shared" si="2080"/>
        <v>SPS1</v>
      </c>
      <c r="C2110" s="5" t="str">
        <f t="shared" si="2077"/>
        <v>CH</v>
      </c>
      <c r="D2110" t="s">
        <v>2239</v>
      </c>
      <c r="E2110" t="str">
        <f t="shared" si="2089"/>
        <v>GWe/yr.</v>
      </c>
      <c r="F2110" s="1">
        <f>'[1]Electricity and CHPs_NCAP'!B$66</f>
        <v>1.00410939041946E-2</v>
      </c>
      <c r="G2110" s="1">
        <f>'[1]Electricity and CHPs_NCAP'!C$66</f>
        <v>1.8785329182832801E-5</v>
      </c>
      <c r="H2110" s="1">
        <f>'[1]Electricity and CHPs_NCAP'!D$66</f>
        <v>6.1457699811451397E-2</v>
      </c>
      <c r="I2110" s="1">
        <f>'[1]Electricity and CHPs_NCAP'!E$66</f>
        <v>4.6053601755835998E-2</v>
      </c>
      <c r="J2110" s="1">
        <f>'[2]Electricity and CHPs_NCAP'!F$66</f>
        <v>4.3584944510052799E-2</v>
      </c>
      <c r="K2110" s="1">
        <f>'[2]Electricity and CHPs_NCAP'!G$66</f>
        <v>0.20165515228995701</v>
      </c>
      <c r="L2110" s="1">
        <f>'[2]Electricity and CHPs_NCAP'!H$66</f>
        <v>0.205873841300206</v>
      </c>
      <c r="N2110" s="1"/>
    </row>
    <row r="2111" spans="2:14" x14ac:dyDescent="0.35">
      <c r="B2111" s="5" t="str">
        <f t="shared" si="2080"/>
        <v>SPS1</v>
      </c>
      <c r="C2111" s="5" t="str">
        <f t="shared" si="2077"/>
        <v>CH</v>
      </c>
      <c r="D2111" t="s">
        <v>2240</v>
      </c>
      <c r="E2111" t="str">
        <f t="shared" si="2089"/>
        <v>GWe/yr.</v>
      </c>
      <c r="F2111" s="1">
        <f>'[1]Electricity and CHPs_NCAP'!B$67</f>
        <v>2.1180689472327201E-2</v>
      </c>
      <c r="G2111" s="1">
        <f>'[1]Electricity and CHPs_NCAP'!C$67</f>
        <v>4.32396374258433E-5</v>
      </c>
      <c r="H2111" s="1">
        <f>'[1]Electricity and CHPs_NCAP'!D$67</f>
        <v>0.1320948586757755</v>
      </c>
      <c r="I2111" s="1">
        <f>'[1]Electricity and CHPs_NCAP'!E$67</f>
        <v>0.18690264250508282</v>
      </c>
      <c r="J2111" s="1">
        <f>'[2]Electricity and CHPs_NCAP'!F$67</f>
        <v>9.215749812679E-2</v>
      </c>
      <c r="K2111" s="1">
        <f>'[2]Electricity and CHPs_NCAP'!G$67</f>
        <v>0.26421070033736505</v>
      </c>
      <c r="L2111" s="1">
        <f>'[2]Electricity and CHPs_NCAP'!H$67</f>
        <v>0.33173187886469802</v>
      </c>
      <c r="N2111" s="1"/>
    </row>
    <row r="2112" spans="2:14" x14ac:dyDescent="0.35">
      <c r="B2112" s="5" t="str">
        <f t="shared" si="2080"/>
        <v>SPS1</v>
      </c>
      <c r="C2112" s="5" t="str">
        <f t="shared" si="2077"/>
        <v>CH</v>
      </c>
      <c r="D2112" t="s">
        <v>2241</v>
      </c>
      <c r="E2112" t="str">
        <f t="shared" si="2089"/>
        <v>GWe/yr.</v>
      </c>
      <c r="F2112" s="1">
        <f>'[1]Electricity and CHPs_NCAP'!B$68</f>
        <v>1.9198317434659079E-2</v>
      </c>
      <c r="G2112" s="1">
        <f>'[1]Electricity and CHPs_NCAP'!C$68</f>
        <v>3.4923649636720602E-5</v>
      </c>
      <c r="H2112" s="1">
        <f>'[1]Electricity and CHPs_NCAP'!D$68</f>
        <v>1.7526191616338321E-2</v>
      </c>
      <c r="I2112" s="1">
        <f>'[1]Electricity and CHPs_NCAP'!E$68</f>
        <v>5.9699228842563096E-3</v>
      </c>
      <c r="J2112" s="1">
        <f>'[2]Electricity and CHPs_NCAP'!F$68</f>
        <v>2.35664063162562E-2</v>
      </c>
      <c r="K2112" s="1">
        <f>'[2]Electricity and CHPs_NCAP'!G$68</f>
        <v>3.86673917684663E-2</v>
      </c>
      <c r="L2112" s="1">
        <f>'[2]Electricity and CHPs_NCAP'!H$68</f>
        <v>5.5838720790906904E-2</v>
      </c>
      <c r="N2112" s="1"/>
    </row>
    <row r="2113" spans="2:14" x14ac:dyDescent="0.35">
      <c r="B2113" s="5" t="str">
        <f t="shared" si="2080"/>
        <v>SPS1</v>
      </c>
      <c r="C2113" s="5" t="str">
        <f t="shared" si="2077"/>
        <v>CH</v>
      </c>
      <c r="D2113" t="s">
        <v>2242</v>
      </c>
      <c r="E2113" t="str">
        <f t="shared" si="2089"/>
        <v>GWe/yr.</v>
      </c>
      <c r="F2113" s="1">
        <f>'[1]Electricity and CHPs_NCAP'!B$69</f>
        <v>1.0446407934496501E-2</v>
      </c>
      <c r="G2113" s="1">
        <f>'[1]Electricity and CHPs_NCAP'!C$69</f>
        <v>2.03944171320226E-5</v>
      </c>
      <c r="H2113" s="1">
        <f>'[1]Electricity and CHPs_NCAP'!D$69</f>
        <v>0.115044101282492</v>
      </c>
      <c r="I2113" s="1">
        <f>'[1]Electricity and CHPs_NCAP'!E$69</f>
        <v>8.7155393664396799E-2</v>
      </c>
      <c r="J2113" s="1">
        <f>'[2]Electricity and CHPs_NCAP'!F$69</f>
        <v>7.8274890204738795E-2</v>
      </c>
      <c r="K2113" s="1">
        <f>'[2]Electricity and CHPs_NCAP'!G$69</f>
        <v>0.37753193183654599</v>
      </c>
      <c r="L2113" s="1">
        <f>'[2]Electricity and CHPs_NCAP'!H$69</f>
        <v>0.37447962756245901</v>
      </c>
      <c r="N2113" s="1"/>
    </row>
    <row r="2114" spans="2:14" x14ac:dyDescent="0.35">
      <c r="B2114" s="5" t="str">
        <f>SPS2_NUC_Low!B1902</f>
        <v>SPS1</v>
      </c>
      <c r="C2114" s="5" t="str">
        <f>SPS2_NUC_Low!C1902</f>
        <v>CH</v>
      </c>
      <c r="D2114" s="2" t="s">
        <v>2243</v>
      </c>
      <c r="E2114" s="2" t="s">
        <v>1972</v>
      </c>
      <c r="F2114" s="3">
        <f t="shared" ref="F2114:K2114" si="2101">SUM(F2115:F2164)</f>
        <v>3.4904827406947738E-3</v>
      </c>
      <c r="G2114" s="3">
        <f t="shared" si="2101"/>
        <v>0.45156349260147743</v>
      </c>
      <c r="H2114" s="3">
        <f t="shared" si="2101"/>
        <v>0.8955194455642671</v>
      </c>
      <c r="I2114" s="3">
        <f t="shared" si="2101"/>
        <v>2.0692751379728143</v>
      </c>
      <c r="J2114" s="3">
        <f t="shared" si="2101"/>
        <v>3.1129482129332557</v>
      </c>
      <c r="K2114" s="3">
        <f t="shared" si="2101"/>
        <v>2.1147906067079116</v>
      </c>
      <c r="L2114" s="3">
        <f t="shared" ref="L2114" si="2102">SUM(L2115:L2164)</f>
        <v>4.5802796736905638</v>
      </c>
      <c r="N2114" s="1"/>
    </row>
    <row r="2115" spans="2:14" x14ac:dyDescent="0.35">
      <c r="B2115" s="5" t="str">
        <f t="shared" ref="B2115:B2146" si="2103">B2114</f>
        <v>SPS1</v>
      </c>
      <c r="C2115" s="5" t="str">
        <f t="shared" ref="C2115:C2146" si="2104">C2114</f>
        <v>CH</v>
      </c>
      <c r="D2115" t="s">
        <v>2244</v>
      </c>
      <c r="E2115" t="str">
        <f t="shared" ref="E2115:E2146" si="2105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SUMPRODUCT(("var_ncap"=[2]OUT_TransportEnergyCons!$B$4:$B$10000)*1,("-"=[2]OUT_TransportEnergyCons!$C$4:$C$10000)*1,ISNUMBER(SEARCH("T_C*bat*ext",[2]OUT_TransportEnergyCons!$A$4:$A$10000))*1,[2]OUT_TransportEnergyCons!H$4:H$10000)</f>
        <v>0</v>
      </c>
      <c r="K2115" s="1" cm="1">
        <f t="array" ref="K2115">SUMPRODUCT(("var_ncap"=[2]OUT_TransportEnergyCons!$B$4:$B$10000)*1,("-"=[2]OUT_TransportEnergyCons!$C$4:$C$10000)*1,ISNUMBER(SEARCH("T_C*bat*ext",[2]OUT_TransportEnergyCons!$A$4:$A$10000))*1,[2]OUT_TransportEnergyCons!I$4:I$10000)</f>
        <v>0</v>
      </c>
      <c r="L2115" s="1" cm="1">
        <f t="array" ref="L2115">SUMPRODUCT(("var_ncap"=[2]OUT_TransportEnergyCons!$B$4:$B$10000)*1,("-"=[2]OUT_TransportEnergyCons!$C$4:$C$10000)*1,ISNUMBER(SEARCH("T_C*bat*ext",[2]OUT_TransportEnergyCons!$A$4:$A$10000))*1,[2]OUT_TransportEnergyCons!J$4:J$10000)</f>
        <v>0</v>
      </c>
      <c r="N2115" s="1"/>
    </row>
    <row r="2116" spans="2:14" x14ac:dyDescent="0.35">
      <c r="B2116" s="5" t="str">
        <f t="shared" si="2103"/>
        <v>SPS1</v>
      </c>
      <c r="C2116" s="5" t="str">
        <f t="shared" si="2104"/>
        <v>CH</v>
      </c>
      <c r="D2116" t="s">
        <v>2245</v>
      </c>
      <c r="E2116" t="str">
        <f t="shared" si="2105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9.4895089848303195E-4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1.5139383780664499E-3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1.52900018633736E-3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0.13274624474909699</v>
      </c>
      <c r="J2116" s="1" cm="1">
        <f t="array" ref="J2116">SUMPRODUCT(("var_ncap"=[2]OUT_TransportEnergyCons!$B$4:$B$10000)*1,("-"=[2]OUT_TransportEnergyCons!$C$4:$C$10000)*1,ISNUMBER(SEARCH("T_C*bat*s1",[2]OUT_TransportEnergyCons!$A$4:$A$10000))*1,[2]OUT_TransportEnergyCons!H$4:H$10000)</f>
        <v>0.20744157884856701</v>
      </c>
      <c r="K2116" s="1" cm="1">
        <f t="array" ref="K2116">SUMPRODUCT(("var_ncap"=[2]OUT_TransportEnergyCons!$B$4:$B$10000)*1,("-"=[2]OUT_TransportEnergyCons!$C$4:$C$10000)*1,ISNUMBER(SEARCH("T_C*bat*s1",[2]OUT_TransportEnergyCons!$A$4:$A$10000))*1,[2]OUT_TransportEnergyCons!I$4:I$10000)</f>
        <v>0.140882097740086</v>
      </c>
      <c r="L2116" s="1" cm="1">
        <f t="array" ref="L2116">SUMPRODUCT(("var_ncap"=[2]OUT_TransportEnergyCons!$B$4:$B$10000)*1,("-"=[2]OUT_TransportEnergyCons!$C$4:$C$10000)*1,ISNUMBER(SEARCH("T_C*bat*s1",[2]OUT_TransportEnergyCons!$A$4:$A$10000))*1,[2]OUT_TransportEnergyCons!J$4:J$10000)</f>
        <v>0.29156277151613802</v>
      </c>
      <c r="N2116" s="1"/>
    </row>
    <row r="2117" spans="2:14" x14ac:dyDescent="0.35">
      <c r="B2117" s="5" t="str">
        <f t="shared" si="2103"/>
        <v>SPS1</v>
      </c>
      <c r="C2117" s="5" t="str">
        <f t="shared" si="2104"/>
        <v>CH</v>
      </c>
      <c r="D2117" t="s">
        <v>2246</v>
      </c>
      <c r="E2117" t="str">
        <f t="shared" si="2105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5.2628818581012897E-4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2.0499909564197102E-3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5.1972863012349196E-3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0.58559968210585001</v>
      </c>
      <c r="J2117" s="1" cm="1">
        <f t="array" ref="J2117">SUMPRODUCT(("var_ncap"=[2]OUT_TransportEnergyCons!$B$4:$B$10000)*1,("-"=[2]OUT_TransportEnergyCons!$C$4:$C$10000)*1,ISNUMBER(SEARCH("T_C*bat*s2",[2]OUT_TransportEnergyCons!$A$4:$A$10000))*1,[2]OUT_TransportEnergyCons!H$4:H$10000)</f>
        <v>1.2460390996430599</v>
      </c>
      <c r="K2117" s="1" cm="1">
        <f t="array" ref="K2117">SUMPRODUCT(("var_ncap"=[2]OUT_TransportEnergyCons!$B$4:$B$10000)*1,("-"=[2]OUT_TransportEnergyCons!$C$4:$C$10000)*1,ISNUMBER(SEARCH("T_C*bat*s2",[2]OUT_TransportEnergyCons!$A$4:$A$10000))*1,[2]OUT_TransportEnergyCons!I$4:I$10000)</f>
        <v>0.65026942510894203</v>
      </c>
      <c r="L2117" s="1" cm="1">
        <f t="array" ref="L2117">SUMPRODUCT(("var_ncap"=[2]OUT_TransportEnergyCons!$B$4:$B$10000)*1,("-"=[2]OUT_TransportEnergyCons!$C$4:$C$10000)*1,ISNUMBER(SEARCH("T_C*bat*s2",[2]OUT_TransportEnergyCons!$A$4:$A$10000))*1,[2]OUT_TransportEnergyCons!J$4:J$10000)</f>
        <v>1.47986007736374</v>
      </c>
      <c r="N2117" s="1"/>
    </row>
    <row r="2118" spans="2:14" x14ac:dyDescent="0.35">
      <c r="B2118" s="5" t="str">
        <f t="shared" si="2103"/>
        <v>SPS1</v>
      </c>
      <c r="C2118" s="5" t="str">
        <f t="shared" si="2104"/>
        <v>CH</v>
      </c>
      <c r="D2118" t="s">
        <v>2247</v>
      </c>
      <c r="E2118" t="str">
        <f t="shared" si="2105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7.90774924322943E-4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1.7076925098765201E-2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5.5601956747644898E-2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1.5758596419597402E-2</v>
      </c>
      <c r="J2118" s="1" cm="1">
        <f t="array" ref="J2118">SUMPRODUCT(("var_ncap"=[2]OUT_TransportEnergyCons!$B$4:$B$10000)*1,("-"=[2]OUT_TransportEnergyCons!$C$4:$C$10000)*1,ISNUMBER(SEARCH("T_C*bat*s3",[2]OUT_TransportEnergyCons!$A$4:$A$10000))*1,[2]OUT_TransportEnergyCons!H$4:H$10000)</f>
        <v>5.4251272832631398E-2</v>
      </c>
      <c r="K2118" s="1" cm="1">
        <f t="array" ref="K2118">SUMPRODUCT(("var_ncap"=[2]OUT_TransportEnergyCons!$B$4:$B$10000)*1,("-"=[2]OUT_TransportEnergyCons!$C$4:$C$10000)*1,ISNUMBER(SEARCH("T_C*bat*s3",[2]OUT_TransportEnergyCons!$A$4:$A$10000))*1,[2]OUT_TransportEnergyCons!I$4:I$10000)</f>
        <v>0.59753065943849404</v>
      </c>
      <c r="L2118" s="1" cm="1">
        <f t="array" ref="L2118">SUMPRODUCT(("var_ncap"=[2]OUT_TransportEnergyCons!$B$4:$B$10000)*1,("-"=[2]OUT_TransportEnergyCons!$C$4:$C$10000)*1,ISNUMBER(SEARCH("T_C*bat*s3",[2]OUT_TransportEnergyCons!$A$4:$A$10000))*1,[2]OUT_TransportEnergyCons!J$4:J$10000)</f>
        <v>0.79691560860110899</v>
      </c>
      <c r="N2118" s="1"/>
    </row>
    <row r="2119" spans="2:14" x14ac:dyDescent="0.35">
      <c r="B2119" s="5" t="str">
        <f t="shared" si="2103"/>
        <v>SPS1</v>
      </c>
      <c r="C2119" s="5" t="str">
        <f t="shared" si="2104"/>
        <v>CH</v>
      </c>
      <c r="D2119" t="s">
        <v>2248</v>
      </c>
      <c r="E2119" t="str">
        <f t="shared" si="2105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1.2244687320786701E-3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6.3712446320510596E-2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0.20760759458165901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0.80138380440179702</v>
      </c>
      <c r="J2119" s="1" cm="1">
        <f t="array" ref="J2119">SUMPRODUCT(("var_ncap"=[2]OUT_TransportEnergyCons!$B$4:$B$10000)*1,("-"=[2]OUT_TransportEnergyCons!$C$4:$C$10000)*1,ISNUMBER(SEARCH("T_C*bat*s4",[2]OUT_TransportEnergyCons!$A$4:$A$10000))*1,[2]OUT_TransportEnergyCons!H$4:H$10000)</f>
        <v>0.88656444734878903</v>
      </c>
      <c r="K2119" s="1" cm="1">
        <f t="array" ref="K2119">SUMPRODUCT(("var_ncap"=[2]OUT_TransportEnergyCons!$B$4:$B$10000)*1,("-"=[2]OUT_TransportEnergyCons!$C$4:$C$10000)*1,ISNUMBER(SEARCH("T_C*bat*s4",[2]OUT_TransportEnergyCons!$A$4:$A$10000))*1,[2]OUT_TransportEnergyCons!I$4:I$10000)</f>
        <v>0.72610477336155399</v>
      </c>
      <c r="L2119" s="1" cm="1">
        <f t="array" ref="L2119">SUMPRODUCT(("var_ncap"=[2]OUT_TransportEnergyCons!$B$4:$B$10000)*1,("-"=[2]OUT_TransportEnergyCons!$C$4:$C$10000)*1,ISNUMBER(SEARCH("T_C*bat*s4",[2]OUT_TransportEnergyCons!$A$4:$A$10000))*1,[2]OUT_TransportEnergyCons!J$4:J$10000)</f>
        <v>2.01193685717779</v>
      </c>
      <c r="N2119" s="1"/>
    </row>
    <row r="2120" spans="2:14" x14ac:dyDescent="0.35">
      <c r="B2120" s="5" t="str">
        <f t="shared" si="2103"/>
        <v>SPS1</v>
      </c>
      <c r="C2120" s="5" t="str">
        <f t="shared" si="2104"/>
        <v>CH</v>
      </c>
      <c r="D2120" t="s">
        <v>2249</v>
      </c>
      <c r="E2120" t="str">
        <f t="shared" si="2105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1.1244011713525701E-3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8.8086144536764395E-4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4.2990255505166303E-3</v>
      </c>
      <c r="J2120" s="1" cm="1">
        <f t="array" ref="J2120">SUMPRODUCT(("var_ncap"=[2]OUT_TransportEnergyCons!$B$4:$B$10000)*1,("-"=[2]OUT_TransportEnergyCons!$C$4:$C$10000)*1,ISNUMBER(SEARCH("T_C*pev*GSL*s1",[2]OUT_TransportEnergyCons!$A$4:$A$10000))*1,[2]OUT_TransportEnergyCons!H$4:H$10000)</f>
        <v>1.2803627968469499E-4</v>
      </c>
      <c r="K2120" s="1" cm="1">
        <f t="array" ref="K2120">SUMPRODUCT(("var_ncap"=[2]OUT_TransportEnergyCons!$B$4:$B$10000)*1,("-"=[2]OUT_TransportEnergyCons!$C$4:$C$10000)*1,ISNUMBER(SEARCH("T_C*pev*GSL*s1",[2]OUT_TransportEnergyCons!$A$4:$A$10000))*1,[2]OUT_TransportEnergyCons!I$4:I$10000)</f>
        <v>0</v>
      </c>
      <c r="L2120" s="1" cm="1">
        <f t="array" ref="L2120">SUMPRODUCT(("var_ncap"=[2]OUT_TransportEnergyCons!$B$4:$B$10000)*1,("-"=[2]OUT_TransportEnergyCons!$C$4:$C$10000)*1,ISNUMBER(SEARCH("T_C*pev*GSL*s1",[2]OUT_TransportEnergyCons!$A$4:$A$10000))*1,[2]OUT_TransportEnergyCons!J$4:J$10000)</f>
        <v>0</v>
      </c>
      <c r="N2120" s="1"/>
    </row>
    <row r="2121" spans="2:14" x14ac:dyDescent="0.35">
      <c r="B2121" s="5" t="str">
        <f t="shared" si="2103"/>
        <v>SPS1</v>
      </c>
      <c r="C2121" s="5" t="str">
        <f t="shared" si="2104"/>
        <v>CH</v>
      </c>
      <c r="D2121" t="s">
        <v>2250</v>
      </c>
      <c r="E2121" t="str">
        <f t="shared" si="2105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5.1293515601592799E-4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1.1782705557176799E-3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4.1021882856253598E-3</v>
      </c>
      <c r="J2121" s="1" cm="1">
        <f t="array" ref="J2121">SUMPRODUCT(("var_ncap"=[2]OUT_TransportEnergyCons!$B$4:$B$10000)*1,("-"=[2]OUT_TransportEnergyCons!$C$4:$C$10000)*1,ISNUMBER(SEARCH("T_C*pev*GSL*s2",[2]OUT_TransportEnergyCons!$A$4:$A$10000))*1,[2]OUT_TransportEnergyCons!H$4:H$10000)</f>
        <v>8.0065617092131699E-4</v>
      </c>
      <c r="K2121" s="1" cm="1">
        <f t="array" ref="K2121">SUMPRODUCT(("var_ncap"=[2]OUT_TransportEnergyCons!$B$4:$B$10000)*1,("-"=[2]OUT_TransportEnergyCons!$C$4:$C$10000)*1,ISNUMBER(SEARCH("T_C*pev*GSL*s2",[2]OUT_TransportEnergyCons!$A$4:$A$10000))*1,[2]OUT_TransportEnergyCons!I$4:I$10000)</f>
        <v>0</v>
      </c>
      <c r="L2121" s="1" cm="1">
        <f t="array" ref="L2121">SUMPRODUCT(("var_ncap"=[2]OUT_TransportEnergyCons!$B$4:$B$10000)*1,("-"=[2]OUT_TransportEnergyCons!$C$4:$C$10000)*1,ISNUMBER(SEARCH("T_C*pev*GSL*s2",[2]OUT_TransportEnergyCons!$A$4:$A$10000))*1,[2]OUT_TransportEnergyCons!J$4:J$10000)</f>
        <v>0</v>
      </c>
      <c r="N2121" s="1"/>
    </row>
    <row r="2122" spans="2:14" x14ac:dyDescent="0.35">
      <c r="B2122" s="5" t="str">
        <f t="shared" si="2103"/>
        <v>SPS1</v>
      </c>
      <c r="C2122" s="5" t="str">
        <f t="shared" si="2104"/>
        <v>CH</v>
      </c>
      <c r="D2122" t="s">
        <v>2251</v>
      </c>
      <c r="E2122" t="str">
        <f t="shared" si="2105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1.53539220529198E-2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4.8786536552920999E-2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0.29551064754124901</v>
      </c>
      <c r="J2122" s="1" cm="1">
        <f t="array" ref="J2122">SUMPRODUCT(("var_ncap"=[2]OUT_TransportEnergyCons!$B$4:$B$10000)*1,("-"=[2]OUT_TransportEnergyCons!$C$4:$C$10000)*1,ISNUMBER(SEARCH("T_C*pev*GSL*s3",[2]OUT_TransportEnergyCons!$A$4:$A$10000))*1,[2]OUT_TransportEnergyCons!H$4:H$10000)</f>
        <v>0.42073585691122201</v>
      </c>
      <c r="K2122" s="1" cm="1">
        <f t="array" ref="K2122">SUMPRODUCT(("var_ncap"=[2]OUT_TransportEnergyCons!$B$4:$B$10000)*1,("-"=[2]OUT_TransportEnergyCons!$C$4:$C$10000)*1,ISNUMBER(SEARCH("T_C*pev*GSL*s3",[2]OUT_TransportEnergyCons!$A$4:$A$10000))*1,[2]OUT_TransportEnergyCons!I$4:I$10000)</f>
        <v>0</v>
      </c>
      <c r="L2122" s="1" cm="1">
        <f t="array" ref="L2122">SUMPRODUCT(("var_ncap"=[2]OUT_TransportEnergyCons!$B$4:$B$10000)*1,("-"=[2]OUT_TransportEnergyCons!$C$4:$C$10000)*1,ISNUMBER(SEARCH("T_C*pev*GSL*s3",[2]OUT_TransportEnergyCons!$A$4:$A$10000))*1,[2]OUT_TransportEnergyCons!J$4:J$10000)</f>
        <v>0</v>
      </c>
      <c r="N2122" s="1"/>
    </row>
    <row r="2123" spans="2:14" x14ac:dyDescent="0.35">
      <c r="B2123" s="5" t="str">
        <f t="shared" si="2103"/>
        <v>SPS1</v>
      </c>
      <c r="C2123" s="5" t="str">
        <f t="shared" si="2104"/>
        <v>CH</v>
      </c>
      <c r="D2123" t="s">
        <v>2252</v>
      </c>
      <c r="E2123" t="str">
        <f t="shared" si="2105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3.0318836744398E-3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2.87303237055383E-3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5.1656316952394697E-3</v>
      </c>
      <c r="J2123" s="1" cm="1">
        <f t="array" ref="J2123">SUMPRODUCT(("var_ncap"=[2]OUT_TransportEnergyCons!$B$4:$B$10000)*1,("-"=[2]OUT_TransportEnergyCons!$C$4:$C$10000)*1,ISNUMBER(SEARCH("T_C*pev*GSL*s4",[2]OUT_TransportEnergyCons!$A$4:$A$10000))*1,[2]OUT_TransportEnergyCons!H$4:H$10000)</f>
        <v>3.8330902529985599E-4</v>
      </c>
      <c r="K2123" s="1" cm="1">
        <f t="array" ref="K2123">SUMPRODUCT(("var_ncap"=[2]OUT_TransportEnergyCons!$B$4:$B$10000)*1,("-"=[2]OUT_TransportEnergyCons!$C$4:$C$10000)*1,ISNUMBER(SEARCH("T_C*pev*GSL*s4",[2]OUT_TransportEnergyCons!$A$4:$A$10000))*1,[2]OUT_TransportEnergyCons!I$4:I$10000)</f>
        <v>0</v>
      </c>
      <c r="L2123" s="1" cm="1">
        <f t="array" ref="L2123">SUMPRODUCT(("var_ncap"=[2]OUT_TransportEnergyCons!$B$4:$B$10000)*1,("-"=[2]OUT_TransportEnergyCons!$C$4:$C$10000)*1,ISNUMBER(SEARCH("T_C*pev*GSL*s4",[2]OUT_TransportEnergyCons!$A$4:$A$10000))*1,[2]OUT_TransportEnergyCons!J$4:J$10000)</f>
        <v>0</v>
      </c>
      <c r="N2123" s="1"/>
    </row>
    <row r="2124" spans="2:14" x14ac:dyDescent="0.35">
      <c r="B2124" s="5" t="str">
        <f t="shared" si="2103"/>
        <v>SPS1</v>
      </c>
      <c r="C2124" s="5" t="str">
        <f t="shared" si="2104"/>
        <v>CH</v>
      </c>
      <c r="D2124" t="s">
        <v>2253</v>
      </c>
      <c r="E2124" t="str">
        <f t="shared" si="2105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1.13680007949305E-3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8.7924119738218699E-4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4.5134735333671201E-3</v>
      </c>
      <c r="J2124" s="1" cm="1">
        <f t="array" ref="J2124">SUMPRODUCT(("var_ncap"=[2]OUT_TransportEnergyCons!$B$4:$B$10000)*1,("-"=[2]OUT_TransportEnergyCons!$C$4:$C$10000)*1,ISNUMBER(SEARCH("T_C*pev*dsl*s1",[2]OUT_TransportEnergyCons!$A$4:$A$10000))*1,[2]OUT_TransportEnergyCons!H$4:H$10000)</f>
        <v>1.2950055208219501E-4</v>
      </c>
      <c r="K2124" s="1" cm="1">
        <f t="array" ref="K2124">SUMPRODUCT(("var_ncap"=[2]OUT_TransportEnergyCons!$B$4:$B$10000)*1,("-"=[2]OUT_TransportEnergyCons!$C$4:$C$10000)*1,ISNUMBER(SEARCH("T_C*pev*dsl*s1",[2]OUT_TransportEnergyCons!$A$4:$A$10000))*1,[2]OUT_TransportEnergyCons!I$4:I$10000)</f>
        <v>0</v>
      </c>
      <c r="L2124" s="1" cm="1">
        <f t="array" ref="L2124">SUMPRODUCT(("var_ncap"=[2]OUT_TransportEnergyCons!$B$4:$B$10000)*1,("-"=[2]OUT_TransportEnergyCons!$C$4:$C$10000)*1,ISNUMBER(SEARCH("T_C*pev*dsl*s1",[2]OUT_TransportEnergyCons!$A$4:$A$10000))*1,[2]OUT_TransportEnergyCons!J$4:J$10000)</f>
        <v>0</v>
      </c>
      <c r="N2124" s="1"/>
    </row>
    <row r="2125" spans="2:14" x14ac:dyDescent="0.35">
      <c r="B2125" s="5" t="str">
        <f t="shared" si="2103"/>
        <v>SPS1</v>
      </c>
      <c r="C2125" s="5" t="str">
        <f t="shared" si="2104"/>
        <v>CH</v>
      </c>
      <c r="D2125" t="s">
        <v>2254</v>
      </c>
      <c r="E2125" t="str">
        <f t="shared" si="2105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6.8165981705873397E-4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1.3241344522857E-3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4.1641228181132101E-3</v>
      </c>
      <c r="J2125" s="1" cm="1">
        <f t="array" ref="J2125">SUMPRODUCT(("var_ncap"=[2]OUT_TransportEnergyCons!$B$4:$B$10000)*1,("-"=[2]OUT_TransportEnergyCons!$C$4:$C$10000)*1,ISNUMBER(SEARCH("T_C*pev*dsl*s2",[2]OUT_TransportEnergyCons!$A$4:$A$10000))*1,[2]OUT_TransportEnergyCons!H$4:H$10000)</f>
        <v>9.4177496366593301E-4</v>
      </c>
      <c r="K2125" s="1" cm="1">
        <f t="array" ref="K2125">SUMPRODUCT(("var_ncap"=[2]OUT_TransportEnergyCons!$B$4:$B$10000)*1,("-"=[2]OUT_TransportEnergyCons!$C$4:$C$10000)*1,ISNUMBER(SEARCH("T_C*pev*dsl*s2",[2]OUT_TransportEnergyCons!$A$4:$A$10000))*1,[2]OUT_TransportEnergyCons!I$4:I$10000)</f>
        <v>0</v>
      </c>
      <c r="L2125" s="1" cm="1">
        <f t="array" ref="L2125">SUMPRODUCT(("var_ncap"=[2]OUT_TransportEnergyCons!$B$4:$B$10000)*1,("-"=[2]OUT_TransportEnergyCons!$C$4:$C$10000)*1,ISNUMBER(SEARCH("T_C*pev*dsl*s2",[2]OUT_TransportEnergyCons!$A$4:$A$10000))*1,[2]OUT_TransportEnergyCons!J$4:J$10000)</f>
        <v>0</v>
      </c>
      <c r="N2125" s="1"/>
    </row>
    <row r="2126" spans="2:14" x14ac:dyDescent="0.35">
      <c r="B2126" s="5" t="str">
        <f t="shared" si="2103"/>
        <v>SPS1</v>
      </c>
      <c r="C2126" s="5" t="str">
        <f t="shared" si="2104"/>
        <v>CH</v>
      </c>
      <c r="D2126" t="s">
        <v>2255</v>
      </c>
      <c r="E2126" t="str">
        <f t="shared" si="2105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1.17205678542446E-2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4.8057431120459702E-2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0.20184916740907299</v>
      </c>
      <c r="J2126" s="1" cm="1">
        <f t="array" ref="J2126">SUMPRODUCT(("var_ncap"=[2]OUT_TransportEnergyCons!$B$4:$B$10000)*1,("-"=[2]OUT_TransportEnergyCons!$C$4:$C$10000)*1,ISNUMBER(SEARCH("T_C*pev*dsl*s3",[2]OUT_TransportEnergyCons!$A$4:$A$10000))*1,[2]OUT_TransportEnergyCons!H$4:H$10000)</f>
        <v>0.29511392077575699</v>
      </c>
      <c r="K2126" s="1" cm="1">
        <f t="array" ref="K2126">SUMPRODUCT(("var_ncap"=[2]OUT_TransportEnergyCons!$B$4:$B$10000)*1,("-"=[2]OUT_TransportEnergyCons!$C$4:$C$10000)*1,ISNUMBER(SEARCH("T_C*pev*dsl*s3",[2]OUT_TransportEnergyCons!$A$4:$A$10000))*1,[2]OUT_TransportEnergyCons!I$4:I$10000)</f>
        <v>0</v>
      </c>
      <c r="L2126" s="1" cm="1">
        <f t="array" ref="L2126">SUMPRODUCT(("var_ncap"=[2]OUT_TransportEnergyCons!$B$4:$B$10000)*1,("-"=[2]OUT_TransportEnergyCons!$C$4:$C$10000)*1,ISNUMBER(SEARCH("T_C*pev*dsl*s3",[2]OUT_TransportEnergyCons!$A$4:$A$10000))*1,[2]OUT_TransportEnergyCons!J$4:J$10000)</f>
        <v>0</v>
      </c>
      <c r="N2126" s="1"/>
    </row>
    <row r="2127" spans="2:14" x14ac:dyDescent="0.35">
      <c r="B2127" s="5" t="str">
        <f t="shared" si="2103"/>
        <v>SPS1</v>
      </c>
      <c r="C2127" s="5" t="str">
        <f t="shared" si="2104"/>
        <v>CH</v>
      </c>
      <c r="D2127" t="s">
        <v>2256</v>
      </c>
      <c r="E2127" t="str">
        <f t="shared" si="2105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3.5154114790280099E-3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3.1827842165952701E-3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5.2868389030913902E-3</v>
      </c>
      <c r="J2127" s="1" cm="1">
        <f t="array" ref="J2127">SUMPRODUCT(("var_ncap"=[2]OUT_TransportEnergyCons!$B$4:$B$10000)*1,("-"=[2]OUT_TransportEnergyCons!$C$4:$C$10000)*1,ISNUMBER(SEARCH("T_C*pev*dsl*s4",[2]OUT_TransportEnergyCons!$A$4:$A$10000))*1,[2]OUT_TransportEnergyCons!H$4:H$10000)</f>
        <v>4.1651217681543801E-4</v>
      </c>
      <c r="K2127" s="1" cm="1">
        <f t="array" ref="K2127">SUMPRODUCT(("var_ncap"=[2]OUT_TransportEnergyCons!$B$4:$B$10000)*1,("-"=[2]OUT_TransportEnergyCons!$C$4:$C$10000)*1,ISNUMBER(SEARCH("T_C*pev*dsl*s4",[2]OUT_TransportEnergyCons!$A$4:$A$10000))*1,[2]OUT_TransportEnergyCons!I$4:I$10000)</f>
        <v>0</v>
      </c>
      <c r="L2127" s="1" cm="1">
        <f t="array" ref="L2127">SUMPRODUCT(("var_ncap"=[2]OUT_TransportEnergyCons!$B$4:$B$10000)*1,("-"=[2]OUT_TransportEnergyCons!$C$4:$C$10000)*1,ISNUMBER(SEARCH("T_C*pev*dsl*s4",[2]OUT_TransportEnergyCons!$A$4:$A$10000))*1,[2]OUT_TransportEnergyCons!J$4:J$10000)</f>
        <v>0</v>
      </c>
      <c r="N2127" s="1"/>
    </row>
    <row r="2128" spans="2:14" x14ac:dyDescent="0.35">
      <c r="B2128" s="5" t="str">
        <f t="shared" si="2103"/>
        <v>SPS1</v>
      </c>
      <c r="C2128" s="5" t="str">
        <f t="shared" si="2104"/>
        <v>CH</v>
      </c>
      <c r="D2128" t="s">
        <v>2257</v>
      </c>
      <c r="E2128" t="str">
        <f t="shared" si="2105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5.6101829186112801E-5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2.3388944830787099E-5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7.4477061366875901E-6</v>
      </c>
      <c r="J2128" s="1" cm="1">
        <f t="array" ref="J2128">SUMPRODUCT(("var_ncap"=[2]OUT_TransportEnergyCons!$B$4:$B$10000)*1,("-"=[2]OUT_TransportEnergyCons!$C$4:$C$10000)*1,ISNUMBER(SEARCH("T_C*h2o*s1",[2]OUT_TransportEnergyCons!$A$4:$A$10000))*1,[2]OUT_TransportEnergyCons!H$4:H$10000)</f>
        <v>6.2464127390681804E-7</v>
      </c>
      <c r="K2128" s="1" cm="1">
        <f t="array" ref="K2128">SUMPRODUCT(("var_ncap"=[2]OUT_TransportEnergyCons!$B$4:$B$10000)*1,("-"=[2]OUT_TransportEnergyCons!$C$4:$C$10000)*1,ISNUMBER(SEARCH("T_C*h2o*s1",[2]OUT_TransportEnergyCons!$A$4:$A$10000))*1,[2]OUT_TransportEnergyCons!I$4:I$10000)</f>
        <v>1.0518677976193501E-6</v>
      </c>
      <c r="L2128" s="1" cm="1">
        <f t="array" ref="L2128">SUMPRODUCT(("var_ncap"=[2]OUT_TransportEnergyCons!$B$4:$B$10000)*1,("-"=[2]OUT_TransportEnergyCons!$C$4:$C$10000)*1,ISNUMBER(SEARCH("T_C*h2o*s1",[2]OUT_TransportEnergyCons!$A$4:$A$10000))*1,[2]OUT_TransportEnergyCons!J$4:J$10000)</f>
        <v>9.9815457743259699E-7</v>
      </c>
      <c r="N2128" s="1"/>
    </row>
    <row r="2129" spans="2:14" x14ac:dyDescent="0.35">
      <c r="B2129" s="5" t="str">
        <f t="shared" si="2103"/>
        <v>SPS1</v>
      </c>
      <c r="C2129" s="5" t="str">
        <f t="shared" si="2104"/>
        <v>CH</v>
      </c>
      <c r="D2129" t="s">
        <v>2258</v>
      </c>
      <c r="E2129" t="str">
        <f t="shared" si="2105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2.8655381498174701E-5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1.9556933205026201E-5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7.3188824753863398E-6</v>
      </c>
      <c r="J2129" s="1" cm="1">
        <f t="array" ref="J2129">SUMPRODUCT(("var_ncap"=[2]OUT_TransportEnergyCons!$B$4:$B$10000)*1,("-"=[2]OUT_TransportEnergyCons!$C$4:$C$10000)*1,ISNUMBER(SEARCH("T_C*h2o*s2",[2]OUT_TransportEnergyCons!$A$4:$A$10000))*1,[2]OUT_TransportEnergyCons!H$4:H$10000)</f>
        <v>5.6805412596544301E-7</v>
      </c>
      <c r="K2129" s="1" cm="1">
        <f t="array" ref="K2129">SUMPRODUCT(("var_ncap"=[2]OUT_TransportEnergyCons!$B$4:$B$10000)*1,("-"=[2]OUT_TransportEnergyCons!$C$4:$C$10000)*1,ISNUMBER(SEARCH("T_C*h2o*s2",[2]OUT_TransportEnergyCons!$A$4:$A$10000))*1,[2]OUT_TransportEnergyCons!I$4:I$10000)</f>
        <v>8.8713557345451896E-7</v>
      </c>
      <c r="L2129" s="1" cm="1">
        <f t="array" ref="L2129">SUMPRODUCT(("var_ncap"=[2]OUT_TransportEnergyCons!$B$4:$B$10000)*1,("-"=[2]OUT_TransportEnergyCons!$C$4:$C$10000)*1,ISNUMBER(SEARCH("T_C*h2o*s2",[2]OUT_TransportEnergyCons!$A$4:$A$10000))*1,[2]OUT_TransportEnergyCons!J$4:J$10000)</f>
        <v>1.0337640835147701E-6</v>
      </c>
      <c r="N2129" s="1"/>
    </row>
    <row r="2130" spans="2:14" x14ac:dyDescent="0.35">
      <c r="B2130" s="5" t="str">
        <f t="shared" si="2103"/>
        <v>SPS1</v>
      </c>
      <c r="C2130" s="5" t="str">
        <f t="shared" si="2104"/>
        <v>CH</v>
      </c>
      <c r="D2130" t="s">
        <v>2259</v>
      </c>
      <c r="E2130" t="str">
        <f t="shared" si="2105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2.2842811309806201E-5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1.4591577816206499E-5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5.9779438642896097E-6</v>
      </c>
      <c r="J2130" s="1" cm="1">
        <f t="array" ref="J2130">SUMPRODUCT(("var_ncap"=[2]OUT_TransportEnergyCons!$B$4:$B$10000)*1,("-"=[2]OUT_TransportEnergyCons!$C$4:$C$10000)*1,ISNUMBER(SEARCH("T_C*h2o*s3",[2]OUT_TransportEnergyCons!$A$4:$A$10000))*1,[2]OUT_TransportEnergyCons!H$4:H$10000)</f>
        <v>4.81537751966733E-7</v>
      </c>
      <c r="K2130" s="1" cm="1">
        <f t="array" ref="K2130">SUMPRODUCT(("var_ncap"=[2]OUT_TransportEnergyCons!$B$4:$B$10000)*1,("-"=[2]OUT_TransportEnergyCons!$C$4:$C$10000)*1,ISNUMBER(SEARCH("T_C*h2o*s3",[2]OUT_TransportEnergyCons!$A$4:$A$10000))*1,[2]OUT_TransportEnergyCons!I$4:I$10000)</f>
        <v>7.6222521329935496E-7</v>
      </c>
      <c r="L2130" s="1" cm="1">
        <f t="array" ref="L2130">SUMPRODUCT(("var_ncap"=[2]OUT_TransportEnergyCons!$B$4:$B$10000)*1,("-"=[2]OUT_TransportEnergyCons!$C$4:$C$10000)*1,ISNUMBER(SEARCH("T_C*h2o*s3",[2]OUT_TransportEnergyCons!$A$4:$A$10000))*1,[2]OUT_TransportEnergyCons!J$4:J$10000)</f>
        <v>1.03158494232781E-6</v>
      </c>
      <c r="N2130" s="1"/>
    </row>
    <row r="2131" spans="2:14" x14ac:dyDescent="0.35">
      <c r="B2131" s="5" t="str">
        <f t="shared" si="2103"/>
        <v>SPS1</v>
      </c>
      <c r="C2131" s="5" t="str">
        <f t="shared" si="2104"/>
        <v>CH</v>
      </c>
      <c r="D2131" t="s">
        <v>2260</v>
      </c>
      <c r="E2131" t="str">
        <f t="shared" si="2105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3.2628693302436003E-5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1.92985430881426E-5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7.2573855161160399E-6</v>
      </c>
      <c r="J2131" s="1" cm="1">
        <f t="array" ref="J2131">SUMPRODUCT(("var_ncap"=[2]OUT_TransportEnergyCons!$B$4:$B$10000)*1,("-"=[2]OUT_TransportEnergyCons!$C$4:$C$10000)*1,ISNUMBER(SEARCH("T_C*h2o*s4",[2]OUT_TransportEnergyCons!$A$4:$A$10000))*1,[2]OUT_TransportEnergyCons!H$4:H$10000)</f>
        <v>5.7317160800235295E-7</v>
      </c>
      <c r="K2131" s="1" cm="1">
        <f t="array" ref="K2131">SUMPRODUCT(("var_ncap"=[2]OUT_TransportEnergyCons!$B$4:$B$10000)*1,("-"=[2]OUT_TransportEnergyCons!$C$4:$C$10000)*1,ISNUMBER(SEARCH("T_C*h2o*s4",[2]OUT_TransportEnergyCons!$A$4:$A$10000))*1,[2]OUT_TransportEnergyCons!I$4:I$10000)</f>
        <v>9.4983025122325897E-7</v>
      </c>
      <c r="L2131" s="1" cm="1">
        <f t="array" ref="L2131">SUMPRODUCT(("var_ncap"=[2]OUT_TransportEnergyCons!$B$4:$B$10000)*1,("-"=[2]OUT_TransportEnergyCons!$C$4:$C$10000)*1,ISNUMBER(SEARCH("T_C*h2o*s4",[2]OUT_TransportEnergyCons!$A$4:$A$10000))*1,[2]OUT_TransportEnergyCons!J$4:J$10000)</f>
        <v>1.29552818352708E-6</v>
      </c>
      <c r="N2131" s="1"/>
    </row>
    <row r="2132" spans="2:14" x14ac:dyDescent="0.35">
      <c r="B2132" s="5" t="str">
        <f t="shared" si="2103"/>
        <v>SPS1</v>
      </c>
      <c r="C2132" s="5" t="str">
        <f t="shared" si="2104"/>
        <v>CH</v>
      </c>
      <c r="D2132" t="s">
        <v>2261</v>
      </c>
      <c r="E2132" t="str">
        <f t="shared" si="2105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SUMPRODUCT(("var_ncap"=[2]OUT_TransportEnergyCons!$B$4:$B$10000)*1,("-"=[2]OUT_TransportEnergyCons!$C$4:$C$10000)*1,ISNUMBER(SEARCH("T_C*hy*GSL*ext",[2]OUT_TransportEnergyCons!$A$4:$A$10000))*1,[2]OUT_TransportEnergyCons!H$4:H$10000)</f>
        <v>0</v>
      </c>
      <c r="K2132" s="1" cm="1">
        <f t="array" ref="K2132">SUMPRODUCT(("var_ncap"=[2]OUT_TransportEnergyCons!$B$4:$B$10000)*1,("-"=[2]OUT_TransportEnergyCons!$C$4:$C$10000)*1,ISNUMBER(SEARCH("T_C*hy*GSL*ext",[2]OUT_TransportEnergyCons!$A$4:$A$10000))*1,[2]OUT_TransportEnergyCons!I$4:I$10000)</f>
        <v>0</v>
      </c>
      <c r="L2132" s="1" cm="1">
        <f t="array" ref="L2132">SUMPRODUCT(("var_ncap"=[2]OUT_TransportEnergyCons!$B$4:$B$10000)*1,("-"=[2]OUT_TransportEnergyCons!$C$4:$C$10000)*1,ISNUMBER(SEARCH("T_C*hy*GSL*ext",[2]OUT_TransportEnergyCons!$A$4:$A$10000))*1,[2]OUT_TransportEnergyCons!J$4:J$10000)</f>
        <v>0</v>
      </c>
      <c r="N2132" s="1"/>
    </row>
    <row r="2133" spans="2:14" x14ac:dyDescent="0.35">
      <c r="B2133" s="5" t="str">
        <f t="shared" si="2103"/>
        <v>SPS1</v>
      </c>
      <c r="C2133" s="5" t="str">
        <f t="shared" si="2104"/>
        <v>CH</v>
      </c>
      <c r="D2133" t="s">
        <v>2262</v>
      </c>
      <c r="E2133" t="str">
        <f t="shared" si="2105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2.7019270698739432E-3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1.4207171537137771E-3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1.1936449601459239E-3</v>
      </c>
      <c r="J2133" s="1" cm="1">
        <f t="array" ref="J2133">SUMPRODUCT(("var_ncap"=[2]OUT_TransportEnergyCons!$B$4:$B$10000)*1,("-"=[2]OUT_TransportEnergyCons!$C$4:$C$10000)*1,ISNUMBER(SEARCH("T_C*hy*GSL*s1",[2]OUT_TransportEnergyCons!$A$4:$A$10000))*1,[2]OUT_TransportEnergyCons!H$4:H$10000)</f>
        <v>0</v>
      </c>
      <c r="K2133" s="1" cm="1">
        <f t="array" ref="K2133">SUMPRODUCT(("var_ncap"=[2]OUT_TransportEnergyCons!$B$4:$B$10000)*1,("-"=[2]OUT_TransportEnergyCons!$C$4:$C$10000)*1,ISNUMBER(SEARCH("T_C*hy*GSL*s1",[2]OUT_TransportEnergyCons!$A$4:$A$10000))*1,[2]OUT_TransportEnergyCons!I$4:I$10000)</f>
        <v>0</v>
      </c>
      <c r="L2133" s="1" cm="1">
        <f t="array" ref="L2133">SUMPRODUCT(("var_ncap"=[2]OUT_TransportEnergyCons!$B$4:$B$10000)*1,("-"=[2]OUT_TransportEnergyCons!$C$4:$C$10000)*1,ISNUMBER(SEARCH("T_C*hy*GSL*s1",[2]OUT_TransportEnergyCons!$A$4:$A$10000))*1,[2]OUT_TransportEnergyCons!J$4:J$10000)</f>
        <v>0</v>
      </c>
      <c r="N2133" s="1"/>
    </row>
    <row r="2134" spans="2:14" x14ac:dyDescent="0.35">
      <c r="B2134" s="5" t="str">
        <f t="shared" si="2103"/>
        <v>SPS1</v>
      </c>
      <c r="C2134" s="5" t="str">
        <f t="shared" si="2104"/>
        <v>CH</v>
      </c>
      <c r="D2134" t="s">
        <v>2263</v>
      </c>
      <c r="E2134" t="str">
        <f t="shared" si="2105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1.1522497578897933E-2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9.6215905603701468E-2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6.1550774638277899E-4</v>
      </c>
      <c r="J2134" s="1" cm="1">
        <f t="array" ref="J2134">SUMPRODUCT(("var_ncap"=[2]OUT_TransportEnergyCons!$B$4:$B$10000)*1,("-"=[2]OUT_TransportEnergyCons!$C$4:$C$10000)*1,ISNUMBER(SEARCH("T_C*hy*GSL*s2",[2]OUT_TransportEnergyCons!$A$4:$A$10000))*1,[2]OUT_TransportEnergyCons!H$4:H$10000)</f>
        <v>0</v>
      </c>
      <c r="K2134" s="1" cm="1">
        <f t="array" ref="K2134">SUMPRODUCT(("var_ncap"=[2]OUT_TransportEnergyCons!$B$4:$B$10000)*1,("-"=[2]OUT_TransportEnergyCons!$C$4:$C$10000)*1,ISNUMBER(SEARCH("T_C*hy*GSL*s2",[2]OUT_TransportEnergyCons!$A$4:$A$10000))*1,[2]OUT_TransportEnergyCons!I$4:I$10000)</f>
        <v>0</v>
      </c>
      <c r="L2134" s="1" cm="1">
        <f t="array" ref="L2134">SUMPRODUCT(("var_ncap"=[2]OUT_TransportEnergyCons!$B$4:$B$10000)*1,("-"=[2]OUT_TransportEnergyCons!$C$4:$C$10000)*1,ISNUMBER(SEARCH("T_C*hy*GSL*s2",[2]OUT_TransportEnergyCons!$A$4:$A$10000))*1,[2]OUT_TransportEnergyCons!J$4:J$10000)</f>
        <v>0</v>
      </c>
      <c r="N2134" s="1"/>
    </row>
    <row r="2135" spans="2:14" x14ac:dyDescent="0.35">
      <c r="B2135" s="5" t="str">
        <f t="shared" si="2103"/>
        <v>SPS1</v>
      </c>
      <c r="C2135" s="5" t="str">
        <f t="shared" si="2104"/>
        <v>CH</v>
      </c>
      <c r="D2135" t="s">
        <v>2264</v>
      </c>
      <c r="E2135" t="str">
        <f t="shared" si="2105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0.16803719350979848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1.1926755530829681E-3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3.7498539235423302E-4</v>
      </c>
      <c r="J2135" s="1" cm="1">
        <f t="array" ref="J2135">SUMPRODUCT(("var_ncap"=[2]OUT_TransportEnergyCons!$B$4:$B$10000)*1,("-"=[2]OUT_TransportEnergyCons!$C$4:$C$10000)*1,ISNUMBER(SEARCH("T_C*hy*GSL*s3",[2]OUT_TransportEnergyCons!$A$4:$A$10000))*1,[2]OUT_TransportEnergyCons!H$4:H$10000)</f>
        <v>0</v>
      </c>
      <c r="K2135" s="1" cm="1">
        <f t="array" ref="K2135">SUMPRODUCT(("var_ncap"=[2]OUT_TransportEnergyCons!$B$4:$B$10000)*1,("-"=[2]OUT_TransportEnergyCons!$C$4:$C$10000)*1,ISNUMBER(SEARCH("T_C*hy*GSL*s3",[2]OUT_TransportEnergyCons!$A$4:$A$10000))*1,[2]OUT_TransportEnergyCons!I$4:I$10000)</f>
        <v>0</v>
      </c>
      <c r="L2135" s="1" cm="1">
        <f t="array" ref="L2135">SUMPRODUCT(("var_ncap"=[2]OUT_TransportEnergyCons!$B$4:$B$10000)*1,("-"=[2]OUT_TransportEnergyCons!$C$4:$C$10000)*1,ISNUMBER(SEARCH("T_C*hy*GSL*s3",[2]OUT_TransportEnergyCons!$A$4:$A$10000))*1,[2]OUT_TransportEnergyCons!J$4:J$10000)</f>
        <v>0</v>
      </c>
      <c r="N2135" s="1"/>
    </row>
    <row r="2136" spans="2:14" x14ac:dyDescent="0.35">
      <c r="B2136" s="5" t="str">
        <f t="shared" si="2103"/>
        <v>SPS1</v>
      </c>
      <c r="C2136" s="5" t="str">
        <f t="shared" si="2104"/>
        <v>CH</v>
      </c>
      <c r="D2136" t="s">
        <v>2265</v>
      </c>
      <c r="E2136" t="str">
        <f t="shared" si="2105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1.8460111312572759E-3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1.2528345471352889E-3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4.8590419379662502E-4</v>
      </c>
      <c r="J2136" s="1" cm="1">
        <f t="array" ref="J2136">SUMPRODUCT(("var_ncap"=[2]OUT_TransportEnergyCons!$B$4:$B$10000)*1,("-"=[2]OUT_TransportEnergyCons!$C$4:$C$10000)*1,ISNUMBER(SEARCH("T_C*hy*GSL*s4",[2]OUT_TransportEnergyCons!$A$4:$A$10000))*1,[2]OUT_TransportEnergyCons!H$4:H$10000)</f>
        <v>0</v>
      </c>
      <c r="K2136" s="1" cm="1">
        <f t="array" ref="K2136">SUMPRODUCT(("var_ncap"=[2]OUT_TransportEnergyCons!$B$4:$B$10000)*1,("-"=[2]OUT_TransportEnergyCons!$C$4:$C$10000)*1,ISNUMBER(SEARCH("T_C*hy*GSL*s4",[2]OUT_TransportEnergyCons!$A$4:$A$10000))*1,[2]OUT_TransportEnergyCons!I$4:I$10000)</f>
        <v>0</v>
      </c>
      <c r="L2136" s="1" cm="1">
        <f t="array" ref="L2136">SUMPRODUCT(("var_ncap"=[2]OUT_TransportEnergyCons!$B$4:$B$10000)*1,("-"=[2]OUT_TransportEnergyCons!$C$4:$C$10000)*1,ISNUMBER(SEARCH("T_C*hy*GSL*s4",[2]OUT_TransportEnergyCons!$A$4:$A$10000))*1,[2]OUT_TransportEnergyCons!J$4:J$10000)</f>
        <v>0</v>
      </c>
      <c r="N2136" s="1"/>
    </row>
    <row r="2137" spans="2:14" x14ac:dyDescent="0.35">
      <c r="B2137" s="5" t="str">
        <f t="shared" si="2103"/>
        <v>SPS1</v>
      </c>
      <c r="C2137" s="5" t="str">
        <f t="shared" si="2104"/>
        <v>CH</v>
      </c>
      <c r="D2137" t="s">
        <v>2266</v>
      </c>
      <c r="E2137" t="str">
        <f t="shared" si="2105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SUMPRODUCT(("var_ncap"=[2]OUT_TransportEnergyCons!$B$4:$B$10000)*1,("-"=[2]OUT_TransportEnergyCons!$C$4:$C$10000)*1,ISNUMBER(SEARCH("T_C*ICE*GSL*ext",[2]OUT_TransportEnergyCons!$A$4:$A$10000))*1,[2]OUT_TransportEnergyCons!H$4:H$10000)</f>
        <v>0</v>
      </c>
      <c r="K2137" s="1" cm="1">
        <f t="array" ref="K2137">SUMPRODUCT(("var_ncap"=[2]OUT_TransportEnergyCons!$B$4:$B$10000)*1,("-"=[2]OUT_TransportEnergyCons!$C$4:$C$10000)*1,ISNUMBER(SEARCH("T_C*ICE*GSL*ext",[2]OUT_TransportEnergyCons!$A$4:$A$10000))*1,[2]OUT_TransportEnergyCons!I$4:I$10000)</f>
        <v>0</v>
      </c>
      <c r="L2137" s="1" cm="1">
        <f t="array" ref="L2137">SUMPRODUCT(("var_ncap"=[2]OUT_TransportEnergyCons!$B$4:$B$10000)*1,("-"=[2]OUT_TransportEnergyCons!$C$4:$C$10000)*1,ISNUMBER(SEARCH("T_C*ICE*GSL*ext",[2]OUT_TransportEnergyCons!$A$4:$A$10000))*1,[2]OUT_TransportEnergyCons!J$4:J$10000)</f>
        <v>0</v>
      </c>
      <c r="N2137" s="1"/>
    </row>
    <row r="2138" spans="2:14" x14ac:dyDescent="0.35">
      <c r="B2138" s="5" t="str">
        <f t="shared" si="2103"/>
        <v>SPS1</v>
      </c>
      <c r="C2138" s="5" t="str">
        <f t="shared" si="2104"/>
        <v>CH</v>
      </c>
      <c r="D2138" t="s">
        <v>2267</v>
      </c>
      <c r="E2138" t="str">
        <f t="shared" si="2105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3.0464857768769298E-3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8.48281752601735E-2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6.0685793614459601E-4</v>
      </c>
      <c r="J2138" s="1" cm="1">
        <f t="array" ref="J2138">SUMPRODUCT(("var_ncap"=[2]OUT_TransportEnergyCons!$B$4:$B$10000)*1,("-"=[2]OUT_TransportEnergyCons!$C$4:$C$10000)*1,ISNUMBER(SEARCH("T_C*ICE*GSL*s1",[2]OUT_TransportEnergyCons!$A$4:$A$10000))*1,[2]OUT_TransportEnergyCons!H$4:H$10000)</f>
        <v>0</v>
      </c>
      <c r="K2138" s="1" cm="1">
        <f t="array" ref="K2138">SUMPRODUCT(("var_ncap"=[2]OUT_TransportEnergyCons!$B$4:$B$10000)*1,("-"=[2]OUT_TransportEnergyCons!$C$4:$C$10000)*1,ISNUMBER(SEARCH("T_C*ICE*GSL*s1",[2]OUT_TransportEnergyCons!$A$4:$A$10000))*1,[2]OUT_TransportEnergyCons!I$4:I$10000)</f>
        <v>0</v>
      </c>
      <c r="L2138" s="1" cm="1">
        <f t="array" ref="L2138">SUMPRODUCT(("var_ncap"=[2]OUT_TransportEnergyCons!$B$4:$B$10000)*1,("-"=[2]OUT_TransportEnergyCons!$C$4:$C$10000)*1,ISNUMBER(SEARCH("T_C*ICE*GSL*s1",[2]OUT_TransportEnergyCons!$A$4:$A$10000))*1,[2]OUT_TransportEnergyCons!J$4:J$10000)</f>
        <v>0</v>
      </c>
      <c r="N2138" s="1"/>
    </row>
    <row r="2139" spans="2:14" x14ac:dyDescent="0.35">
      <c r="B2139" s="5" t="str">
        <f t="shared" si="2103"/>
        <v>SPS1</v>
      </c>
      <c r="C2139" s="5" t="str">
        <f t="shared" si="2104"/>
        <v>CH</v>
      </c>
      <c r="D2139" t="s">
        <v>2268</v>
      </c>
      <c r="E2139" t="str">
        <f t="shared" si="2105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6.1330812602888504E-4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3.0102576980221001E-2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2.8656457429568902E-4</v>
      </c>
      <c r="J2139" s="1" cm="1">
        <f t="array" ref="J2139">SUMPRODUCT(("var_ncap"=[2]OUT_TransportEnergyCons!$B$4:$B$10000)*1,("-"=[2]OUT_TransportEnergyCons!$C$4:$C$10000)*1,ISNUMBER(SEARCH("T_C*ICE*GSL*s2",[2]OUT_TransportEnergyCons!$A$4:$A$10000))*1,[2]OUT_TransportEnergyCons!H$4:H$10000)</f>
        <v>0</v>
      </c>
      <c r="K2139" s="1" cm="1">
        <f t="array" ref="K2139">SUMPRODUCT(("var_ncap"=[2]OUT_TransportEnergyCons!$B$4:$B$10000)*1,("-"=[2]OUT_TransportEnergyCons!$C$4:$C$10000)*1,ISNUMBER(SEARCH("T_C*ICE*GSL*s2",[2]OUT_TransportEnergyCons!$A$4:$A$10000))*1,[2]OUT_TransportEnergyCons!I$4:I$10000)</f>
        <v>0</v>
      </c>
      <c r="L2139" s="1" cm="1">
        <f t="array" ref="L2139">SUMPRODUCT(("var_ncap"=[2]OUT_TransportEnergyCons!$B$4:$B$10000)*1,("-"=[2]OUT_TransportEnergyCons!$C$4:$C$10000)*1,ISNUMBER(SEARCH("T_C*ICE*GSL*s2",[2]OUT_TransportEnergyCons!$A$4:$A$10000))*1,[2]OUT_TransportEnergyCons!J$4:J$10000)</f>
        <v>0</v>
      </c>
      <c r="N2139" s="1"/>
    </row>
    <row r="2140" spans="2:14" x14ac:dyDescent="0.35">
      <c r="B2140" s="5" t="str">
        <f t="shared" si="2103"/>
        <v>SPS1</v>
      </c>
      <c r="C2140" s="5" t="str">
        <f t="shared" si="2104"/>
        <v>CH</v>
      </c>
      <c r="D2140" t="s">
        <v>2269</v>
      </c>
      <c r="E2140" t="str">
        <f t="shared" si="2105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9.9954810404871697E-4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6.5823200721078102E-3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2.27282946188675E-4</v>
      </c>
      <c r="J2140" s="1" cm="1">
        <f t="array" ref="J2140">SUMPRODUCT(("var_ncap"=[2]OUT_TransportEnergyCons!$B$4:$B$10000)*1,("-"=[2]OUT_TransportEnergyCons!$C$4:$C$10000)*1,ISNUMBER(SEARCH("T_C*ICE*GSL*s3",[2]OUT_TransportEnergyCons!$A$4:$A$10000))*1,[2]OUT_TransportEnergyCons!H$4:H$10000)</f>
        <v>0</v>
      </c>
      <c r="K2140" s="1" cm="1">
        <f t="array" ref="K2140">SUMPRODUCT(("var_ncap"=[2]OUT_TransportEnergyCons!$B$4:$B$10000)*1,("-"=[2]OUT_TransportEnergyCons!$C$4:$C$10000)*1,ISNUMBER(SEARCH("T_C*ICE*GSL*s3",[2]OUT_TransportEnergyCons!$A$4:$A$10000))*1,[2]OUT_TransportEnergyCons!I$4:I$10000)</f>
        <v>0</v>
      </c>
      <c r="L2140" s="1" cm="1">
        <f t="array" ref="L2140">SUMPRODUCT(("var_ncap"=[2]OUT_TransportEnergyCons!$B$4:$B$10000)*1,("-"=[2]OUT_TransportEnergyCons!$C$4:$C$10000)*1,ISNUMBER(SEARCH("T_C*ICE*GSL*s3",[2]OUT_TransportEnergyCons!$A$4:$A$10000))*1,[2]OUT_TransportEnergyCons!J$4:J$10000)</f>
        <v>0</v>
      </c>
      <c r="N2140" s="1"/>
    </row>
    <row r="2141" spans="2:14" x14ac:dyDescent="0.35">
      <c r="B2141" s="5" t="str">
        <f t="shared" si="2103"/>
        <v>SPS1</v>
      </c>
      <c r="C2141" s="5" t="str">
        <f t="shared" si="2104"/>
        <v>CH</v>
      </c>
      <c r="D2141" t="s">
        <v>2270</v>
      </c>
      <c r="E2141" t="str">
        <f t="shared" si="2105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6.9855124588349895E-4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0.171451736459135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3.1951245703016403E-4</v>
      </c>
      <c r="J2141" s="1" cm="1">
        <f t="array" ref="J2141">SUMPRODUCT(("var_ncap"=[2]OUT_TransportEnergyCons!$B$4:$B$10000)*1,("-"=[2]OUT_TransportEnergyCons!$C$4:$C$10000)*1,ISNUMBER(SEARCH("T_C*ICE*GSL*s4",[2]OUT_TransportEnergyCons!$A$4:$A$10000))*1,[2]OUT_TransportEnergyCons!H$4:H$10000)</f>
        <v>0</v>
      </c>
      <c r="K2141" s="1" cm="1">
        <f t="array" ref="K2141">SUMPRODUCT(("var_ncap"=[2]OUT_TransportEnergyCons!$B$4:$B$10000)*1,("-"=[2]OUT_TransportEnergyCons!$C$4:$C$10000)*1,ISNUMBER(SEARCH("T_C*ICE*GSL*s4",[2]OUT_TransportEnergyCons!$A$4:$A$10000))*1,[2]OUT_TransportEnergyCons!I$4:I$10000)</f>
        <v>0</v>
      </c>
      <c r="L2141" s="1" cm="1">
        <f t="array" ref="L2141">SUMPRODUCT(("var_ncap"=[2]OUT_TransportEnergyCons!$B$4:$B$10000)*1,("-"=[2]OUT_TransportEnergyCons!$C$4:$C$10000)*1,ISNUMBER(SEARCH("T_C*ICE*GSL*s4",[2]OUT_TransportEnergyCons!$A$4:$A$10000))*1,[2]OUT_TransportEnergyCons!J$4:J$10000)</f>
        <v>0</v>
      </c>
      <c r="N2141" s="1"/>
    </row>
    <row r="2142" spans="2:14" x14ac:dyDescent="0.35">
      <c r="B2142" s="5" t="str">
        <f t="shared" si="2103"/>
        <v>SPS1</v>
      </c>
      <c r="C2142" s="5" t="str">
        <f t="shared" si="2104"/>
        <v>CH</v>
      </c>
      <c r="D2142" t="s">
        <v>2271</v>
      </c>
      <c r="E2142" t="str">
        <f t="shared" si="2105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3.1861209575087301E-4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4.9356385671939305E-4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4.6272560479405602E-4</v>
      </c>
      <c r="J2142" s="1" cm="1">
        <f t="array" ref="J2142">SUMPRODUCT(("var_ncap"=[2]OUT_TransportEnergyCons!$B$4:$B$10000)*1,("-"=[2]OUT_TransportEnergyCons!$C$4:$C$10000)*1,ISNUMBER(SEARCH("T_C*mhy*GSL*s1",[2]OUT_TransportEnergyCons!$A$4:$A$10000))*1,[2]OUT_TransportEnergyCons!H$4:H$10000)</f>
        <v>0</v>
      </c>
      <c r="K2142" s="1" cm="1">
        <f t="array" ref="K2142">SUMPRODUCT(("var_ncap"=[2]OUT_TransportEnergyCons!$B$4:$B$10000)*1,("-"=[2]OUT_TransportEnergyCons!$C$4:$C$10000)*1,ISNUMBER(SEARCH("T_C*mhy*GSL*s1",[2]OUT_TransportEnergyCons!$A$4:$A$10000))*1,[2]OUT_TransportEnergyCons!I$4:I$10000)</f>
        <v>0</v>
      </c>
      <c r="L2142" s="1" cm="1">
        <f t="array" ref="L2142">SUMPRODUCT(("var_ncap"=[2]OUT_TransportEnergyCons!$B$4:$B$10000)*1,("-"=[2]OUT_TransportEnergyCons!$C$4:$C$10000)*1,ISNUMBER(SEARCH("T_C*mhy*GSL*s1",[2]OUT_TransportEnergyCons!$A$4:$A$10000))*1,[2]OUT_TransportEnergyCons!J$4:J$10000)</f>
        <v>0</v>
      </c>
      <c r="N2142" s="1"/>
    </row>
    <row r="2143" spans="2:14" x14ac:dyDescent="0.35">
      <c r="B2143" s="5" t="str">
        <f t="shared" si="2103"/>
        <v>SPS1</v>
      </c>
      <c r="C2143" s="5" t="str">
        <f t="shared" si="2104"/>
        <v>CH</v>
      </c>
      <c r="D2143" t="s">
        <v>2272</v>
      </c>
      <c r="E2143" t="str">
        <f t="shared" si="2105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1.6310258839733201E-4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3.6591970991256599E-4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2.4338677524886099E-4</v>
      </c>
      <c r="J2143" s="1" cm="1">
        <f t="array" ref="J2143">SUMPRODUCT(("var_ncap"=[2]OUT_TransportEnergyCons!$B$4:$B$10000)*1,("-"=[2]OUT_TransportEnergyCons!$C$4:$C$10000)*1,ISNUMBER(SEARCH("T_C*mhy*GSL*s2",[2]OUT_TransportEnergyCons!$A$4:$A$10000))*1,[2]OUT_TransportEnergyCons!H$4:H$10000)</f>
        <v>0</v>
      </c>
      <c r="K2143" s="1" cm="1">
        <f t="array" ref="K2143">SUMPRODUCT(("var_ncap"=[2]OUT_TransportEnergyCons!$B$4:$B$10000)*1,("-"=[2]OUT_TransportEnergyCons!$C$4:$C$10000)*1,ISNUMBER(SEARCH("T_C*mhy*GSL*s2",[2]OUT_TransportEnergyCons!$A$4:$A$10000))*1,[2]OUT_TransportEnergyCons!I$4:I$10000)</f>
        <v>0</v>
      </c>
      <c r="L2143" s="1" cm="1">
        <f t="array" ref="L2143">SUMPRODUCT(("var_ncap"=[2]OUT_TransportEnergyCons!$B$4:$B$10000)*1,("-"=[2]OUT_TransportEnergyCons!$C$4:$C$10000)*1,ISNUMBER(SEARCH("T_C*mhy*GSL*s2",[2]OUT_TransportEnergyCons!$A$4:$A$10000))*1,[2]OUT_TransportEnergyCons!J$4:J$10000)</f>
        <v>0</v>
      </c>
      <c r="N2143" s="1"/>
    </row>
    <row r="2144" spans="2:14" x14ac:dyDescent="0.35">
      <c r="B2144" s="5" t="str">
        <f t="shared" si="2103"/>
        <v>SPS1</v>
      </c>
      <c r="C2144" s="5" t="str">
        <f t="shared" si="2104"/>
        <v>CH</v>
      </c>
      <c r="D2144" t="s">
        <v>2273</v>
      </c>
      <c r="E2144" t="str">
        <f t="shared" si="2105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1.77609523635485E-4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3.3092130425557698E-4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1.9483607305095801E-4</v>
      </c>
      <c r="J2144" s="1" cm="1">
        <f t="array" ref="J2144">SUMPRODUCT(("var_ncap"=[2]OUT_TransportEnergyCons!$B$4:$B$10000)*1,("-"=[2]OUT_TransportEnergyCons!$C$4:$C$10000)*1,ISNUMBER(SEARCH("T_C*mhy*GSL*s3",[2]OUT_TransportEnergyCons!$A$4:$A$10000))*1,[2]OUT_TransportEnergyCons!H$4:H$10000)</f>
        <v>0</v>
      </c>
      <c r="K2144" s="1" cm="1">
        <f t="array" ref="K2144">SUMPRODUCT(("var_ncap"=[2]OUT_TransportEnergyCons!$B$4:$B$10000)*1,("-"=[2]OUT_TransportEnergyCons!$C$4:$C$10000)*1,ISNUMBER(SEARCH("T_C*mhy*GSL*s3",[2]OUT_TransportEnergyCons!$A$4:$A$10000))*1,[2]OUT_TransportEnergyCons!I$4:I$10000)</f>
        <v>0</v>
      </c>
      <c r="L2144" s="1" cm="1">
        <f t="array" ref="L2144">SUMPRODUCT(("var_ncap"=[2]OUT_TransportEnergyCons!$B$4:$B$10000)*1,("-"=[2]OUT_TransportEnergyCons!$C$4:$C$10000)*1,ISNUMBER(SEARCH("T_C*mhy*GSL*s3",[2]OUT_TransportEnergyCons!$A$4:$A$10000))*1,[2]OUT_TransportEnergyCons!J$4:J$10000)</f>
        <v>0</v>
      </c>
      <c r="N2144" s="1"/>
    </row>
    <row r="2145" spans="2:14" x14ac:dyDescent="0.35">
      <c r="B2145" s="5" t="str">
        <f t="shared" si="2103"/>
        <v>SPS1</v>
      </c>
      <c r="C2145" s="5" t="str">
        <f t="shared" si="2104"/>
        <v>CH</v>
      </c>
      <c r="D2145" t="s">
        <v>2274</v>
      </c>
      <c r="E2145" t="str">
        <f t="shared" si="2105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2.4193715345735599E-4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5.0507953656970801E-4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2.6739176910912102E-4</v>
      </c>
      <c r="J2145" s="1" cm="1">
        <f t="array" ref="J2145">SUMPRODUCT(("var_ncap"=[2]OUT_TransportEnergyCons!$B$4:$B$10000)*1,("-"=[2]OUT_TransportEnergyCons!$C$4:$C$10000)*1,ISNUMBER(SEARCH("T_C*mhy*GSL*s4",[2]OUT_TransportEnergyCons!$A$4:$A$10000))*1,[2]OUT_TransportEnergyCons!H$4:H$10000)</f>
        <v>0</v>
      </c>
      <c r="K2145" s="1" cm="1">
        <f t="array" ref="K2145">SUMPRODUCT(("var_ncap"=[2]OUT_TransportEnergyCons!$B$4:$B$10000)*1,("-"=[2]OUT_TransportEnergyCons!$C$4:$C$10000)*1,ISNUMBER(SEARCH("T_C*mhy*GSL*s4",[2]OUT_TransportEnergyCons!$A$4:$A$10000))*1,[2]OUT_TransportEnergyCons!I$4:I$10000)</f>
        <v>0</v>
      </c>
      <c r="L2145" s="1" cm="1">
        <f t="array" ref="L2145">SUMPRODUCT(("var_ncap"=[2]OUT_TransportEnergyCons!$B$4:$B$10000)*1,("-"=[2]OUT_TransportEnergyCons!$C$4:$C$10000)*1,ISNUMBER(SEARCH("T_C*mhy*GSL*s4",[2]OUT_TransportEnergyCons!$A$4:$A$10000))*1,[2]OUT_TransportEnergyCons!J$4:J$10000)</f>
        <v>0</v>
      </c>
      <c r="N2145" s="1"/>
    </row>
    <row r="2146" spans="2:14" x14ac:dyDescent="0.35">
      <c r="B2146" s="5" t="str">
        <f t="shared" si="2103"/>
        <v>SPS1</v>
      </c>
      <c r="C2146" s="5" t="str">
        <f t="shared" si="2104"/>
        <v>CH</v>
      </c>
      <c r="D2146" t="s">
        <v>2275</v>
      </c>
      <c r="E2146" t="str">
        <f t="shared" si="2105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SUMPRODUCT(("var_ncap"=[2]OUT_TransportEnergyCons!$B$4:$B$10000)*1,("-"=[2]OUT_TransportEnergyCons!$C$4:$C$10000)*1,ISNUMBER(SEARCH("T_C*hy*dsl*ext",[2]OUT_TransportEnergyCons!$A$4:$A$10000))*1,[2]OUT_TransportEnergyCons!H$4:H$10000)</f>
        <v>0</v>
      </c>
      <c r="K2146" s="1" cm="1">
        <f t="array" ref="K2146">SUMPRODUCT(("var_ncap"=[2]OUT_TransportEnergyCons!$B$4:$B$10000)*1,("-"=[2]OUT_TransportEnergyCons!$C$4:$C$10000)*1,ISNUMBER(SEARCH("T_C*hy*dsl*ext",[2]OUT_TransportEnergyCons!$A$4:$A$10000))*1,[2]OUT_TransportEnergyCons!I$4:I$10000)</f>
        <v>0</v>
      </c>
      <c r="L2146" s="1" cm="1">
        <f t="array" ref="L2146">SUMPRODUCT(("var_ncap"=[2]OUT_TransportEnergyCons!$B$4:$B$10000)*1,("-"=[2]OUT_TransportEnergyCons!$C$4:$C$10000)*1,ISNUMBER(SEARCH("T_C*hy*dsl*ext",[2]OUT_TransportEnergyCons!$A$4:$A$10000))*1,[2]OUT_TransportEnergyCons!J$4:J$10000)</f>
        <v>0</v>
      </c>
      <c r="N2146" s="1"/>
    </row>
    <row r="2147" spans="2:14" x14ac:dyDescent="0.35">
      <c r="B2147" s="5" t="str">
        <f t="shared" ref="B2147:B2164" si="2106">B2146</f>
        <v>SPS1</v>
      </c>
      <c r="C2147" s="5" t="str">
        <f t="shared" ref="C2147:C2164" si="2107">C2146</f>
        <v>CH</v>
      </c>
      <c r="D2147" t="s">
        <v>2276</v>
      </c>
      <c r="E2147" t="str">
        <f t="shared" ref="E2147:E2164" si="2108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2.1027764323517415E-2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1.509305297480604E-3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8.2174932475530607E-4</v>
      </c>
      <c r="J2147" s="1" cm="1">
        <f t="array" ref="J2147">SUMPRODUCT(("var_ncap"=[2]OUT_TransportEnergyCons!$B$4:$B$10000)*1,("-"=[2]OUT_TransportEnergyCons!$C$4:$C$10000)*1,ISNUMBER(SEARCH("T_C*hy*dsl*s1",[2]OUT_TransportEnergyCons!$A$4:$A$10000))*1,[2]OUT_TransportEnergyCons!H$4:H$10000)</f>
        <v>0</v>
      </c>
      <c r="K2147" s="1" cm="1">
        <f t="array" ref="K2147">SUMPRODUCT(("var_ncap"=[2]OUT_TransportEnergyCons!$B$4:$B$10000)*1,("-"=[2]OUT_TransportEnergyCons!$C$4:$C$10000)*1,ISNUMBER(SEARCH("T_C*hy*dsl*s1",[2]OUT_TransportEnergyCons!$A$4:$A$10000))*1,[2]OUT_TransportEnergyCons!I$4:I$10000)</f>
        <v>0</v>
      </c>
      <c r="L2147" s="1" cm="1">
        <f t="array" ref="L2147">SUMPRODUCT(("var_ncap"=[2]OUT_TransportEnergyCons!$B$4:$B$10000)*1,("-"=[2]OUT_TransportEnergyCons!$C$4:$C$10000)*1,ISNUMBER(SEARCH("T_C*hy*dsl*s1",[2]OUT_TransportEnergyCons!$A$4:$A$10000))*1,[2]OUT_TransportEnergyCons!J$4:J$10000)</f>
        <v>0</v>
      </c>
      <c r="N2147" s="1"/>
    </row>
    <row r="2148" spans="2:14" x14ac:dyDescent="0.35">
      <c r="B2148" s="5" t="str">
        <f t="shared" si="2106"/>
        <v>SPS1</v>
      </c>
      <c r="C2148" s="5" t="str">
        <f t="shared" si="2107"/>
        <v>CH</v>
      </c>
      <c r="D2148" t="s">
        <v>2277</v>
      </c>
      <c r="E2148" t="str">
        <f t="shared" si="2108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0.11193716895247814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0.11694101758186667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4.4949424184307702E-4</v>
      </c>
      <c r="J2148" s="1" cm="1">
        <f t="array" ref="J2148">SUMPRODUCT(("var_ncap"=[2]OUT_TransportEnergyCons!$B$4:$B$10000)*1,("-"=[2]OUT_TransportEnergyCons!$C$4:$C$10000)*1,ISNUMBER(SEARCH("T_C*hy*dsl*s2",[2]OUT_TransportEnergyCons!$A$4:$A$10000))*1,[2]OUT_TransportEnergyCons!H$4:H$10000)</f>
        <v>0</v>
      </c>
      <c r="K2148" s="1" cm="1">
        <f t="array" ref="K2148">SUMPRODUCT(("var_ncap"=[2]OUT_TransportEnergyCons!$B$4:$B$10000)*1,("-"=[2]OUT_TransportEnergyCons!$C$4:$C$10000)*1,ISNUMBER(SEARCH("T_C*hy*dsl*s2",[2]OUT_TransportEnergyCons!$A$4:$A$10000))*1,[2]OUT_TransportEnergyCons!I$4:I$10000)</f>
        <v>0</v>
      </c>
      <c r="L2148" s="1" cm="1">
        <f t="array" ref="L2148">SUMPRODUCT(("var_ncap"=[2]OUT_TransportEnergyCons!$B$4:$B$10000)*1,("-"=[2]OUT_TransportEnergyCons!$C$4:$C$10000)*1,ISNUMBER(SEARCH("T_C*hy*dsl*s2",[2]OUT_TransportEnergyCons!$A$4:$A$10000))*1,[2]OUT_TransportEnergyCons!J$4:J$10000)</f>
        <v>0</v>
      </c>
      <c r="N2148" s="1"/>
    </row>
    <row r="2149" spans="2:14" x14ac:dyDescent="0.35">
      <c r="B2149" s="5" t="str">
        <f t="shared" si="2106"/>
        <v>SPS1</v>
      </c>
      <c r="C2149" s="5" t="str">
        <f t="shared" si="2107"/>
        <v>CH</v>
      </c>
      <c r="D2149" t="s">
        <v>2278</v>
      </c>
      <c r="E2149" t="str">
        <f t="shared" si="2108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1.4735771177534071E-3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8.1817874405186908E-4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2.9439599741699999E-4</v>
      </c>
      <c r="J2149" s="1" cm="1">
        <f t="array" ref="J2149">SUMPRODUCT(("var_ncap"=[2]OUT_TransportEnergyCons!$B$4:$B$10000)*1,("-"=[2]OUT_TransportEnergyCons!$C$4:$C$10000)*1,ISNUMBER(SEARCH("T_C*hy*dsl*s3",[2]OUT_TransportEnergyCons!$A$4:$A$10000))*1,[2]OUT_TransportEnergyCons!H$4:H$10000)</f>
        <v>0</v>
      </c>
      <c r="K2149" s="1" cm="1">
        <f t="array" ref="K2149">SUMPRODUCT(("var_ncap"=[2]OUT_TransportEnergyCons!$B$4:$B$10000)*1,("-"=[2]OUT_TransportEnergyCons!$C$4:$C$10000)*1,ISNUMBER(SEARCH("T_C*hy*dsl*s3",[2]OUT_TransportEnergyCons!$A$4:$A$10000))*1,[2]OUT_TransportEnergyCons!I$4:I$10000)</f>
        <v>0</v>
      </c>
      <c r="L2149" s="1" cm="1">
        <f t="array" ref="L2149">SUMPRODUCT(("var_ncap"=[2]OUT_TransportEnergyCons!$B$4:$B$10000)*1,("-"=[2]OUT_TransportEnergyCons!$C$4:$C$10000)*1,ISNUMBER(SEARCH("T_C*hy*dsl*s3",[2]OUT_TransportEnergyCons!$A$4:$A$10000))*1,[2]OUT_TransportEnergyCons!J$4:J$10000)</f>
        <v>0</v>
      </c>
      <c r="N2149" s="1"/>
    </row>
    <row r="2150" spans="2:14" x14ac:dyDescent="0.35">
      <c r="B2150" s="5" t="str">
        <f t="shared" si="2106"/>
        <v>SPS1</v>
      </c>
      <c r="C2150" s="5" t="str">
        <f t="shared" si="2107"/>
        <v>CH</v>
      </c>
      <c r="D2150" t="s">
        <v>2279</v>
      </c>
      <c r="E2150" t="str">
        <f t="shared" si="2108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2.0988137842339579E-3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9.401725178008369E-4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3.0742562287498901E-4</v>
      </c>
      <c r="J2150" s="1" cm="1">
        <f t="array" ref="J2150">SUMPRODUCT(("var_ncap"=[2]OUT_TransportEnergyCons!$B$4:$B$10000)*1,("-"=[2]OUT_TransportEnergyCons!$C$4:$C$10000)*1,ISNUMBER(SEARCH("T_C*hy*dsl*s4",[2]OUT_TransportEnergyCons!$A$4:$A$10000))*1,[2]OUT_TransportEnergyCons!H$4:H$10000)</f>
        <v>0</v>
      </c>
      <c r="K2150" s="1" cm="1">
        <f t="array" ref="K2150">SUMPRODUCT(("var_ncap"=[2]OUT_TransportEnergyCons!$B$4:$B$10000)*1,("-"=[2]OUT_TransportEnergyCons!$C$4:$C$10000)*1,ISNUMBER(SEARCH("T_C*hy*dsl*s4",[2]OUT_TransportEnergyCons!$A$4:$A$10000))*1,[2]OUT_TransportEnergyCons!I$4:I$10000)</f>
        <v>0</v>
      </c>
      <c r="L2150" s="1" cm="1">
        <f t="array" ref="L2150">SUMPRODUCT(("var_ncap"=[2]OUT_TransportEnergyCons!$B$4:$B$10000)*1,("-"=[2]OUT_TransportEnergyCons!$C$4:$C$10000)*1,ISNUMBER(SEARCH("T_C*hy*dsl*s4",[2]OUT_TransportEnergyCons!$A$4:$A$10000))*1,[2]OUT_TransportEnergyCons!J$4:J$10000)</f>
        <v>0</v>
      </c>
      <c r="N2150" s="1"/>
    </row>
    <row r="2151" spans="2:14" x14ac:dyDescent="0.35">
      <c r="B2151" s="5" t="str">
        <f t="shared" si="2106"/>
        <v>SPS1</v>
      </c>
      <c r="C2151" s="5" t="str">
        <f t="shared" si="2107"/>
        <v>CH</v>
      </c>
      <c r="D2151" t="s">
        <v>2280</v>
      </c>
      <c r="E2151" t="str">
        <f t="shared" si="2108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SUMPRODUCT(("var_ncap"=[2]OUT_TransportEnergyCons!$B$4:$B$10000)*1,("-"=[2]OUT_TransportEnergyCons!$C$4:$C$10000)*1,ISNUMBER(SEARCH("T_C*ICE*dsl*ext",[2]OUT_TransportEnergyCons!$A$4:$A$10000))*1,[2]OUT_TransportEnergyCons!H$4:H$10000)</f>
        <v>0</v>
      </c>
      <c r="K2151" s="1" cm="1">
        <f t="array" ref="K2151">SUMPRODUCT(("var_ncap"=[2]OUT_TransportEnergyCons!$B$4:$B$10000)*1,("-"=[2]OUT_TransportEnergyCons!$C$4:$C$10000)*1,ISNUMBER(SEARCH("T_C*ICE*dsl*ext",[2]OUT_TransportEnergyCons!$A$4:$A$10000))*1,[2]OUT_TransportEnergyCons!I$4:I$10000)</f>
        <v>0</v>
      </c>
      <c r="L2151" s="1" cm="1">
        <f t="array" ref="L2151">SUMPRODUCT(("var_ncap"=[2]OUT_TransportEnergyCons!$B$4:$B$10000)*1,("-"=[2]OUT_TransportEnergyCons!$C$4:$C$10000)*1,ISNUMBER(SEARCH("T_C*ICE*dsl*ext",[2]OUT_TransportEnergyCons!$A$4:$A$10000))*1,[2]OUT_TransportEnergyCons!J$4:J$10000)</f>
        <v>0</v>
      </c>
      <c r="N2151" s="1"/>
    </row>
    <row r="2152" spans="2:14" x14ac:dyDescent="0.35">
      <c r="B2152" s="5" t="str">
        <f t="shared" si="2106"/>
        <v>SPS1</v>
      </c>
      <c r="C2152" s="5" t="str">
        <f t="shared" si="2107"/>
        <v>CH</v>
      </c>
      <c r="D2152" t="s">
        <v>2281</v>
      </c>
      <c r="E2152" t="str">
        <f t="shared" si="2108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1.3694529659707599E-3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9.0140500855202799E-4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3.1066826950986001E-4</v>
      </c>
      <c r="J2152" s="1" cm="1">
        <f t="array" ref="J2152">SUMPRODUCT(("var_ncap"=[2]OUT_TransportEnergyCons!$B$4:$B$10000)*1,("-"=[2]OUT_TransportEnergyCons!$C$4:$C$10000)*1,ISNUMBER(SEARCH("T_C*ICE*dsl*s1",[2]OUT_TransportEnergyCons!$A$4:$A$10000))*1,[2]OUT_TransportEnergyCons!H$4:H$10000)</f>
        <v>0</v>
      </c>
      <c r="K2152" s="1" cm="1">
        <f t="array" ref="K2152">SUMPRODUCT(("var_ncap"=[2]OUT_TransportEnergyCons!$B$4:$B$10000)*1,("-"=[2]OUT_TransportEnergyCons!$C$4:$C$10000)*1,ISNUMBER(SEARCH("T_C*ICE*dsl*s1",[2]OUT_TransportEnergyCons!$A$4:$A$10000))*1,[2]OUT_TransportEnergyCons!I$4:I$10000)</f>
        <v>0</v>
      </c>
      <c r="L2152" s="1" cm="1">
        <f t="array" ref="L2152">SUMPRODUCT(("var_ncap"=[2]OUT_TransportEnergyCons!$B$4:$B$10000)*1,("-"=[2]OUT_TransportEnergyCons!$C$4:$C$10000)*1,ISNUMBER(SEARCH("T_C*ICE*dsl*s1",[2]OUT_TransportEnergyCons!$A$4:$A$10000))*1,[2]OUT_TransportEnergyCons!J$4:J$10000)</f>
        <v>0</v>
      </c>
      <c r="N2152" s="1"/>
    </row>
    <row r="2153" spans="2:14" x14ac:dyDescent="0.35">
      <c r="B2153" s="5" t="str">
        <f t="shared" si="2106"/>
        <v>SPS1</v>
      </c>
      <c r="C2153" s="5" t="str">
        <f t="shared" si="2107"/>
        <v>CH</v>
      </c>
      <c r="D2153" t="s">
        <v>2282</v>
      </c>
      <c r="E2153" t="str">
        <f t="shared" si="2108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3.6309192882825401E-4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5.3598104140850503E-4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1.67925467339949E-4</v>
      </c>
      <c r="J2153" s="1" cm="1">
        <f t="array" ref="J2153">SUMPRODUCT(("var_ncap"=[2]OUT_TransportEnergyCons!$B$4:$B$10000)*1,("-"=[2]OUT_TransportEnergyCons!$C$4:$C$10000)*1,ISNUMBER(SEARCH("T_C*ICE*dsl*s2",[2]OUT_TransportEnergyCons!$A$4:$A$10000))*1,[2]OUT_TransportEnergyCons!H$4:H$10000)</f>
        <v>0</v>
      </c>
      <c r="K2153" s="1" cm="1">
        <f t="array" ref="K2153">SUMPRODUCT(("var_ncap"=[2]OUT_TransportEnergyCons!$B$4:$B$10000)*1,("-"=[2]OUT_TransportEnergyCons!$C$4:$C$10000)*1,ISNUMBER(SEARCH("T_C*ICE*dsl*s2",[2]OUT_TransportEnergyCons!$A$4:$A$10000))*1,[2]OUT_TransportEnergyCons!I$4:I$10000)</f>
        <v>0</v>
      </c>
      <c r="L2153" s="1" cm="1">
        <f t="array" ref="L2153">SUMPRODUCT(("var_ncap"=[2]OUT_TransportEnergyCons!$B$4:$B$10000)*1,("-"=[2]OUT_TransportEnergyCons!$C$4:$C$10000)*1,ISNUMBER(SEARCH("T_C*ICE*dsl*s2",[2]OUT_TransportEnergyCons!$A$4:$A$10000))*1,[2]OUT_TransportEnergyCons!J$4:J$10000)</f>
        <v>0</v>
      </c>
      <c r="N2153" s="1"/>
    </row>
    <row r="2154" spans="2:14" x14ac:dyDescent="0.35">
      <c r="B2154" s="5" t="str">
        <f t="shared" si="2106"/>
        <v>SPS1</v>
      </c>
      <c r="C2154" s="5" t="str">
        <f t="shared" si="2107"/>
        <v>CH</v>
      </c>
      <c r="D2154" t="s">
        <v>2283</v>
      </c>
      <c r="E2154" t="str">
        <f t="shared" si="2108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3.25554122058093E-4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3.7565867712577799E-4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1.33004575545041E-4</v>
      </c>
      <c r="J2154" s="1" cm="1">
        <f t="array" ref="J2154">SUMPRODUCT(("var_ncap"=[2]OUT_TransportEnergyCons!$B$4:$B$10000)*1,("-"=[2]OUT_TransportEnergyCons!$C$4:$C$10000)*1,ISNUMBER(SEARCH("T_C*ICE*dsl*s3",[2]OUT_TransportEnergyCons!$A$4:$A$10000))*1,[2]OUT_TransportEnergyCons!H$4:H$10000)</f>
        <v>0</v>
      </c>
      <c r="K2154" s="1" cm="1">
        <f t="array" ref="K2154">SUMPRODUCT(("var_ncap"=[2]OUT_TransportEnergyCons!$B$4:$B$10000)*1,("-"=[2]OUT_TransportEnergyCons!$C$4:$C$10000)*1,ISNUMBER(SEARCH("T_C*ICE*dsl*s3",[2]OUT_TransportEnergyCons!$A$4:$A$10000))*1,[2]OUT_TransportEnergyCons!I$4:I$10000)</f>
        <v>0</v>
      </c>
      <c r="L2154" s="1" cm="1">
        <f t="array" ref="L2154">SUMPRODUCT(("var_ncap"=[2]OUT_TransportEnergyCons!$B$4:$B$10000)*1,("-"=[2]OUT_TransportEnergyCons!$C$4:$C$10000)*1,ISNUMBER(SEARCH("T_C*ICE*dsl*s3",[2]OUT_TransportEnergyCons!$A$4:$A$10000))*1,[2]OUT_TransportEnergyCons!J$4:J$10000)</f>
        <v>0</v>
      </c>
      <c r="N2154" s="1"/>
    </row>
    <row r="2155" spans="2:14" x14ac:dyDescent="0.35">
      <c r="B2155" s="5" t="str">
        <f t="shared" si="2106"/>
        <v>SPS1</v>
      </c>
      <c r="C2155" s="5" t="str">
        <f t="shared" si="2107"/>
        <v>CH</v>
      </c>
      <c r="D2155" t="s">
        <v>2284</v>
      </c>
      <c r="E2155" t="str">
        <f t="shared" si="2108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1.4318397899596501E-4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2.23456444346219E-4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1.21360931307686E-4</v>
      </c>
      <c r="J2155" s="1" cm="1">
        <f t="array" ref="J2155">SUMPRODUCT(("var_ncap"=[2]OUT_TransportEnergyCons!$B$4:$B$10000)*1,("-"=[2]OUT_TransportEnergyCons!$C$4:$C$10000)*1,ISNUMBER(SEARCH("T_C*ICE*dsl*s4",[2]OUT_TransportEnergyCons!$A$4:$A$10000))*1,[2]OUT_TransportEnergyCons!H$4:H$10000)</f>
        <v>0</v>
      </c>
      <c r="K2155" s="1" cm="1">
        <f t="array" ref="K2155">SUMPRODUCT(("var_ncap"=[2]OUT_TransportEnergyCons!$B$4:$B$10000)*1,("-"=[2]OUT_TransportEnergyCons!$C$4:$C$10000)*1,ISNUMBER(SEARCH("T_C*ICE*dsl*s4",[2]OUT_TransportEnergyCons!$A$4:$A$10000))*1,[2]OUT_TransportEnergyCons!I$4:I$10000)</f>
        <v>0</v>
      </c>
      <c r="L2155" s="1" cm="1">
        <f t="array" ref="L2155">SUMPRODUCT(("var_ncap"=[2]OUT_TransportEnergyCons!$B$4:$B$10000)*1,("-"=[2]OUT_TransportEnergyCons!$C$4:$C$10000)*1,ISNUMBER(SEARCH("T_C*ICE*dsl*s4",[2]OUT_TransportEnergyCons!$A$4:$A$10000))*1,[2]OUT_TransportEnergyCons!J$4:J$10000)</f>
        <v>0</v>
      </c>
      <c r="N2155" s="1"/>
    </row>
    <row r="2156" spans="2:14" x14ac:dyDescent="0.35">
      <c r="B2156" s="5" t="str">
        <f t="shared" si="2106"/>
        <v>SPS1</v>
      </c>
      <c r="C2156" s="5" t="str">
        <f t="shared" si="2107"/>
        <v>CH</v>
      </c>
      <c r="D2156" t="s">
        <v>2285</v>
      </c>
      <c r="E2156" t="str">
        <f t="shared" si="2108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2.8117851035941303E-4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3.9614217116034403E-4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3.5707814689522199E-4</v>
      </c>
      <c r="J2156" s="1" cm="1">
        <f t="array" ref="J2156">SUMPRODUCT(("var_ncap"=[2]OUT_TransportEnergyCons!$B$4:$B$10000)*1,("-"=[2]OUT_TransportEnergyCons!$C$4:$C$10000)*1,ISNUMBER(SEARCH("T_C*mhy*dsl*s1",[2]OUT_TransportEnergyCons!$A$4:$A$10000))*1,[2]OUT_TransportEnergyCons!H$4:H$10000)</f>
        <v>0</v>
      </c>
      <c r="K2156" s="1" cm="1">
        <f t="array" ref="K2156">SUMPRODUCT(("var_ncap"=[2]OUT_TransportEnergyCons!$B$4:$B$10000)*1,("-"=[2]OUT_TransportEnergyCons!$C$4:$C$10000)*1,ISNUMBER(SEARCH("T_C*mhy*dsl*s1",[2]OUT_TransportEnergyCons!$A$4:$A$10000))*1,[2]OUT_TransportEnergyCons!I$4:I$10000)</f>
        <v>0</v>
      </c>
      <c r="L2156" s="1" cm="1">
        <f t="array" ref="L2156">SUMPRODUCT(("var_ncap"=[2]OUT_TransportEnergyCons!$B$4:$B$10000)*1,("-"=[2]OUT_TransportEnergyCons!$C$4:$C$10000)*1,ISNUMBER(SEARCH("T_C*mhy*dsl*s1",[2]OUT_TransportEnergyCons!$A$4:$A$10000))*1,[2]OUT_TransportEnergyCons!J$4:J$10000)</f>
        <v>0</v>
      </c>
      <c r="N2156" s="1"/>
    </row>
    <row r="2157" spans="2:14" x14ac:dyDescent="0.35">
      <c r="B2157" s="5" t="str">
        <f t="shared" si="2106"/>
        <v>SPS1</v>
      </c>
      <c r="C2157" s="5" t="str">
        <f t="shared" si="2107"/>
        <v>CH</v>
      </c>
      <c r="D2157" t="s">
        <v>2286</v>
      </c>
      <c r="E2157" t="str">
        <f t="shared" si="2108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1.49505281852152E-4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2.82748697735677E-4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1.9282859071547201E-4</v>
      </c>
      <c r="J2157" s="1" cm="1">
        <f t="array" ref="J2157">SUMPRODUCT(("var_ncap"=[2]OUT_TransportEnergyCons!$B$4:$B$10000)*1,("-"=[2]OUT_TransportEnergyCons!$C$4:$C$10000)*1,ISNUMBER(SEARCH("T_C*mhy*dsl*s2",[2]OUT_TransportEnergyCons!$A$4:$A$10000))*1,[2]OUT_TransportEnergyCons!H$4:H$10000)</f>
        <v>0</v>
      </c>
      <c r="K2157" s="1" cm="1">
        <f t="array" ref="K2157">SUMPRODUCT(("var_ncap"=[2]OUT_TransportEnergyCons!$B$4:$B$10000)*1,("-"=[2]OUT_TransportEnergyCons!$C$4:$C$10000)*1,ISNUMBER(SEARCH("T_C*mhy*dsl*s2",[2]OUT_TransportEnergyCons!$A$4:$A$10000))*1,[2]OUT_TransportEnergyCons!I$4:I$10000)</f>
        <v>0</v>
      </c>
      <c r="L2157" s="1" cm="1">
        <f t="array" ref="L2157">SUMPRODUCT(("var_ncap"=[2]OUT_TransportEnergyCons!$B$4:$B$10000)*1,("-"=[2]OUT_TransportEnergyCons!$C$4:$C$10000)*1,ISNUMBER(SEARCH("T_C*mhy*dsl*s2",[2]OUT_TransportEnergyCons!$A$4:$A$10000))*1,[2]OUT_TransportEnergyCons!J$4:J$10000)</f>
        <v>0</v>
      </c>
      <c r="N2157" s="1"/>
    </row>
    <row r="2158" spans="2:14" x14ac:dyDescent="0.35">
      <c r="B2158" s="5" t="str">
        <f t="shared" si="2106"/>
        <v>SPS1</v>
      </c>
      <c r="C2158" s="5" t="str">
        <f t="shared" si="2107"/>
        <v>CH</v>
      </c>
      <c r="D2158" t="s">
        <v>2287</v>
      </c>
      <c r="E2158" t="str">
        <f t="shared" si="2108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1.5651154429672701E-4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2.4726582929399202E-4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1.5233443295633599E-4</v>
      </c>
      <c r="J2158" s="1" cm="1">
        <f t="array" ref="J2158">SUMPRODUCT(("var_ncap"=[2]OUT_TransportEnergyCons!$B$4:$B$10000)*1,("-"=[2]OUT_TransportEnergyCons!$C$4:$C$10000)*1,ISNUMBER(SEARCH("T_C*mhy*dsl*s3",[2]OUT_TransportEnergyCons!$A$4:$A$10000))*1,[2]OUT_TransportEnergyCons!H$4:H$10000)</f>
        <v>0</v>
      </c>
      <c r="K2158" s="1" cm="1">
        <f t="array" ref="K2158">SUMPRODUCT(("var_ncap"=[2]OUT_TransportEnergyCons!$B$4:$B$10000)*1,("-"=[2]OUT_TransportEnergyCons!$C$4:$C$10000)*1,ISNUMBER(SEARCH("T_C*mhy*dsl*s3",[2]OUT_TransportEnergyCons!$A$4:$A$10000))*1,[2]OUT_TransportEnergyCons!I$4:I$10000)</f>
        <v>0</v>
      </c>
      <c r="L2158" s="1" cm="1">
        <f t="array" ref="L2158">SUMPRODUCT(("var_ncap"=[2]OUT_TransportEnergyCons!$B$4:$B$10000)*1,("-"=[2]OUT_TransportEnergyCons!$C$4:$C$10000)*1,ISNUMBER(SEARCH("T_C*mhy*dsl*s3",[2]OUT_TransportEnergyCons!$A$4:$A$10000))*1,[2]OUT_TransportEnergyCons!J$4:J$10000)</f>
        <v>0</v>
      </c>
      <c r="N2158" s="1"/>
    </row>
    <row r="2159" spans="2:14" x14ac:dyDescent="0.35">
      <c r="B2159" s="5" t="str">
        <f t="shared" si="2106"/>
        <v>SPS1</v>
      </c>
      <c r="C2159" s="5" t="str">
        <f t="shared" si="2107"/>
        <v>CH</v>
      </c>
      <c r="D2159" t="s">
        <v>2288</v>
      </c>
      <c r="E2159" t="str">
        <f t="shared" si="2108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1.3500130498491801E-4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2.0120875051613099E-4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1.34880904344834E-4</v>
      </c>
      <c r="J2159" s="1" cm="1">
        <f t="array" ref="J2159">SUMPRODUCT(("var_ncap"=[2]OUT_TransportEnergyCons!$B$4:$B$10000)*1,("-"=[2]OUT_TransportEnergyCons!$C$4:$C$10000)*1,ISNUMBER(SEARCH("T_C*mhy*dsl*s4",[2]OUT_TransportEnergyCons!$A$4:$A$10000))*1,[2]OUT_TransportEnergyCons!H$4:H$10000)</f>
        <v>0</v>
      </c>
      <c r="K2159" s="1" cm="1">
        <f t="array" ref="K2159">SUMPRODUCT(("var_ncap"=[2]OUT_TransportEnergyCons!$B$4:$B$10000)*1,("-"=[2]OUT_TransportEnergyCons!$C$4:$C$10000)*1,ISNUMBER(SEARCH("T_C*mhy*dsl*s4",[2]OUT_TransportEnergyCons!$A$4:$A$10000))*1,[2]OUT_TransportEnergyCons!I$4:I$10000)</f>
        <v>0</v>
      </c>
      <c r="L2159" s="1" cm="1">
        <f t="array" ref="L2159">SUMPRODUCT(("var_ncap"=[2]OUT_TransportEnergyCons!$B$4:$B$10000)*1,("-"=[2]OUT_TransportEnergyCons!$C$4:$C$10000)*1,ISNUMBER(SEARCH("T_C*mhy*dsl*s4",[2]OUT_TransportEnergyCons!$A$4:$A$10000))*1,[2]OUT_TransportEnergyCons!J$4:J$10000)</f>
        <v>0</v>
      </c>
      <c r="N2159" s="1"/>
    </row>
    <row r="2160" spans="2:14" x14ac:dyDescent="0.35">
      <c r="B2160" s="5" t="str">
        <f t="shared" si="2106"/>
        <v>SPS1</v>
      </c>
      <c r="C2160" s="5" t="str">
        <f t="shared" si="2107"/>
        <v>CH</v>
      </c>
      <c r="D2160" t="s">
        <v>2289</v>
      </c>
      <c r="E2160" t="str">
        <f t="shared" si="2108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SUMPRODUCT(("var_ncap"=[2]OUT_TransportEnergyCons!$B$4:$B$10000)*1,("-"=[2]OUT_TransportEnergyCons!$C$4:$C$10000)*1,ISNUMBER(SEARCH("T_C*ICE*nga*ext",[2]OUT_TransportEnergyCons!$A$4:$A$10000))*1,[2]OUT_TransportEnergyCons!H$4:H$10000)</f>
        <v>0</v>
      </c>
      <c r="K2160" s="1" cm="1">
        <f t="array" ref="K2160">SUMPRODUCT(("var_ncap"=[2]OUT_TransportEnergyCons!$B$4:$B$10000)*1,("-"=[2]OUT_TransportEnergyCons!$C$4:$C$10000)*1,ISNUMBER(SEARCH("T_C*ICE*nga*ext",[2]OUT_TransportEnergyCons!$A$4:$A$10000))*1,[2]OUT_TransportEnergyCons!I$4:I$10000)</f>
        <v>0</v>
      </c>
      <c r="L2160" s="1" cm="1">
        <f t="array" ref="L2160">SUMPRODUCT(("var_ncap"=[2]OUT_TransportEnergyCons!$B$4:$B$10000)*1,("-"=[2]OUT_TransportEnergyCons!$C$4:$C$10000)*1,ISNUMBER(SEARCH("T_C*ICE*nga*ext",[2]OUT_TransportEnergyCons!$A$4:$A$10000))*1,[2]OUT_TransportEnergyCons!J$4:J$10000)</f>
        <v>0</v>
      </c>
      <c r="N2160" s="1"/>
    </row>
    <row r="2161" spans="2:14" x14ac:dyDescent="0.35">
      <c r="B2161" s="5" t="str">
        <f t="shared" si="2106"/>
        <v>SPS1</v>
      </c>
      <c r="C2161" s="5" t="str">
        <f t="shared" si="2107"/>
        <v>CH</v>
      </c>
      <c r="D2161" t="s">
        <v>2290</v>
      </c>
      <c r="E2161" t="str">
        <f t="shared" si="2108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4.5266687483208297E-5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5.1571661629886503E-5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3.7893429035077198E-5</v>
      </c>
      <c r="J2161" s="1" cm="1">
        <f t="array" ref="J2161">SUMPRODUCT(("var_ncap"=[2]OUT_TransportEnergyCons!$B$4:$B$10000)*1,("-"=[2]OUT_TransportEnergyCons!$C$4:$C$10000)*1,ISNUMBER(SEARCH("T_C*ICE*nga*s1",[2]OUT_TransportEnergyCons!$A$4:$A$10000))*1,[2]OUT_TransportEnergyCons!H$4:H$10000)</f>
        <v>0</v>
      </c>
      <c r="K2161" s="1" cm="1">
        <f t="array" ref="K2161">SUMPRODUCT(("var_ncap"=[2]OUT_TransportEnergyCons!$B$4:$B$10000)*1,("-"=[2]OUT_TransportEnergyCons!$C$4:$C$10000)*1,ISNUMBER(SEARCH("T_C*ICE*nga*s1",[2]OUT_TransportEnergyCons!$A$4:$A$10000))*1,[2]OUT_TransportEnergyCons!I$4:I$10000)</f>
        <v>0</v>
      </c>
      <c r="L2161" s="1" cm="1">
        <f t="array" ref="L2161">SUMPRODUCT(("var_ncap"=[2]OUT_TransportEnergyCons!$B$4:$B$10000)*1,("-"=[2]OUT_TransportEnergyCons!$C$4:$C$10000)*1,ISNUMBER(SEARCH("T_C*ICE*nga*s1",[2]OUT_TransportEnergyCons!$A$4:$A$10000))*1,[2]OUT_TransportEnergyCons!J$4:J$10000)</f>
        <v>0</v>
      </c>
      <c r="N2161" s="1"/>
    </row>
    <row r="2162" spans="2:14" x14ac:dyDescent="0.35">
      <c r="B2162" s="5" t="str">
        <f t="shared" si="2106"/>
        <v>SPS1</v>
      </c>
      <c r="C2162" s="5" t="str">
        <f t="shared" si="2107"/>
        <v>CH</v>
      </c>
      <c r="D2162" t="s">
        <v>2291</v>
      </c>
      <c r="E2162" t="str">
        <f t="shared" si="2108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3.4153313293212902E-5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5.2802614511805299E-5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3.4823162589783002E-5</v>
      </c>
      <c r="J2162" s="1" cm="1">
        <f t="array" ref="J2162">SUMPRODUCT(("var_ncap"=[2]OUT_TransportEnergyCons!$B$4:$B$10000)*1,("-"=[2]OUT_TransportEnergyCons!$C$4:$C$10000)*1,ISNUMBER(SEARCH("T_C*ICE*nga*s2",[2]OUT_TransportEnergyCons!$A$4:$A$10000))*1,[2]OUT_TransportEnergyCons!H$4:H$10000)</f>
        <v>0</v>
      </c>
      <c r="K2162" s="1" cm="1">
        <f t="array" ref="K2162">SUMPRODUCT(("var_ncap"=[2]OUT_TransportEnergyCons!$B$4:$B$10000)*1,("-"=[2]OUT_TransportEnergyCons!$C$4:$C$10000)*1,ISNUMBER(SEARCH("T_C*ICE*nga*s2",[2]OUT_TransportEnergyCons!$A$4:$A$10000))*1,[2]OUT_TransportEnergyCons!I$4:I$10000)</f>
        <v>0</v>
      </c>
      <c r="L2162" s="1" cm="1">
        <f t="array" ref="L2162">SUMPRODUCT(("var_ncap"=[2]OUT_TransportEnergyCons!$B$4:$B$10000)*1,("-"=[2]OUT_TransportEnergyCons!$C$4:$C$10000)*1,ISNUMBER(SEARCH("T_C*ICE*nga*s2",[2]OUT_TransportEnergyCons!$A$4:$A$10000))*1,[2]OUT_TransportEnergyCons!J$4:J$10000)</f>
        <v>0</v>
      </c>
      <c r="N2162" s="1"/>
    </row>
    <row r="2163" spans="2:14" x14ac:dyDescent="0.35">
      <c r="B2163" s="5" t="str">
        <f t="shared" si="2106"/>
        <v>SPS1</v>
      </c>
      <c r="C2163" s="5" t="str">
        <f t="shared" si="2107"/>
        <v>CH</v>
      </c>
      <c r="D2163" t="s">
        <v>2292</v>
      </c>
      <c r="E2163" t="str">
        <f t="shared" si="2108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4.2165185010571899E-5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6.1600997243597399E-5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3.5210872990832798E-5</v>
      </c>
      <c r="J2163" s="1" cm="1">
        <f t="array" ref="J2163">SUMPRODUCT(("var_ncap"=[2]OUT_TransportEnergyCons!$B$4:$B$10000)*1,("-"=[2]OUT_TransportEnergyCons!$C$4:$C$10000)*1,ISNUMBER(SEARCH("T_C*ICE*nga*s3",[2]OUT_TransportEnergyCons!$A$4:$A$10000))*1,[2]OUT_TransportEnergyCons!H$4:H$10000)</f>
        <v>0</v>
      </c>
      <c r="K2163" s="1" cm="1">
        <f t="array" ref="K2163">SUMPRODUCT(("var_ncap"=[2]OUT_TransportEnergyCons!$B$4:$B$10000)*1,("-"=[2]OUT_TransportEnergyCons!$C$4:$C$10000)*1,ISNUMBER(SEARCH("T_C*ICE*nga*s3",[2]OUT_TransportEnergyCons!$A$4:$A$10000))*1,[2]OUT_TransportEnergyCons!I$4:I$10000)</f>
        <v>0</v>
      </c>
      <c r="L2163" s="1" cm="1">
        <f t="array" ref="L2163">SUMPRODUCT(("var_ncap"=[2]OUT_TransportEnergyCons!$B$4:$B$10000)*1,("-"=[2]OUT_TransportEnergyCons!$C$4:$C$10000)*1,ISNUMBER(SEARCH("T_C*ICE*nga*s3",[2]OUT_TransportEnergyCons!$A$4:$A$10000))*1,[2]OUT_TransportEnergyCons!J$4:J$10000)</f>
        <v>0</v>
      </c>
      <c r="N2163" s="1"/>
    </row>
    <row r="2164" spans="2:14" x14ac:dyDescent="0.35">
      <c r="B2164" s="5" t="str">
        <f t="shared" si="2106"/>
        <v>SPS1</v>
      </c>
      <c r="C2164" s="5" t="str">
        <f t="shared" si="2107"/>
        <v>CH</v>
      </c>
      <c r="D2164" t="s">
        <v>2293</v>
      </c>
      <c r="E2164" t="str">
        <f t="shared" si="2108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4.3208942843573597E-5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6.3537765715635102E-5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3.8038243543099198E-5</v>
      </c>
      <c r="J2164" s="1" cm="1">
        <f t="array" ref="J2164">SUMPRODUCT(("var_ncap"=[2]OUT_TransportEnergyCons!$B$4:$B$10000)*1,("-"=[2]OUT_TransportEnergyCons!$C$4:$C$10000)*1,ISNUMBER(SEARCH("T_C*ICE*nga*s4",[2]OUT_TransportEnergyCons!$A$4:$A$10000))*1,[2]OUT_TransportEnergyCons!H$4:H$10000)</f>
        <v>0</v>
      </c>
      <c r="K2164" s="1" cm="1">
        <f t="array" ref="K2164">SUMPRODUCT(("var_ncap"=[2]OUT_TransportEnergyCons!$B$4:$B$10000)*1,("-"=[2]OUT_TransportEnergyCons!$C$4:$C$10000)*1,ISNUMBER(SEARCH("T_C*ICE*nga*s4",[2]OUT_TransportEnergyCons!$A$4:$A$10000))*1,[2]OUT_TransportEnergyCons!I$4:I$10000)</f>
        <v>0</v>
      </c>
      <c r="L2164" s="1" cm="1">
        <f t="array" ref="L2164">SUMPRODUCT(("var_ncap"=[2]OUT_TransportEnergyCons!$B$4:$B$10000)*1,("-"=[2]OUT_TransportEnergyCons!$C$4:$C$10000)*1,ISNUMBER(SEARCH("T_C*ICE*nga*s4",[2]OUT_TransportEnergyCons!$A$4:$A$10000))*1,[2]OUT_TransportEnergyCons!J$4:J$10000)</f>
        <v>0</v>
      </c>
      <c r="N2164" s="1"/>
    </row>
    <row r="2165" spans="2:14" x14ac:dyDescent="0.35">
      <c r="B2165" s="5" t="str">
        <f>SPS2_NUC_Low!B1953</f>
        <v>SPS1</v>
      </c>
      <c r="C2165" s="5" t="str">
        <f>SPS2_NUC_Low!C1953</f>
        <v>CH</v>
      </c>
      <c r="D2165" s="2" t="s">
        <v>2294</v>
      </c>
      <c r="E2165" s="2" t="s">
        <v>1999</v>
      </c>
      <c r="F2165" s="3">
        <f t="shared" ref="F2165:K2165" si="2109">SUM(F2166:F2188)</f>
        <v>0</v>
      </c>
      <c r="G2165" s="3">
        <f t="shared" si="2109"/>
        <v>0.77820483549751673</v>
      </c>
      <c r="H2165" s="3">
        <f t="shared" si="2109"/>
        <v>1.5119622423368613</v>
      </c>
      <c r="I2165" s="3">
        <f t="shared" si="2109"/>
        <v>6.4172506886584566</v>
      </c>
      <c r="J2165" s="3">
        <f t="shared" si="2109"/>
        <v>4.165857670212807</v>
      </c>
      <c r="K2165" s="3">
        <f t="shared" si="2109"/>
        <v>3.0797063449094204</v>
      </c>
      <c r="L2165" s="3">
        <f t="shared" ref="L2165" si="2110">SUM(L2166:L2188)</f>
        <v>6.0174165557145898</v>
      </c>
      <c r="N2165" s="1"/>
    </row>
    <row r="2166" spans="2:14" x14ac:dyDescent="0.35">
      <c r="B2166" s="5" t="str">
        <f t="shared" ref="B2166:B2197" si="2111">B2165</f>
        <v>SPS1</v>
      </c>
      <c r="C2166" s="5" t="str">
        <f t="shared" ref="C2166:C2197" si="2112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(SUMPRODUCT(("var_ncap"=[2]OUT_TransportEnergyCons!$B$4:$B$10000)*1,ISNUMBER(SEARCH("T_B_u*bev*ext",[2]OUT_TransportEnergyCons!$A$4:$A$10000))*1,[2]OUT_TransportEnergyCons!H$4:H$10000))*1000</f>
        <v>0</v>
      </c>
      <c r="K2166" s="1" cm="1">
        <f t="array" ref="K2166">(SUMPRODUCT(("var_ncap"=[2]OUT_TransportEnergyCons!$B$4:$B$10000)*1,ISNUMBER(SEARCH("T_B_u*bev*ext",[2]OUT_TransportEnergyCons!$A$4:$A$10000))*1,[2]OUT_TransportEnergyCons!I$4:I$10000))*1000</f>
        <v>0</v>
      </c>
      <c r="L2166" s="1" cm="1">
        <f t="array" ref="L2166">(SUMPRODUCT(("var_ncap"=[2]OUT_TransportEnergyCons!$B$4:$B$10000)*1,ISNUMBER(SEARCH("T_B_u*bev*ext",[2]OUT_TransportEnergyCons!$A$4:$A$10000))*1,[2]OUT_TransportEnergyCons!J$4:J$10000))*1000</f>
        <v>0</v>
      </c>
      <c r="N2166" s="1"/>
    </row>
    <row r="2167" spans="2:14" x14ac:dyDescent="0.35">
      <c r="B2167" s="5" t="str">
        <f t="shared" si="2111"/>
        <v>SPS1</v>
      </c>
      <c r="C2167" s="5" t="str">
        <f t="shared" si="2112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0.24607180248566202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0.11511042041621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1.9691755137007998</v>
      </c>
      <c r="J2167" s="1" cm="1">
        <f t="array" ref="J2167">(SUMPRODUCT(("var_ncap"=[2]OUT_TransportEnergyCons!$B$4:$B$10000)*1,ISNUMBER(SEARCH("T_B_u*bev*s1",[2]OUT_TransportEnergyCons!$A$4:$A$10000))*1,[2]OUT_TransportEnergyCons!H$4:H$10000))*1000</f>
        <v>2.6410858901470098</v>
      </c>
      <c r="K2167" s="1" cm="1">
        <f t="array" ref="K2167">(SUMPRODUCT(("var_ncap"=[2]OUT_TransportEnergyCons!$B$4:$B$10000)*1,ISNUMBER(SEARCH("T_B_u*bev*s1",[2]OUT_TransportEnergyCons!$A$4:$A$10000))*1,[2]OUT_TransportEnergyCons!I$4:I$10000))*1000</f>
        <v>0.23544320192829002</v>
      </c>
      <c r="L2167" s="1" cm="1">
        <f t="array" ref="L2167">(SUMPRODUCT(("var_ncap"=[2]OUT_TransportEnergyCons!$B$4:$B$10000)*1,ISNUMBER(SEARCH("T_B_u*bev*s1",[2]OUT_TransportEnergyCons!$A$4:$A$10000))*1,[2]OUT_TransportEnergyCons!J$4:J$10000))*1000</f>
        <v>2.4585773033409901</v>
      </c>
      <c r="N2167" s="1"/>
    </row>
    <row r="2168" spans="2:14" x14ac:dyDescent="0.35">
      <c r="B2168" s="5" t="str">
        <f t="shared" si="2111"/>
        <v>SPS1</v>
      </c>
      <c r="C2168" s="5" t="str">
        <f t="shared" si="2112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3.4747571775905199E-2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9.3141580760296494E-2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0.65009304938274703</v>
      </c>
      <c r="J2168" s="1" cm="1">
        <f t="array" ref="J2168">(SUMPRODUCT(("var_ncap"=[2]OUT_TransportEnergyCons!$B$4:$B$10000)*1,ISNUMBER(SEARCH("T_B_u*bev*s2",[2]OUT_TransportEnergyCons!$A$4:$A$10000))*1,[2]OUT_TransportEnergyCons!H$4:H$10000))*1000</f>
        <v>0.70381866398168191</v>
      </c>
      <c r="K2168" s="1" cm="1">
        <f t="array" ref="K2168">(SUMPRODUCT(("var_ncap"=[2]OUT_TransportEnergyCons!$B$4:$B$10000)*1,ISNUMBER(SEARCH("T_B_u*bev*s2",[2]OUT_TransportEnergyCons!$A$4:$A$10000))*1,[2]OUT_TransportEnergyCons!I$4:I$10000))*1000</f>
        <v>0.108886854196297</v>
      </c>
      <c r="L2168" s="1" cm="1">
        <f t="array" ref="L2168">(SUMPRODUCT(("var_ncap"=[2]OUT_TransportEnergyCons!$B$4:$B$10000)*1,ISNUMBER(SEARCH("T_B_u*bev*s2",[2]OUT_TransportEnergyCons!$A$4:$A$10000))*1,[2]OUT_TransportEnergyCons!J$4:J$10000))*1000</f>
        <v>0.69232176679364799</v>
      </c>
      <c r="N2168" s="1"/>
    </row>
    <row r="2169" spans="2:14" x14ac:dyDescent="0.35">
      <c r="B2169" s="5" t="str">
        <f t="shared" si="2111"/>
        <v>SPS1</v>
      </c>
      <c r="C2169" s="5" t="str">
        <f t="shared" si="2112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2.6714238129570401E-2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6.6774502231749203E-2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3.4286798465123902</v>
      </c>
      <c r="J2169" s="1" cm="1">
        <f t="array" ref="J2169">(SUMPRODUCT(("var_ncap"=[2]OUT_TransportEnergyCons!$B$4:$B$10000)*1,ISNUMBER(SEARCH("T_B_u*bev*s3",[2]OUT_TransportEnergyCons!$A$4:$A$10000))*1,[2]OUT_TransportEnergyCons!H$4:H$10000))*1000</f>
        <v>0.82029658228401392</v>
      </c>
      <c r="K2169" s="1" cm="1">
        <f t="array" ref="K2169">(SUMPRODUCT(("var_ncap"=[2]OUT_TransportEnergyCons!$B$4:$B$10000)*1,ISNUMBER(SEARCH("T_B_u*bev*s3",[2]OUT_TransportEnergyCons!$A$4:$A$10000))*1,[2]OUT_TransportEnergyCons!I$4:I$10000))*1000</f>
        <v>2.73504382838333</v>
      </c>
      <c r="L2169" s="1" cm="1">
        <f t="array" ref="L2169">(SUMPRODUCT(("var_ncap"=[2]OUT_TransportEnergyCons!$B$4:$B$10000)*1,ISNUMBER(SEARCH("T_B_u*bev*s3",[2]OUT_TransportEnergyCons!$A$4:$A$10000))*1,[2]OUT_TransportEnergyCons!J$4:J$10000))*1000</f>
        <v>2.8663725549068597</v>
      </c>
      <c r="N2169" s="1"/>
    </row>
    <row r="2170" spans="2:14" x14ac:dyDescent="0.35">
      <c r="B2170" s="5" t="str">
        <f t="shared" si="2111"/>
        <v>SPS1</v>
      </c>
      <c r="C2170" s="5" t="str">
        <f t="shared" si="2112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6.0750574826761196E-3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7.0437925116413006E-3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0.367363112513927</v>
      </c>
      <c r="J2170" s="1" cm="1">
        <f t="array" ref="J2170">(SUMPRODUCT(("var_ncap"=[2]OUT_TransportEnergyCons!$B$4:$B$10000)*1,ISNUMBER(SEARCH("T_B_u*bev*s4",[2]OUT_TransportEnergyCons!$A$4:$A$10000))*1,[2]OUT_TransportEnergyCons!H$4:H$10000))*1000</f>
        <v>5.4010695760987296E-4</v>
      </c>
      <c r="K2170" s="1" cm="1">
        <f t="array" ref="K2170">(SUMPRODUCT(("var_ncap"=[2]OUT_TransportEnergyCons!$B$4:$B$10000)*1,ISNUMBER(SEARCH("T_B_u*bev*s4",[2]OUT_TransportEnergyCons!$A$4:$A$10000))*1,[2]OUT_TransportEnergyCons!I$4:I$10000))*1000</f>
        <v>3.1018902352376702E-4</v>
      </c>
      <c r="L2170" s="1" cm="1">
        <f t="array" ref="L2170">(SUMPRODUCT(("var_ncap"=[2]OUT_TransportEnergyCons!$B$4:$B$10000)*1,ISNUMBER(SEARCH("T_B_u*bev*s4",[2]OUT_TransportEnergyCons!$A$4:$A$10000))*1,[2]OUT_TransportEnergyCons!J$4:J$10000))*1000</f>
        <v>1.32891748186826E-4</v>
      </c>
      <c r="N2170" s="1"/>
    </row>
    <row r="2171" spans="2:14" x14ac:dyDescent="0.35">
      <c r="B2171" s="5" t="str">
        <f t="shared" si="2111"/>
        <v>SPS1</v>
      </c>
      <c r="C2171" s="5" t="str">
        <f t="shared" si="2112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5.3291842188817105E-4</v>
      </c>
      <c r="J2171" s="1" cm="1">
        <f t="array" ref="J2171">(SUMPRODUCT(("var_ncap"=[2]OUT_TransportEnergyCons!$B$4:$B$10000)*1,ISNUMBER(SEARCH("T_B_u*h2o*s1",[2]OUT_TransportEnergyCons!$A$4:$A$10000))*1,[2]OUT_TransportEnergyCons!H$4:H$10000))*1000</f>
        <v>1.89054584008696E-5</v>
      </c>
      <c r="K2171" s="1" cm="1">
        <f t="array" ref="K2171">(SUMPRODUCT(("var_ncap"=[2]OUT_TransportEnergyCons!$B$4:$B$10000)*1,ISNUMBER(SEARCH("T_B_u*h2o*s1",[2]OUT_TransportEnergyCons!$A$4:$A$10000))*1,[2]OUT_TransportEnergyCons!I$4:I$10000))*1000</f>
        <v>1.1047340161084101E-5</v>
      </c>
      <c r="L2171" s="1" cm="1">
        <f t="array" ref="L2171">(SUMPRODUCT(("var_ncap"=[2]OUT_TransportEnergyCons!$B$4:$B$10000)*1,ISNUMBER(SEARCH("T_B_u*h2o*s1",[2]OUT_TransportEnergyCons!$A$4:$A$10000))*1,[2]OUT_TransportEnergyCons!J$4:J$10000))*1000</f>
        <v>1.2038924904894799E-5</v>
      </c>
      <c r="N2171" s="1"/>
    </row>
    <row r="2172" spans="2:14" x14ac:dyDescent="0.35">
      <c r="B2172" s="5" t="str">
        <f t="shared" si="2111"/>
        <v>SPS1</v>
      </c>
      <c r="C2172" s="5" t="str">
        <f t="shared" si="2112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2.2063892831637101E-4</v>
      </c>
      <c r="J2172" s="1" cm="1">
        <f t="array" ref="J2172">(SUMPRODUCT(("var_ncap"=[2]OUT_TransportEnergyCons!$B$4:$B$10000)*1,ISNUMBER(SEARCH("T_B_u*h2o*s2",[2]OUT_TransportEnergyCons!$A$4:$A$10000))*1,[2]OUT_TransportEnergyCons!H$4:H$10000))*1000</f>
        <v>0</v>
      </c>
      <c r="K2172" s="1" cm="1">
        <f t="array" ref="K2172">(SUMPRODUCT(("var_ncap"=[2]OUT_TransportEnergyCons!$B$4:$B$10000)*1,ISNUMBER(SEARCH("T_B_u*h2o*s2",[2]OUT_TransportEnergyCons!$A$4:$A$10000))*1,[2]OUT_TransportEnergyCons!I$4:I$10000))*1000</f>
        <v>0</v>
      </c>
      <c r="L2172" s="1" cm="1">
        <f t="array" ref="L2172">(SUMPRODUCT(("var_ncap"=[2]OUT_TransportEnergyCons!$B$4:$B$10000)*1,ISNUMBER(SEARCH("T_B_u*h2o*s2",[2]OUT_TransportEnergyCons!$A$4:$A$10000))*1,[2]OUT_TransportEnergyCons!J$4:J$10000))*1000</f>
        <v>0</v>
      </c>
      <c r="N2172" s="1"/>
    </row>
    <row r="2173" spans="2:14" x14ac:dyDescent="0.35">
      <c r="B2173" s="5" t="str">
        <f t="shared" si="2111"/>
        <v>SPS1</v>
      </c>
      <c r="C2173" s="5" t="str">
        <f t="shared" si="2112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2.33164544170535E-4</v>
      </c>
      <c r="J2173" s="1" cm="1">
        <f t="array" ref="J2173">(SUMPRODUCT(("var_ncap"=[2]OUT_TransportEnergyCons!$B$4:$B$10000)*1,ISNUMBER(SEARCH("T_B_u*h2o*s3",[2]OUT_TransportEnergyCons!$A$4:$A$10000))*1,[2]OUT_TransportEnergyCons!H$4:H$10000))*1000</f>
        <v>0</v>
      </c>
      <c r="K2173" s="1" cm="1">
        <f t="array" ref="K2173">(SUMPRODUCT(("var_ncap"=[2]OUT_TransportEnergyCons!$B$4:$B$10000)*1,ISNUMBER(SEARCH("T_B_u*h2o*s3",[2]OUT_TransportEnergyCons!$A$4:$A$10000))*1,[2]OUT_TransportEnergyCons!I$4:I$10000))*1000</f>
        <v>0</v>
      </c>
      <c r="L2173" s="1" cm="1">
        <f t="array" ref="L2173">(SUMPRODUCT(("var_ncap"=[2]OUT_TransportEnergyCons!$B$4:$B$10000)*1,ISNUMBER(SEARCH("T_B_u*h2o*s3",[2]OUT_TransportEnergyCons!$A$4:$A$10000))*1,[2]OUT_TransportEnergyCons!J$4:J$10000))*1000</f>
        <v>0</v>
      </c>
      <c r="N2173" s="1"/>
    </row>
    <row r="2174" spans="2:14" x14ac:dyDescent="0.35">
      <c r="B2174" s="5" t="str">
        <f t="shared" si="2111"/>
        <v>SPS1</v>
      </c>
      <c r="C2174" s="5" t="str">
        <f t="shared" si="2112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1.2518264682880701E-4</v>
      </c>
      <c r="J2174" s="1" cm="1">
        <f t="array" ref="J2174">(SUMPRODUCT(("var_ncap"=[2]OUT_TransportEnergyCons!$B$4:$B$10000)*1,ISNUMBER(SEARCH("T_B_u*h2o*s4",[2]OUT_TransportEnergyCons!$A$4:$A$10000))*1,[2]OUT_TransportEnergyCons!H$4:H$10000))*1000</f>
        <v>0</v>
      </c>
      <c r="K2174" s="1" cm="1">
        <f t="array" ref="K2174">(SUMPRODUCT(("var_ncap"=[2]OUT_TransportEnergyCons!$B$4:$B$10000)*1,ISNUMBER(SEARCH("T_B_u*h2o*s4",[2]OUT_TransportEnergyCons!$A$4:$A$10000))*1,[2]OUT_TransportEnergyCons!I$4:I$10000))*1000</f>
        <v>0</v>
      </c>
      <c r="L2174" s="1" cm="1">
        <f t="array" ref="L2174">(SUMPRODUCT(("var_ncap"=[2]OUT_TransportEnergyCons!$B$4:$B$10000)*1,ISNUMBER(SEARCH("T_B_u*h2o*s4",[2]OUT_TransportEnergyCons!$A$4:$A$10000))*1,[2]OUT_TransportEnergyCons!J$4:J$10000))*1000</f>
        <v>0</v>
      </c>
      <c r="N2174" s="1"/>
    </row>
    <row r="2175" spans="2:14" x14ac:dyDescent="0.35">
      <c r="B2175" s="5" t="str">
        <f t="shared" si="2111"/>
        <v>SPS1</v>
      </c>
      <c r="C2175" s="5" t="str">
        <f t="shared" si="2112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0.13191418111123498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2.86042525249641E-2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1.14051132886682E-4</v>
      </c>
      <c r="J2175" s="1" cm="1">
        <f t="array" ref="J2175">(SUMPRODUCT(("var_ncap"=[2]OUT_TransportEnergyCons!$B$4:$B$10000)*1,ISNUMBER(SEARCH("T_B_u*hyb*DSL*s1",[2]OUT_TransportEnergyCons!$A$4:$A$10000))*1,[2]OUT_TransportEnergyCons!H$4:H$10000))*1000</f>
        <v>6.2512076199250103E-5</v>
      </c>
      <c r="K2175" s="1" cm="1">
        <f t="array" ref="K2175">(SUMPRODUCT(("var_ncap"=[2]OUT_TransportEnergyCons!$B$4:$B$10000)*1,ISNUMBER(SEARCH("T_B_u*hyb*DSL*s1",[2]OUT_TransportEnergyCons!$A$4:$A$10000))*1,[2]OUT_TransportEnergyCons!I$4:I$10000))*1000</f>
        <v>0</v>
      </c>
      <c r="L2175" s="1" cm="1">
        <f t="array" ref="L2175">(SUMPRODUCT(("var_ncap"=[2]OUT_TransportEnergyCons!$B$4:$B$10000)*1,ISNUMBER(SEARCH("T_B_u*hyb*DSL*s1",[2]OUT_TransportEnergyCons!$A$4:$A$10000))*1,[2]OUT_TransportEnergyCons!J$4:J$10000))*1000</f>
        <v>0</v>
      </c>
      <c r="N2175" s="1"/>
    </row>
    <row r="2176" spans="2:14" x14ac:dyDescent="0.35">
      <c r="B2176" s="5" t="str">
        <f t="shared" si="2111"/>
        <v>SPS1</v>
      </c>
      <c r="C2176" s="5" t="str">
        <f t="shared" si="2112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6.4745554116840401E-3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7.4186102812729303E-3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0</v>
      </c>
      <c r="J2176" s="1" cm="1">
        <f t="array" ref="J2176">(SUMPRODUCT(("var_ncap"=[2]OUT_TransportEnergyCons!$B$4:$B$10000)*1,ISNUMBER(SEARCH("T_B_u*hyb*DSL*s2",[2]OUT_TransportEnergyCons!$A$4:$A$10000))*1,[2]OUT_TransportEnergyCons!H$4:H$10000))*1000</f>
        <v>2.0582544097602602E-5</v>
      </c>
      <c r="K2176" s="1" cm="1">
        <f t="array" ref="K2176">(SUMPRODUCT(("var_ncap"=[2]OUT_TransportEnergyCons!$B$4:$B$10000)*1,ISNUMBER(SEARCH("T_B_u*hyb*DSL*s2",[2]OUT_TransportEnergyCons!$A$4:$A$10000))*1,[2]OUT_TransportEnergyCons!I$4:I$10000))*1000</f>
        <v>0</v>
      </c>
      <c r="L2176" s="1" cm="1">
        <f t="array" ref="L2176">(SUMPRODUCT(("var_ncap"=[2]OUT_TransportEnergyCons!$B$4:$B$10000)*1,ISNUMBER(SEARCH("T_B_u*hyb*DSL*s2",[2]OUT_TransportEnergyCons!$A$4:$A$10000))*1,[2]OUT_TransportEnergyCons!J$4:J$10000))*1000</f>
        <v>0</v>
      </c>
      <c r="N2176" s="1"/>
    </row>
    <row r="2177" spans="2:14" x14ac:dyDescent="0.35">
      <c r="B2177" s="5" t="str">
        <f t="shared" si="2111"/>
        <v>SPS1</v>
      </c>
      <c r="C2177" s="5" t="str">
        <f t="shared" si="2112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7.5765616300968695E-3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5.1677034530114505E-3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0</v>
      </c>
      <c r="J2177" s="1" cm="1">
        <f t="array" ref="J2177">(SUMPRODUCT(("var_ncap"=[2]OUT_TransportEnergyCons!$B$4:$B$10000)*1,ISNUMBER(SEARCH("T_B_u*hyb*DSL*s3",[2]OUT_TransportEnergyCons!$A$4:$A$10000))*1,[2]OUT_TransportEnergyCons!H$4:H$10000))*1000</f>
        <v>0</v>
      </c>
      <c r="K2177" s="1" cm="1">
        <f t="array" ref="K2177">(SUMPRODUCT(("var_ncap"=[2]OUT_TransportEnergyCons!$B$4:$B$10000)*1,ISNUMBER(SEARCH("T_B_u*hyb*DSL*s3",[2]OUT_TransportEnergyCons!$A$4:$A$10000))*1,[2]OUT_TransportEnergyCons!I$4:I$10000))*1000</f>
        <v>0</v>
      </c>
      <c r="L2177" s="1" cm="1">
        <f t="array" ref="L2177">(SUMPRODUCT(("var_ncap"=[2]OUT_TransportEnergyCons!$B$4:$B$10000)*1,ISNUMBER(SEARCH("T_B_u*hyb*DSL*s3",[2]OUT_TransportEnergyCons!$A$4:$A$10000))*1,[2]OUT_TransportEnergyCons!J$4:J$10000))*1000</f>
        <v>0</v>
      </c>
      <c r="N2177" s="1"/>
    </row>
    <row r="2178" spans="2:14" x14ac:dyDescent="0.35">
      <c r="B2178" s="5" t="str">
        <f t="shared" si="2111"/>
        <v>SPS1</v>
      </c>
      <c r="C2178" s="5" t="str">
        <f t="shared" si="2112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2.53157270638397E-4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2.4084892996343901E-4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0</v>
      </c>
      <c r="J2178" s="1" cm="1">
        <f t="array" ref="J2178">(SUMPRODUCT(("var_ncap"=[2]OUT_TransportEnergyCons!$B$4:$B$10000)*1,ISNUMBER(SEARCH("T_B_u*hyb*DSL*s4",[2]OUT_TransportEnergyCons!$A$4:$A$10000))*1,[2]OUT_TransportEnergyCons!H$4:H$10000))*1000</f>
        <v>0</v>
      </c>
      <c r="K2178" s="1" cm="1">
        <f t="array" ref="K2178">(SUMPRODUCT(("var_ncap"=[2]OUT_TransportEnergyCons!$B$4:$B$10000)*1,ISNUMBER(SEARCH("T_B_u*hyb*DSL*s4",[2]OUT_TransportEnergyCons!$A$4:$A$10000))*1,[2]OUT_TransportEnergyCons!I$4:I$10000))*1000</f>
        <v>0</v>
      </c>
      <c r="L2178" s="1" cm="1">
        <f t="array" ref="L2178">(SUMPRODUCT(("var_ncap"=[2]OUT_TransportEnergyCons!$B$4:$B$10000)*1,ISNUMBER(SEARCH("T_B_u*hyb*DSL*s4",[2]OUT_TransportEnergyCons!$A$4:$A$10000))*1,[2]OUT_TransportEnergyCons!J$4:J$10000))*1000</f>
        <v>0</v>
      </c>
      <c r="N2178" s="1"/>
    </row>
    <row r="2179" spans="2:14" x14ac:dyDescent="0.35">
      <c r="B2179" s="5" t="str">
        <f t="shared" si="2111"/>
        <v>SPS1</v>
      </c>
      <c r="C2179" s="5" t="str">
        <f t="shared" si="2112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(SUMPRODUCT(("var_ncap"=[2]OUT_TransportEnergyCons!$B$4:$B$10000)*1,ISNUMBER(SEARCH("T_B_u*ICE*DSL*ext",[2]OUT_TransportEnergyCons!$A$4:$A$10000))*1,[2]OUT_TransportEnergyCons!H$4:H$10000))*1000</f>
        <v>0</v>
      </c>
      <c r="K2179" s="1" cm="1">
        <f t="array" ref="K2179">(SUMPRODUCT(("var_ncap"=[2]OUT_TransportEnergyCons!$B$4:$B$10000)*1,ISNUMBER(SEARCH("T_B_u*ICE*DSL*ext",[2]OUT_TransportEnergyCons!$A$4:$A$10000))*1,[2]OUT_TransportEnergyCons!I$4:I$10000))*1000</f>
        <v>0</v>
      </c>
      <c r="L2179" s="1" cm="1">
        <f t="array" ref="L2179">(SUMPRODUCT(("var_ncap"=[2]OUT_TransportEnergyCons!$B$4:$B$10000)*1,ISNUMBER(SEARCH("T_B_u*ICE*DSL*ext",[2]OUT_TransportEnergyCons!$A$4:$A$10000))*1,[2]OUT_TransportEnergyCons!J$4:J$10000))*1000</f>
        <v>0</v>
      </c>
      <c r="N2179" s="1"/>
    </row>
    <row r="2180" spans="2:14" x14ac:dyDescent="0.35">
      <c r="B2180" s="5" t="str">
        <f t="shared" si="2111"/>
        <v>SPS1</v>
      </c>
      <c r="C2180" s="5" t="str">
        <f t="shared" si="2112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0.273607307003089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0.37842408511320802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3.97888148220887E-5</v>
      </c>
      <c r="J2180" s="1" cm="1">
        <f t="array" ref="J2180">(SUMPRODUCT(("var_ncap"=[2]OUT_TransportEnergyCons!$B$4:$B$10000)*1,ISNUMBER(SEARCH("T_B_u*ICE*DSL*s1",[2]OUT_TransportEnergyCons!$A$4:$A$10000))*1,[2]OUT_TransportEnergyCons!H$4:H$10000))*1000</f>
        <v>0</v>
      </c>
      <c r="K2180" s="1" cm="1">
        <f t="array" ref="K2180">(SUMPRODUCT(("var_ncap"=[2]OUT_TransportEnergyCons!$B$4:$B$10000)*1,ISNUMBER(SEARCH("T_B_u*ICE*DSL*s1",[2]OUT_TransportEnergyCons!$A$4:$A$10000))*1,[2]OUT_TransportEnergyCons!I$4:I$10000))*1000</f>
        <v>0</v>
      </c>
      <c r="L2180" s="1" cm="1">
        <f t="array" ref="L2180">(SUMPRODUCT(("var_ncap"=[2]OUT_TransportEnergyCons!$B$4:$B$10000)*1,ISNUMBER(SEARCH("T_B_u*ICE*DSL*s1",[2]OUT_TransportEnergyCons!$A$4:$A$10000))*1,[2]OUT_TransportEnergyCons!J$4:J$10000))*1000</f>
        <v>0</v>
      </c>
      <c r="N2180" s="1"/>
    </row>
    <row r="2181" spans="2:14" x14ac:dyDescent="0.35">
      <c r="B2181" s="5" t="str">
        <f t="shared" si="2111"/>
        <v>SPS1</v>
      </c>
      <c r="C2181" s="5" t="str">
        <f t="shared" si="2112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1.0076138085787199E-2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5.32176797480527E-2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(SUMPRODUCT(("var_ncap"=[2]OUT_TransportEnergyCons!$B$4:$B$10000)*1,ISNUMBER(SEARCH("T_B_u*ICE*DSL*s2",[2]OUT_TransportEnergyCons!$A$4:$A$10000))*1,[2]OUT_TransportEnergyCons!H$4:H$10000))*1000</f>
        <v>0</v>
      </c>
      <c r="K2181" s="1" cm="1">
        <f t="array" ref="K2181">(SUMPRODUCT(("var_ncap"=[2]OUT_TransportEnergyCons!$B$4:$B$10000)*1,ISNUMBER(SEARCH("T_B_u*ICE*DSL*s2",[2]OUT_TransportEnergyCons!$A$4:$A$10000))*1,[2]OUT_TransportEnergyCons!I$4:I$10000))*1000</f>
        <v>0</v>
      </c>
      <c r="L2181" s="1" cm="1">
        <f t="array" ref="L2181">(SUMPRODUCT(("var_ncap"=[2]OUT_TransportEnergyCons!$B$4:$B$10000)*1,ISNUMBER(SEARCH("T_B_u*ICE*DSL*s2",[2]OUT_TransportEnergyCons!$A$4:$A$10000))*1,[2]OUT_TransportEnergyCons!J$4:J$10000))*1000</f>
        <v>0</v>
      </c>
      <c r="N2181" s="1"/>
    </row>
    <row r="2182" spans="2:14" x14ac:dyDescent="0.35">
      <c r="B2182" s="5" t="str">
        <f t="shared" si="2111"/>
        <v>SPS1</v>
      </c>
      <c r="C2182" s="5" t="str">
        <f t="shared" si="2112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2.2551065255541902E-2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0.73383923175598997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(SUMPRODUCT(("var_ncap"=[2]OUT_TransportEnergyCons!$B$4:$B$10000)*1,ISNUMBER(SEARCH("T_B_u*ICE*DSL*s3",[2]OUT_TransportEnergyCons!$A$4:$A$10000))*1,[2]OUT_TransportEnergyCons!H$4:H$10000))*1000</f>
        <v>0</v>
      </c>
      <c r="K2182" s="1" cm="1">
        <f t="array" ref="K2182">(SUMPRODUCT(("var_ncap"=[2]OUT_TransportEnergyCons!$B$4:$B$10000)*1,ISNUMBER(SEARCH("T_B_u*ICE*DSL*s3",[2]OUT_TransportEnergyCons!$A$4:$A$10000))*1,[2]OUT_TransportEnergyCons!I$4:I$10000))*1000</f>
        <v>0</v>
      </c>
      <c r="L2182" s="1" cm="1">
        <f t="array" ref="L2182">(SUMPRODUCT(("var_ncap"=[2]OUT_TransportEnergyCons!$B$4:$B$10000)*1,ISNUMBER(SEARCH("T_B_u*ICE*DSL*s3",[2]OUT_TransportEnergyCons!$A$4:$A$10000))*1,[2]OUT_TransportEnergyCons!J$4:J$10000))*1000</f>
        <v>0</v>
      </c>
      <c r="N2182" s="1"/>
    </row>
    <row r="2183" spans="2:14" x14ac:dyDescent="0.35">
      <c r="B2183" s="5" t="str">
        <f t="shared" si="2111"/>
        <v>SPS1</v>
      </c>
      <c r="C2183" s="5" t="str">
        <f t="shared" si="2112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2.8238334902776799E-4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3.0109913260809804E-4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2.4536977991481497E-5</v>
      </c>
      <c r="J2183" s="1" cm="1">
        <f t="array" ref="J2183">(SUMPRODUCT(("var_ncap"=[2]OUT_TransportEnergyCons!$B$4:$B$10000)*1,ISNUMBER(SEARCH("T_B_u*ICE*DSL*s4",[2]OUT_TransportEnergyCons!$A$4:$A$10000))*1,[2]OUT_TransportEnergyCons!H$4:H$10000))*1000</f>
        <v>0</v>
      </c>
      <c r="K2183" s="1" cm="1">
        <f t="array" ref="K2183">(SUMPRODUCT(("var_ncap"=[2]OUT_TransportEnergyCons!$B$4:$B$10000)*1,ISNUMBER(SEARCH("T_B_u*ICE*DSL*s4",[2]OUT_TransportEnergyCons!$A$4:$A$10000))*1,[2]OUT_TransportEnergyCons!I$4:I$10000))*1000</f>
        <v>0</v>
      </c>
      <c r="L2183" s="1" cm="1">
        <f t="array" ref="L2183">(SUMPRODUCT(("var_ncap"=[2]OUT_TransportEnergyCons!$B$4:$B$10000)*1,ISNUMBER(SEARCH("T_B_u*ICE*DSL*s4",[2]OUT_TransportEnergyCons!$A$4:$A$10000))*1,[2]OUT_TransportEnergyCons!J$4:J$10000))*1000</f>
        <v>0</v>
      </c>
      <c r="N2183" s="1"/>
    </row>
    <row r="2184" spans="2:14" x14ac:dyDescent="0.35">
      <c r="B2184" s="5" t="str">
        <f t="shared" si="2111"/>
        <v>SPS1</v>
      </c>
      <c r="C2184" s="5" t="str">
        <f t="shared" si="2112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(SUMPRODUCT(("var_ncap"=[2]OUT_TransportEnergyCons!$B$4:$B$10000)*1,ISNUMBER(SEARCH("T_B_u*ICE*nga*ext",[2]OUT_TransportEnergyCons!$A$4:$A$10000))*1,[2]OUT_TransportEnergyCons!H$4:H$10000))*1000</f>
        <v>0</v>
      </c>
      <c r="K2184" s="1" cm="1">
        <f t="array" ref="K2184">(SUMPRODUCT(("var_ncap"=[2]OUT_TransportEnergyCons!$B$4:$B$10000)*1,ISNUMBER(SEARCH("T_B_u*ICE*nga*ext",[2]OUT_TransportEnergyCons!$A$4:$A$10000))*1,[2]OUT_TransportEnergyCons!I$4:I$10000))*1000</f>
        <v>0</v>
      </c>
      <c r="L2184" s="1" cm="1">
        <f t="array" ref="L2184">(SUMPRODUCT(("var_ncap"=[2]OUT_TransportEnergyCons!$B$4:$B$10000)*1,ISNUMBER(SEARCH("T_B_u*ICE*nga*ext",[2]OUT_TransportEnergyCons!$A$4:$A$10000))*1,[2]OUT_TransportEnergyCons!J$4:J$10000))*1000</f>
        <v>0</v>
      </c>
      <c r="N2184" s="1"/>
    </row>
    <row r="2185" spans="2:14" x14ac:dyDescent="0.35">
      <c r="B2185" s="5" t="str">
        <f t="shared" si="2111"/>
        <v>SPS1</v>
      </c>
      <c r="C2185" s="5" t="str">
        <f t="shared" si="2112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6.6904024722344501E-3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6.15267661752623E-3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4.05393515508951E-4</v>
      </c>
      <c r="J2185" s="1" cm="1">
        <f t="array" ref="J2185">(SUMPRODUCT(("var_ncap"=[2]OUT_TransportEnergyCons!$B$4:$B$10000)*1,ISNUMBER(SEARCH("T_B_u*ICE*nga*s1",[2]OUT_TransportEnergyCons!$A$4:$A$10000))*1,[2]OUT_TransportEnergyCons!H$4:H$10000))*1000</f>
        <v>1.44267637942071E-5</v>
      </c>
      <c r="K2185" s="1" cm="1">
        <f t="array" ref="K2185">(SUMPRODUCT(("var_ncap"=[2]OUT_TransportEnergyCons!$B$4:$B$10000)*1,ISNUMBER(SEARCH("T_B_u*ICE*nga*s1",[2]OUT_TransportEnergyCons!$A$4:$A$10000))*1,[2]OUT_TransportEnergyCons!I$4:I$10000))*1000</f>
        <v>0</v>
      </c>
      <c r="L2185" s="1" cm="1">
        <f t="array" ref="L2185">(SUMPRODUCT(("var_ncap"=[2]OUT_TransportEnergyCons!$B$4:$B$10000)*1,ISNUMBER(SEARCH("T_B_u*ICE*nga*s1",[2]OUT_TransportEnergyCons!$A$4:$A$10000))*1,[2]OUT_TransportEnergyCons!J$4:J$10000))*1000</f>
        <v>0</v>
      </c>
      <c r="N2185" s="1"/>
    </row>
    <row r="2186" spans="2:14" x14ac:dyDescent="0.35">
      <c r="B2186" s="5" t="str">
        <f t="shared" si="2111"/>
        <v>SPS1</v>
      </c>
      <c r="C2186" s="5" t="str">
        <f t="shared" si="2112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2.7243064981941202E-3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5.5728982283078298E-3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1.5396974258836E-4</v>
      </c>
      <c r="J2186" s="1" cm="1">
        <f t="array" ref="J2186">(SUMPRODUCT(("var_ncap"=[2]OUT_TransportEnergyCons!$B$4:$B$10000)*1,ISNUMBER(SEARCH("T_B_u*ICE*nga*s2",[2]OUT_TransportEnergyCons!$A$4:$A$10000))*1,[2]OUT_TransportEnergyCons!H$4:H$10000))*1000</f>
        <v>0</v>
      </c>
      <c r="K2186" s="1" cm="1">
        <f t="array" ref="K2186">(SUMPRODUCT(("var_ncap"=[2]OUT_TransportEnergyCons!$B$4:$B$10000)*1,ISNUMBER(SEARCH("T_B_u*ICE*nga*s2",[2]OUT_TransportEnergyCons!$A$4:$A$10000))*1,[2]OUT_TransportEnergyCons!I$4:I$10000))*1000</f>
        <v>0</v>
      </c>
      <c r="L2186" s="1" cm="1">
        <f t="array" ref="L2186">(SUMPRODUCT(("var_ncap"=[2]OUT_TransportEnergyCons!$B$4:$B$10000)*1,ISNUMBER(SEARCH("T_B_u*ICE*nga*s2",[2]OUT_TransportEnergyCons!$A$4:$A$10000))*1,[2]OUT_TransportEnergyCons!J$4:J$10000))*1000</f>
        <v>0</v>
      </c>
      <c r="N2186" s="1"/>
    </row>
    <row r="2187" spans="2:14" x14ac:dyDescent="0.35">
      <c r="B2187" s="5" t="str">
        <f t="shared" si="2111"/>
        <v>SPS1</v>
      </c>
      <c r="C2187" s="5" t="str">
        <f t="shared" si="2112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2.3779028944992601E-3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1.08807253855762E-2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4.3880139559581495E-5</v>
      </c>
      <c r="J2187" s="1" cm="1">
        <f t="array" ref="J2187">(SUMPRODUCT(("var_ncap"=[2]OUT_TransportEnergyCons!$B$4:$B$10000)*1,ISNUMBER(SEARCH("T_B_u*ICE*nga*s3",[2]OUT_TransportEnergyCons!$A$4:$A$10000))*1,[2]OUT_TransportEnergyCons!H$4:H$10000))*1000</f>
        <v>0</v>
      </c>
      <c r="K2187" s="1" cm="1">
        <f t="array" ref="K2187">(SUMPRODUCT(("var_ncap"=[2]OUT_TransportEnergyCons!$B$4:$B$10000)*1,ISNUMBER(SEARCH("T_B_u*ICE*nga*s3",[2]OUT_TransportEnergyCons!$A$4:$A$10000))*1,[2]OUT_TransportEnergyCons!I$4:I$10000))*1000</f>
        <v>1.122403781884E-5</v>
      </c>
      <c r="L2187" s="1" cm="1">
        <f t="array" ref="L2187">(SUMPRODUCT(("var_ncap"=[2]OUT_TransportEnergyCons!$B$4:$B$10000)*1,ISNUMBER(SEARCH("T_B_u*ICE*nga*s3",[2]OUT_TransportEnergyCons!$A$4:$A$10000))*1,[2]OUT_TransportEnergyCons!J$4:J$10000))*1000</f>
        <v>0</v>
      </c>
      <c r="N2187" s="1"/>
    </row>
    <row r="2188" spans="2:14" x14ac:dyDescent="0.35">
      <c r="B2188" s="5" t="str">
        <f t="shared" si="2111"/>
        <v>SPS1</v>
      </c>
      <c r="C2188" s="5" t="str">
        <f t="shared" si="2112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6.8204641675086099E-5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7.2135246483347499E-5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4.5641684030385203E-5</v>
      </c>
      <c r="J2188" s="1" cm="1">
        <f t="array" ref="J2188">(SUMPRODUCT(("var_ncap"=[2]OUT_TransportEnergyCons!$B$4:$B$10000)*1,ISNUMBER(SEARCH("T_B_u*ICE*nga*s4",[2]OUT_TransportEnergyCons!$A$4:$A$10000))*1,[2]OUT_TransportEnergyCons!H$4:H$10000))*1000</f>
        <v>0</v>
      </c>
      <c r="K2188" s="1" cm="1">
        <f t="array" ref="K2188">(SUMPRODUCT(("var_ncap"=[2]OUT_TransportEnergyCons!$B$4:$B$10000)*1,ISNUMBER(SEARCH("T_B_u*ICE*nga*s4",[2]OUT_TransportEnergyCons!$A$4:$A$10000))*1,[2]OUT_TransportEnergyCons!I$4:I$10000))*1000</f>
        <v>0</v>
      </c>
      <c r="L2188" s="1" cm="1">
        <f t="array" ref="L2188">(SUMPRODUCT(("var_ncap"=[2]OUT_TransportEnergyCons!$B$4:$B$10000)*1,ISNUMBER(SEARCH("T_B_u*ICE*nga*s4",[2]OUT_TransportEnergyCons!$A$4:$A$10000))*1,[2]OUT_TransportEnergyCons!J$4:J$10000))*1000</f>
        <v>0</v>
      </c>
      <c r="N2188" s="1"/>
    </row>
    <row r="2189" spans="2:14" x14ac:dyDescent="0.35">
      <c r="B2189" s="5" t="str">
        <f t="shared" si="2111"/>
        <v>SPS1</v>
      </c>
      <c r="C2189" s="5" t="str">
        <f t="shared" si="2112"/>
        <v>CH</v>
      </c>
      <c r="D2189" s="2" t="s">
        <v>2318</v>
      </c>
      <c r="E2189" s="2" t="s">
        <v>1999</v>
      </c>
      <c r="F2189" s="3">
        <f t="shared" ref="F2189:K2189" si="2113">SUM(F2190:F2212)</f>
        <v>0</v>
      </c>
      <c r="G2189" s="3">
        <f t="shared" si="2113"/>
        <v>0.56542402882585352</v>
      </c>
      <c r="H2189" s="3">
        <f t="shared" si="2113"/>
        <v>0.27332898039280246</v>
      </c>
      <c r="I2189" s="3">
        <f t="shared" si="2113"/>
        <v>2.8712201030356246</v>
      </c>
      <c r="J2189" s="3">
        <f t="shared" si="2113"/>
        <v>2.5991852655242353</v>
      </c>
      <c r="K2189" s="3">
        <f t="shared" si="2113"/>
        <v>0.32421198201019014</v>
      </c>
      <c r="L2189" s="3">
        <f t="shared" ref="L2189" si="2114">SUM(L2190:L2212)</f>
        <v>2.3553327948576261</v>
      </c>
      <c r="N2189" s="1"/>
    </row>
    <row r="2190" spans="2:14" x14ac:dyDescent="0.35">
      <c r="B2190" s="5" t="str">
        <f t="shared" si="2111"/>
        <v>SPS1</v>
      </c>
      <c r="C2190" s="5" t="str">
        <f t="shared" si="2112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(SUMPRODUCT(("var_ncap"=[2]OUT_TransportEnergyCons!$B$4:$B$10000)*1,ISNUMBER(SEARCH("T_b_c*bev*ext",[2]OUT_TransportEnergyCons!$A$4:$A$10000))*1,[2]OUT_TransportEnergyCons!H$4:H$10000))*1000</f>
        <v>0</v>
      </c>
      <c r="K2190" s="1" cm="1">
        <f t="array" ref="K2190">(SUMPRODUCT(("var_ncap"=[2]OUT_TransportEnergyCons!$B$4:$B$10000)*1,ISNUMBER(SEARCH("T_b_c*bev*ext",[2]OUT_TransportEnergyCons!$A$4:$A$10000))*1,[2]OUT_TransportEnergyCons!I$4:I$10000))*1000</f>
        <v>0</v>
      </c>
      <c r="L2190" s="1" cm="1">
        <f t="array" ref="L2190">(SUMPRODUCT(("var_ncap"=[2]OUT_TransportEnergyCons!$B$4:$B$10000)*1,ISNUMBER(SEARCH("T_b_c*bev*ext",[2]OUT_TransportEnergyCons!$A$4:$A$10000))*1,[2]OUT_TransportEnergyCons!J$4:J$10000))*1000</f>
        <v>0</v>
      </c>
      <c r="N2190" s="1"/>
    </row>
    <row r="2191" spans="2:14" x14ac:dyDescent="0.35">
      <c r="B2191" s="5" t="str">
        <f t="shared" si="2111"/>
        <v>SPS1</v>
      </c>
      <c r="C2191" s="5" t="str">
        <f t="shared" si="2112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3.4795533847902599E-2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4.0382270139361805E-2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1.3882826467968601</v>
      </c>
      <c r="J2191" s="1" cm="1">
        <f t="array" ref="J2191">(SUMPRODUCT(("var_ncap"=[2]OUT_TransportEnergyCons!$B$4:$B$10000)*1,ISNUMBER(SEARCH("T_b_c*bev*s1",[2]OUT_TransportEnergyCons!$A$4:$A$10000))*1,[2]OUT_TransportEnergyCons!H$4:H$10000))*1000</f>
        <v>1.3951672649757898</v>
      </c>
      <c r="K2191" s="1" cm="1">
        <f t="array" ref="K2191">(SUMPRODUCT(("var_ncap"=[2]OUT_TransportEnergyCons!$B$4:$B$10000)*1,ISNUMBER(SEARCH("T_b_c*bev*s1",[2]OUT_TransportEnergyCons!$A$4:$A$10000))*1,[2]OUT_TransportEnergyCons!I$4:I$10000))*1000</f>
        <v>1.34202116568781E-2</v>
      </c>
      <c r="L2191" s="1" cm="1">
        <f t="array" ref="L2191">(SUMPRODUCT(("var_ncap"=[2]OUT_TransportEnergyCons!$B$4:$B$10000)*1,ISNUMBER(SEARCH("T_b_c*bev*s1",[2]OUT_TransportEnergyCons!$A$4:$A$10000))*1,[2]OUT_TransportEnergyCons!J$4:J$10000))*1000</f>
        <v>1.1979673362796999</v>
      </c>
      <c r="N2191" s="1"/>
    </row>
    <row r="2192" spans="2:14" x14ac:dyDescent="0.35">
      <c r="B2192" s="5" t="str">
        <f t="shared" si="2111"/>
        <v>SPS1</v>
      </c>
      <c r="C2192" s="5" t="str">
        <f t="shared" si="2112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1.20839400856194E-2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1.8752707353731E-2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1.2227157285663399</v>
      </c>
      <c r="J2192" s="1" cm="1">
        <f t="array" ref="J2192">(SUMPRODUCT(("var_ncap"=[2]OUT_TransportEnergyCons!$B$4:$B$10000)*1,ISNUMBER(SEARCH("T_b_c*bev*s2",[2]OUT_TransportEnergyCons!$A$4:$A$10000))*1,[2]OUT_TransportEnergyCons!H$4:H$10000))*1000</f>
        <v>0.97461558870054799</v>
      </c>
      <c r="K2192" s="1" cm="1">
        <f t="array" ref="K2192">(SUMPRODUCT(("var_ncap"=[2]OUT_TransportEnergyCons!$B$4:$B$10000)*1,ISNUMBER(SEARCH("T_b_c*bev*s2",[2]OUT_TransportEnergyCons!$A$4:$A$10000))*1,[2]OUT_TransportEnergyCons!I$4:I$10000))*1000</f>
        <v>0.27172060714443802</v>
      </c>
      <c r="L2192" s="1" cm="1">
        <f t="array" ref="L2192">(SUMPRODUCT(("var_ncap"=[2]OUT_TransportEnergyCons!$B$4:$B$10000)*1,ISNUMBER(SEARCH("T_b_c*bev*s2",[2]OUT_TransportEnergyCons!$A$4:$A$10000))*1,[2]OUT_TransportEnergyCons!J$4:J$10000))*1000</f>
        <v>0.90999287058661205</v>
      </c>
      <c r="N2192" s="1"/>
    </row>
    <row r="2193" spans="2:14" x14ac:dyDescent="0.35">
      <c r="B2193" s="5" t="str">
        <f t="shared" si="2111"/>
        <v>SPS1</v>
      </c>
      <c r="C2193" s="5" t="str">
        <f t="shared" si="2112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5.4182511376356301E-3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7.1780910227927002E-3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0.25490845542920504</v>
      </c>
      <c r="J2193" s="1" cm="1">
        <f t="array" ref="J2193">(SUMPRODUCT(("var_ncap"=[2]OUT_TransportEnergyCons!$B$4:$B$10000)*1,ISNUMBER(SEARCH("T_b_c*bev*s3",[2]OUT_TransportEnergyCons!$A$4:$A$10000))*1,[2]OUT_TransportEnergyCons!H$4:H$10000))*1000</f>
        <v>0.22900920524332502</v>
      </c>
      <c r="K2193" s="1" cm="1">
        <f t="array" ref="K2193">(SUMPRODUCT(("var_ncap"=[2]OUT_TransportEnergyCons!$B$4:$B$10000)*1,ISNUMBER(SEARCH("T_b_c*bev*s3",[2]OUT_TransportEnergyCons!$A$4:$A$10000))*1,[2]OUT_TransportEnergyCons!I$4:I$10000))*1000</f>
        <v>3.8361669824322903E-2</v>
      </c>
      <c r="L2193" s="1" cm="1">
        <f t="array" ref="L2193">(SUMPRODUCT(("var_ncap"=[2]OUT_TransportEnergyCons!$B$4:$B$10000)*1,ISNUMBER(SEARCH("T_b_c*bev*s3",[2]OUT_TransportEnergyCons!$A$4:$A$10000))*1,[2]OUT_TransportEnergyCons!J$4:J$10000))*1000</f>
        <v>0.247209866252741</v>
      </c>
      <c r="N2193" s="1"/>
    </row>
    <row r="2194" spans="2:14" x14ac:dyDescent="0.35">
      <c r="B2194" s="5" t="str">
        <f t="shared" si="2111"/>
        <v>SPS1</v>
      </c>
      <c r="C2194" s="5" t="str">
        <f t="shared" si="2112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3.1037136138987198E-3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2.68665034746447E-3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2.6357402782433799E-3</v>
      </c>
      <c r="J2194" s="1" cm="1">
        <f t="array" ref="J2194">(SUMPRODUCT(("var_ncap"=[2]OUT_TransportEnergyCons!$B$4:$B$10000)*1,ISNUMBER(SEARCH("T_b_c*bev*s4",[2]OUT_TransportEnergyCons!$A$4:$A$10000))*1,[2]OUT_TransportEnergyCons!H$4:H$10000))*1000</f>
        <v>1.8222238627504998E-4</v>
      </c>
      <c r="K2194" s="1" cm="1">
        <f t="array" ref="K2194">(SUMPRODUCT(("var_ncap"=[2]OUT_TransportEnergyCons!$B$4:$B$10000)*1,ISNUMBER(SEARCH("T_b_c*bev*s4",[2]OUT_TransportEnergyCons!$A$4:$A$10000))*1,[2]OUT_TransportEnergyCons!I$4:I$10000))*1000</f>
        <v>3.2489624424047504E-4</v>
      </c>
      <c r="L2194" s="1" cm="1">
        <f t="array" ref="L2194">(SUMPRODUCT(("var_ncap"=[2]OUT_TransportEnergyCons!$B$4:$B$10000)*1,ISNUMBER(SEARCH("T_b_c*bev*s4",[2]OUT_TransportEnergyCons!$A$4:$A$10000))*1,[2]OUT_TransportEnergyCons!J$4:J$10000))*1000</f>
        <v>1.3844561307729101E-4</v>
      </c>
      <c r="N2194" s="1"/>
    </row>
    <row r="2195" spans="2:14" x14ac:dyDescent="0.35">
      <c r="B2195" s="5" t="str">
        <f t="shared" si="2111"/>
        <v>SPS1</v>
      </c>
      <c r="C2195" s="5" t="str">
        <f t="shared" si="2112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2.4352650618957299E-4</v>
      </c>
      <c r="J2195" s="1" cm="1">
        <f t="array" ref="J2195">(SUMPRODUCT(("var_ncap"=[2]OUT_TransportEnergyCons!$B$4:$B$10000)*1,ISNUMBER(SEARCH("T_b_c*h2o*s1",[2]OUT_TransportEnergyCons!$A$4:$A$10000))*1,[2]OUT_TransportEnergyCons!H$4:H$10000))*1000</f>
        <v>2.0535347821233701E-5</v>
      </c>
      <c r="K2195" s="1" cm="1">
        <f t="array" ref="K2195">(SUMPRODUCT(("var_ncap"=[2]OUT_TransportEnergyCons!$B$4:$B$10000)*1,ISNUMBER(SEARCH("T_b_c*h2o*s1",[2]OUT_TransportEnergyCons!$A$4:$A$10000))*1,[2]OUT_TransportEnergyCons!I$4:I$10000))*1000</f>
        <v>0</v>
      </c>
      <c r="L2195" s="1" cm="1">
        <f t="array" ref="L2195">(SUMPRODUCT(("var_ncap"=[2]OUT_TransportEnergyCons!$B$4:$B$10000)*1,ISNUMBER(SEARCH("T_b_c*h2o*s1",[2]OUT_TransportEnergyCons!$A$4:$A$10000))*1,[2]OUT_TransportEnergyCons!J$4:J$10000))*1000</f>
        <v>1.09757570292682E-5</v>
      </c>
      <c r="N2195" s="1"/>
    </row>
    <row r="2196" spans="2:14" x14ac:dyDescent="0.35">
      <c r="B2196" s="5" t="str">
        <f t="shared" si="2111"/>
        <v>SPS1</v>
      </c>
      <c r="C2196" s="5" t="str">
        <f t="shared" si="2112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2.9779102615912505E-4</v>
      </c>
      <c r="J2196" s="1" cm="1">
        <f t="array" ref="J2196">(SUMPRODUCT(("var_ncap"=[2]OUT_TransportEnergyCons!$B$4:$B$10000)*1,ISNUMBER(SEARCH("T_b_c*h2o*s2",[2]OUT_TransportEnergyCons!$A$4:$A$10000))*1,[2]OUT_TransportEnergyCons!H$4:H$10000))*1000</f>
        <v>0</v>
      </c>
      <c r="K2196" s="1" cm="1">
        <f t="array" ref="K2196">(SUMPRODUCT(("var_ncap"=[2]OUT_TransportEnergyCons!$B$4:$B$10000)*1,ISNUMBER(SEARCH("T_b_c*h2o*s2",[2]OUT_TransportEnergyCons!$A$4:$A$10000))*1,[2]OUT_TransportEnergyCons!I$4:I$10000))*1000</f>
        <v>0</v>
      </c>
      <c r="L2196" s="1" cm="1">
        <f t="array" ref="L2196">(SUMPRODUCT(("var_ncap"=[2]OUT_TransportEnergyCons!$B$4:$B$10000)*1,ISNUMBER(SEARCH("T_b_c*h2o*s2",[2]OUT_TransportEnergyCons!$A$4:$A$10000))*1,[2]OUT_TransportEnergyCons!J$4:J$10000))*1000</f>
        <v>0</v>
      </c>
      <c r="N2196" s="1"/>
    </row>
    <row r="2197" spans="2:14" x14ac:dyDescent="0.35">
      <c r="B2197" s="5" t="str">
        <f t="shared" si="2111"/>
        <v>SPS1</v>
      </c>
      <c r="C2197" s="5" t="str">
        <f t="shared" si="2112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4.4828274458532703E-4</v>
      </c>
      <c r="J2197" s="1" cm="1">
        <f t="array" ref="J2197">(SUMPRODUCT(("var_ncap"=[2]OUT_TransportEnergyCons!$B$4:$B$10000)*1,ISNUMBER(SEARCH("T_b_c*h2o*s3",[2]OUT_TransportEnergyCons!$A$4:$A$10000))*1,[2]OUT_TransportEnergyCons!H$4:H$10000))*1000</f>
        <v>1.06840359674076E-5</v>
      </c>
      <c r="K2197" s="1" cm="1">
        <f t="array" ref="K2197">(SUMPRODUCT(("var_ncap"=[2]OUT_TransportEnergyCons!$B$4:$B$10000)*1,ISNUMBER(SEARCH("T_b_c*h2o*s3",[2]OUT_TransportEnergyCons!$A$4:$A$10000))*1,[2]OUT_TransportEnergyCons!I$4:I$10000))*1000</f>
        <v>1.1619533297558098E-5</v>
      </c>
      <c r="L2197" s="1" cm="1">
        <f t="array" ref="L2197">(SUMPRODUCT(("var_ncap"=[2]OUT_TransportEnergyCons!$B$4:$B$10000)*1,ISNUMBER(SEARCH("T_b_c*h2o*s3",[2]OUT_TransportEnergyCons!$A$4:$A$10000))*1,[2]OUT_TransportEnergyCons!J$4:J$10000))*1000</f>
        <v>1.3300368466726201E-5</v>
      </c>
      <c r="N2197" s="1"/>
    </row>
    <row r="2198" spans="2:14" x14ac:dyDescent="0.35">
      <c r="B2198" s="5" t="str">
        <f t="shared" ref="B2198:B2232" si="2115">B2197</f>
        <v>SPS1</v>
      </c>
      <c r="C2198" s="5" t="str">
        <f t="shared" ref="C2198:C2232" si="2116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1.2600969072513199E-4</v>
      </c>
      <c r="J2198" s="1" cm="1">
        <f t="array" ref="J2198">(SUMPRODUCT(("var_ncap"=[2]OUT_TransportEnergyCons!$B$4:$B$10000)*1,ISNUMBER(SEARCH("T_b_c*h2o*s4",[2]OUT_TransportEnergyCons!$A$4:$A$10000))*1,[2]OUT_TransportEnergyCons!H$4:H$10000))*1000</f>
        <v>0</v>
      </c>
      <c r="K2198" s="1" cm="1">
        <f t="array" ref="K2198">(SUMPRODUCT(("var_ncap"=[2]OUT_TransportEnergyCons!$B$4:$B$10000)*1,ISNUMBER(SEARCH("T_b_c*h2o*s4",[2]OUT_TransportEnergyCons!$A$4:$A$10000))*1,[2]OUT_TransportEnergyCons!I$4:I$10000))*1000</f>
        <v>0</v>
      </c>
      <c r="L2198" s="1" cm="1">
        <f t="array" ref="L2198">(SUMPRODUCT(("var_ncap"=[2]OUT_TransportEnergyCons!$B$4:$B$10000)*1,ISNUMBER(SEARCH("T_b_c*h2o*s4",[2]OUT_TransportEnergyCons!$A$4:$A$10000))*1,[2]OUT_TransportEnergyCons!J$4:J$10000))*1000</f>
        <v>0</v>
      </c>
      <c r="N2198" s="1"/>
    </row>
    <row r="2199" spans="2:14" x14ac:dyDescent="0.35">
      <c r="B2199" s="5" t="str">
        <f t="shared" si="2115"/>
        <v>SPS1</v>
      </c>
      <c r="C2199" s="5" t="str">
        <f t="shared" si="2116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7.7768263973979013E-2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1.9587080169810402E-2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2.5439386161630999E-4</v>
      </c>
      <c r="J2199" s="1" cm="1">
        <f t="array" ref="J2199">(SUMPRODUCT(("var_ncap"=[2]OUT_TransportEnergyCons!$B$4:$B$10000)*1,ISNUMBER(SEARCH("T_b_c*hyb*DSL*s1",[2]OUT_TransportEnergyCons!$A$4:$A$10000))*1,[2]OUT_TransportEnergyCons!H$4:H$10000))*1000</f>
        <v>7.227981137176401E-5</v>
      </c>
      <c r="K2199" s="1" cm="1">
        <f t="array" ref="K2199">(SUMPRODUCT(("var_ncap"=[2]OUT_TransportEnergyCons!$B$4:$B$10000)*1,ISNUMBER(SEARCH("T_b_c*hyb*DSL*s1",[2]OUT_TransportEnergyCons!$A$4:$A$10000))*1,[2]OUT_TransportEnergyCons!I$4:I$10000))*1000</f>
        <v>1.2766279871105699E-4</v>
      </c>
      <c r="L2199" s="1" cm="1">
        <f t="array" ref="L2199">(SUMPRODUCT(("var_ncap"=[2]OUT_TransportEnergyCons!$B$4:$B$10000)*1,ISNUMBER(SEARCH("T_b_c*hyb*DSL*s1",[2]OUT_TransportEnergyCons!$A$4:$A$10000))*1,[2]OUT_TransportEnergyCons!J$4:J$10000))*1000</f>
        <v>0</v>
      </c>
      <c r="N2199" s="1"/>
    </row>
    <row r="2200" spans="2:14" x14ac:dyDescent="0.35">
      <c r="B2200" s="5" t="str">
        <f t="shared" si="2115"/>
        <v>SPS1</v>
      </c>
      <c r="C2200" s="5" t="str">
        <f t="shared" si="2116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7.6129508442832504E-3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6.1795812980324407E-3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2.2678441866921299E-4</v>
      </c>
      <c r="J2200" s="1" cm="1">
        <f t="array" ref="J2200">(SUMPRODUCT(("var_ncap"=[2]OUT_TransportEnergyCons!$B$4:$B$10000)*1,ISNUMBER(SEARCH("T_b_c*hyb*DSL*s2",[2]OUT_TransportEnergyCons!$A$4:$A$10000))*1,[2]OUT_TransportEnergyCons!H$4:H$10000))*1000</f>
        <v>2.88095839655541E-5</v>
      </c>
      <c r="K2200" s="1" cm="1">
        <f t="array" ref="K2200">(SUMPRODUCT(("var_ncap"=[2]OUT_TransportEnergyCons!$B$4:$B$10000)*1,ISNUMBER(SEARCH("T_b_c*hyb*DSL*s2",[2]OUT_TransportEnergyCons!$A$4:$A$10000))*1,[2]OUT_TransportEnergyCons!I$4:I$10000))*1000</f>
        <v>1.03439885339475E-4</v>
      </c>
      <c r="L2200" s="1" cm="1">
        <f t="array" ref="L2200">(SUMPRODUCT(("var_ncap"=[2]OUT_TransportEnergyCons!$B$4:$B$10000)*1,ISNUMBER(SEARCH("T_b_c*hyb*DSL*s2",[2]OUT_TransportEnergyCons!$A$4:$A$10000))*1,[2]OUT_TransportEnergyCons!J$4:J$10000))*1000</f>
        <v>0</v>
      </c>
      <c r="N2200" s="1"/>
    </row>
    <row r="2201" spans="2:14" x14ac:dyDescent="0.35">
      <c r="B2201" s="5" t="str">
        <f t="shared" si="2115"/>
        <v>SPS1</v>
      </c>
      <c r="C2201" s="5" t="str">
        <f t="shared" si="2116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2.8996349118833101E-3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2.3215845547976698E-3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3.8270410288597799E-4</v>
      </c>
      <c r="J2201" s="1" cm="1">
        <f t="array" ref="J2201">(SUMPRODUCT(("var_ncap"=[2]OUT_TransportEnergyCons!$B$4:$B$10000)*1,ISNUMBER(SEARCH("T_b_c*hyb*DSL*s3",[2]OUT_TransportEnergyCons!$A$4:$A$10000))*1,[2]OUT_TransportEnergyCons!H$4:H$10000))*1000</f>
        <v>0</v>
      </c>
      <c r="K2201" s="1" cm="1">
        <f t="array" ref="K2201">(SUMPRODUCT(("var_ncap"=[2]OUT_TransportEnergyCons!$B$4:$B$10000)*1,ISNUMBER(SEARCH("T_b_c*hyb*DSL*s3",[2]OUT_TransportEnergyCons!$A$4:$A$10000))*1,[2]OUT_TransportEnergyCons!I$4:I$10000))*1000</f>
        <v>0</v>
      </c>
      <c r="L2201" s="1" cm="1">
        <f t="array" ref="L2201">(SUMPRODUCT(("var_ncap"=[2]OUT_TransportEnergyCons!$B$4:$B$10000)*1,ISNUMBER(SEARCH("T_b_c*hyb*DSL*s3",[2]OUT_TransportEnergyCons!$A$4:$A$10000))*1,[2]OUT_TransportEnergyCons!J$4:J$10000))*1000</f>
        <v>0</v>
      </c>
      <c r="N2201" s="1"/>
    </row>
    <row r="2202" spans="2:14" x14ac:dyDescent="0.35">
      <c r="B2202" s="5" t="str">
        <f t="shared" si="2115"/>
        <v>SPS1</v>
      </c>
      <c r="C2202" s="5" t="str">
        <f t="shared" si="2116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4.5408025436033801E-4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4.7034541450022803E-4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1.16665751347633E-4</v>
      </c>
      <c r="J2202" s="1" cm="1">
        <f t="array" ref="J2202">(SUMPRODUCT(("var_ncap"=[2]OUT_TransportEnergyCons!$B$4:$B$10000)*1,ISNUMBER(SEARCH("T_b_c*hyb*DSL*s4",[2]OUT_TransportEnergyCons!$A$4:$A$10000))*1,[2]OUT_TransportEnergyCons!H$4:H$10000))*1000</f>
        <v>0</v>
      </c>
      <c r="K2202" s="1" cm="1">
        <f t="array" ref="K2202">(SUMPRODUCT(("var_ncap"=[2]OUT_TransportEnergyCons!$B$4:$B$10000)*1,ISNUMBER(SEARCH("T_b_c*hyb*DSL*s4",[2]OUT_TransportEnergyCons!$A$4:$A$10000))*1,[2]OUT_TransportEnergyCons!I$4:I$10000))*1000</f>
        <v>0</v>
      </c>
      <c r="L2202" s="1" cm="1">
        <f t="array" ref="L2202">(SUMPRODUCT(("var_ncap"=[2]OUT_TransportEnergyCons!$B$4:$B$10000)*1,ISNUMBER(SEARCH("T_b_c*hyb*DSL*s4",[2]OUT_TransportEnergyCons!$A$4:$A$10000))*1,[2]OUT_TransportEnergyCons!J$4:J$10000))*1000</f>
        <v>0</v>
      </c>
      <c r="N2202" s="1"/>
    </row>
    <row r="2203" spans="2:14" x14ac:dyDescent="0.35">
      <c r="B2203" s="5" t="str">
        <f t="shared" si="2115"/>
        <v>SPS1</v>
      </c>
      <c r="C2203" s="5" t="str">
        <f t="shared" si="2116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(SUMPRODUCT(("var_ncap"=[2]OUT_TransportEnergyCons!$B$4:$B$10000)*1,ISNUMBER(SEARCH("T_b_c*ICE*DSL*ext",[2]OUT_TransportEnergyCons!$A$4:$A$10000))*1,[2]OUT_TransportEnergyCons!H$4:H$10000))*1000</f>
        <v>0</v>
      </c>
      <c r="K2203" s="1" cm="1">
        <f t="array" ref="K2203">(SUMPRODUCT(("var_ncap"=[2]OUT_TransportEnergyCons!$B$4:$B$10000)*1,ISNUMBER(SEARCH("T_b_c*ICE*DSL*ext",[2]OUT_TransportEnergyCons!$A$4:$A$10000))*1,[2]OUT_TransportEnergyCons!I$4:I$10000))*1000</f>
        <v>0</v>
      </c>
      <c r="L2203" s="1" cm="1">
        <f t="array" ref="L2203">(SUMPRODUCT(("var_ncap"=[2]OUT_TransportEnergyCons!$B$4:$B$10000)*1,ISNUMBER(SEARCH("T_b_c*ICE*DSL*ext",[2]OUT_TransportEnergyCons!$A$4:$A$10000))*1,[2]OUT_TransportEnergyCons!J$4:J$10000))*1000</f>
        <v>0</v>
      </c>
      <c r="N2203" s="1"/>
    </row>
    <row r="2204" spans="2:14" x14ac:dyDescent="0.35">
      <c r="B2204" s="5" t="str">
        <f t="shared" si="2115"/>
        <v>SPS1</v>
      </c>
      <c r="C2204" s="5" t="str">
        <f t="shared" si="2116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0.39533223932779099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0.14438293564874199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6.4406099335119292E-5</v>
      </c>
      <c r="J2204" s="1" cm="1">
        <f t="array" ref="J2204">(SUMPRODUCT(("var_ncap"=[2]OUT_TransportEnergyCons!$B$4:$B$10000)*1,ISNUMBER(SEARCH("T_b_c*ICE*DSL*s1",[2]OUT_TransportEnergyCons!$A$4:$A$10000))*1,[2]OUT_TransportEnergyCons!H$4:H$10000))*1000</f>
        <v>2.5772664801176501E-5</v>
      </c>
      <c r="K2204" s="1" cm="1">
        <f t="array" ref="K2204">(SUMPRODUCT(("var_ncap"=[2]OUT_TransportEnergyCons!$B$4:$B$10000)*1,ISNUMBER(SEARCH("T_b_c*ICE*DSL*s1",[2]OUT_TransportEnergyCons!$A$4:$A$10000))*1,[2]OUT_TransportEnergyCons!I$4:I$10000))*1000</f>
        <v>5.1349809328253597E-5</v>
      </c>
      <c r="L2204" s="1" cm="1">
        <f t="array" ref="L2204">(SUMPRODUCT(("var_ncap"=[2]OUT_TransportEnergyCons!$B$4:$B$10000)*1,ISNUMBER(SEARCH("T_b_c*ICE*DSL*s1",[2]OUT_TransportEnergyCons!$A$4:$A$10000))*1,[2]OUT_TransportEnergyCons!J$4:J$10000))*1000</f>
        <v>0</v>
      </c>
      <c r="N2204" s="1"/>
    </row>
    <row r="2205" spans="2:14" x14ac:dyDescent="0.35">
      <c r="B2205" s="5" t="str">
        <f t="shared" si="2115"/>
        <v>SPS1</v>
      </c>
      <c r="C2205" s="5" t="str">
        <f t="shared" si="2116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1.0420127307786801E-2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1.4409400188122401E-2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1.08885702030024E-5</v>
      </c>
      <c r="J2205" s="1" cm="1">
        <f t="array" ref="J2205">(SUMPRODUCT(("var_ncap"=[2]OUT_TransportEnergyCons!$B$4:$B$10000)*1,ISNUMBER(SEARCH("T_b_c*ICE*DSL*s2",[2]OUT_TransportEnergyCons!$A$4:$A$10000))*1,[2]OUT_TransportEnergyCons!H$4:H$10000))*1000</f>
        <v>1.2655230685888601E-5</v>
      </c>
      <c r="K2205" s="1" cm="1">
        <f t="array" ref="K2205">(SUMPRODUCT(("var_ncap"=[2]OUT_TransportEnergyCons!$B$4:$B$10000)*1,ISNUMBER(SEARCH("T_b_c*ICE*DSL*s2",[2]OUT_TransportEnergyCons!$A$4:$A$10000))*1,[2]OUT_TransportEnergyCons!I$4:I$10000))*1000</f>
        <v>3.8572569921782703E-5</v>
      </c>
      <c r="L2205" s="1" cm="1">
        <f t="array" ref="L2205">(SUMPRODUCT(("var_ncap"=[2]OUT_TransportEnergyCons!$B$4:$B$10000)*1,ISNUMBER(SEARCH("T_b_c*ICE*DSL*s2",[2]OUT_TransportEnergyCons!$A$4:$A$10000))*1,[2]OUT_TransportEnergyCons!J$4:J$10000))*1000</f>
        <v>0</v>
      </c>
      <c r="N2205" s="1"/>
    </row>
    <row r="2206" spans="2:14" x14ac:dyDescent="0.35">
      <c r="B2206" s="5" t="str">
        <f t="shared" si="2115"/>
        <v>SPS1</v>
      </c>
      <c r="C2206" s="5" t="str">
        <f t="shared" si="2116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3.7787551295643501E-3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3.9811475000673703E-3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3.3077960475755599E-5</v>
      </c>
      <c r="J2206" s="1" cm="1">
        <f t="array" ref="J2206">(SUMPRODUCT(("var_ncap"=[2]OUT_TransportEnergyCons!$B$4:$B$10000)*1,ISNUMBER(SEARCH("T_b_c*ICE*DSL*s3",[2]OUT_TransportEnergyCons!$A$4:$A$10000))*1,[2]OUT_TransportEnergyCons!H$4:H$10000))*1000</f>
        <v>1.17978609423769E-5</v>
      </c>
      <c r="K2206" s="1" cm="1">
        <f t="array" ref="K2206">(SUMPRODUCT(("var_ncap"=[2]OUT_TransportEnergyCons!$B$4:$B$10000)*1,ISNUMBER(SEARCH("T_b_c*ICE*DSL*s3",[2]OUT_TransportEnergyCons!$A$4:$A$10000))*1,[2]OUT_TransportEnergyCons!I$4:I$10000))*1000</f>
        <v>2.2319159494198899E-5</v>
      </c>
      <c r="L2206" s="1" cm="1">
        <f t="array" ref="L2206">(SUMPRODUCT(("var_ncap"=[2]OUT_TransportEnergyCons!$B$4:$B$10000)*1,ISNUMBER(SEARCH("T_b_c*ICE*DSL*s3",[2]OUT_TransportEnergyCons!$A$4:$A$10000))*1,[2]OUT_TransportEnergyCons!J$4:J$10000))*1000</f>
        <v>0</v>
      </c>
      <c r="N2206" s="1"/>
    </row>
    <row r="2207" spans="2:14" x14ac:dyDescent="0.35">
      <c r="B2207" s="5" t="str">
        <f t="shared" si="2115"/>
        <v>SPS1</v>
      </c>
      <c r="C2207" s="5" t="str">
        <f t="shared" si="2116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4.73077310820733E-4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6.7610274839163007E-4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5.3707013805286198E-5</v>
      </c>
      <c r="J2207" s="1" cm="1">
        <f t="array" ref="J2207">(SUMPRODUCT(("var_ncap"=[2]OUT_TransportEnergyCons!$B$4:$B$10000)*1,ISNUMBER(SEARCH("T_b_c*ICE*DSL*s4",[2]OUT_TransportEnergyCons!$A$4:$A$10000))*1,[2]OUT_TransportEnergyCons!H$4:H$10000))*1000</f>
        <v>0</v>
      </c>
      <c r="K2207" s="1" cm="1">
        <f t="array" ref="K2207">(SUMPRODUCT(("var_ncap"=[2]OUT_TransportEnergyCons!$B$4:$B$10000)*1,ISNUMBER(SEARCH("T_b_c*ICE*DSL*s4",[2]OUT_TransportEnergyCons!$A$4:$A$10000))*1,[2]OUT_TransportEnergyCons!I$4:I$10000))*1000</f>
        <v>0</v>
      </c>
      <c r="L2207" s="1" cm="1">
        <f t="array" ref="L2207">(SUMPRODUCT(("var_ncap"=[2]OUT_TransportEnergyCons!$B$4:$B$10000)*1,ISNUMBER(SEARCH("T_b_c*ICE*DSL*s4",[2]OUT_TransportEnergyCons!$A$4:$A$10000))*1,[2]OUT_TransportEnergyCons!J$4:J$10000))*1000</f>
        <v>0</v>
      </c>
      <c r="N2207" s="1"/>
    </row>
    <row r="2208" spans="2:14" x14ac:dyDescent="0.35">
      <c r="B2208" s="5" t="str">
        <f t="shared" si="2115"/>
        <v>SPS1</v>
      </c>
      <c r="C2208" s="5" t="str">
        <f t="shared" si="2116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(SUMPRODUCT(("var_ncap"=[2]OUT_TransportEnergyCons!$B$4:$B$10000)*1,ISNUMBER(SEARCH("T_b_c*ICE*nga*ext",[2]OUT_TransportEnergyCons!$A$4:$A$10000))*1,[2]OUT_TransportEnergyCons!H$4:H$10000))*1000</f>
        <v>0</v>
      </c>
      <c r="K2208" s="1" cm="1">
        <f t="array" ref="K2208">(SUMPRODUCT(("var_ncap"=[2]OUT_TransportEnergyCons!$B$4:$B$10000)*1,ISNUMBER(SEARCH("T_b_c*ICE*nga*ext",[2]OUT_TransportEnergyCons!$A$4:$A$10000))*1,[2]OUT_TransportEnergyCons!I$4:I$10000))*1000</f>
        <v>0</v>
      </c>
      <c r="L2208" s="1" cm="1">
        <f t="array" ref="L2208">(SUMPRODUCT(("var_ncap"=[2]OUT_TransportEnergyCons!$B$4:$B$10000)*1,ISNUMBER(SEARCH("T_b_c*ICE*nga*ext",[2]OUT_TransportEnergyCons!$A$4:$A$10000))*1,[2]OUT_TransportEnergyCons!J$4:J$10000))*1000</f>
        <v>0</v>
      </c>
      <c r="N2208" s="1"/>
    </row>
    <row r="2209" spans="2:14" x14ac:dyDescent="0.35">
      <c r="B2209" s="5" t="str">
        <f t="shared" si="2115"/>
        <v>SPS1</v>
      </c>
      <c r="C2209" s="5" t="str">
        <f t="shared" si="2116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6.1925291255856699E-3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4.8771289840161894E-3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1.7475064065903401E-4</v>
      </c>
      <c r="J2209" s="1" cm="1">
        <f t="array" ref="J2209">(SUMPRODUCT(("var_ncap"=[2]OUT_TransportEnergyCons!$B$4:$B$10000)*1,ISNUMBER(SEARCH("T_b_c*ICE*nga*s1",[2]OUT_TransportEnergyCons!$A$4:$A$10000))*1,[2]OUT_TransportEnergyCons!H$4:H$10000))*1000</f>
        <v>1.7796762775952099E-5</v>
      </c>
      <c r="K2209" s="1" cm="1">
        <f t="array" ref="K2209">(SUMPRODUCT(("var_ncap"=[2]OUT_TransportEnergyCons!$B$4:$B$10000)*1,ISNUMBER(SEARCH("T_b_c*ICE*nga*s1",[2]OUT_TransportEnergyCons!$A$4:$A$10000))*1,[2]OUT_TransportEnergyCons!I$4:I$10000))*1000</f>
        <v>1.4973502022427E-5</v>
      </c>
      <c r="L2209" s="1" cm="1">
        <f t="array" ref="L2209">(SUMPRODUCT(("var_ncap"=[2]OUT_TransportEnergyCons!$B$4:$B$10000)*1,ISNUMBER(SEARCH("T_b_c*ICE*nga*s1",[2]OUT_TransportEnergyCons!$A$4:$A$10000))*1,[2]OUT_TransportEnergyCons!J$4:J$10000))*1000</f>
        <v>0</v>
      </c>
      <c r="N2209" s="1"/>
    </row>
    <row r="2210" spans="2:14" x14ac:dyDescent="0.35">
      <c r="B2210" s="5" t="str">
        <f t="shared" si="2115"/>
        <v>SPS1</v>
      </c>
      <c r="C2210" s="5" t="str">
        <f t="shared" si="2116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3.0337087329467003E-3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4.2068283311581401E-3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9.7472314277058497E-5</v>
      </c>
      <c r="J2210" s="1" cm="1">
        <f t="array" ref="J2210">(SUMPRODUCT(("var_ncap"=[2]OUT_TransportEnergyCons!$B$4:$B$10000)*1,ISNUMBER(SEARCH("T_b_c*ICE*nga*s2",[2]OUT_TransportEnergyCons!$A$4:$A$10000))*1,[2]OUT_TransportEnergyCons!H$4:H$10000))*1000</f>
        <v>0</v>
      </c>
      <c r="K2210" s="1" cm="1">
        <f t="array" ref="K2210">(SUMPRODUCT(("var_ncap"=[2]OUT_TransportEnergyCons!$B$4:$B$10000)*1,ISNUMBER(SEARCH("T_b_c*ICE*nga*s2",[2]OUT_TransportEnergyCons!$A$4:$A$10000))*1,[2]OUT_TransportEnergyCons!I$4:I$10000))*1000</f>
        <v>0</v>
      </c>
      <c r="L2210" s="1" cm="1">
        <f t="array" ref="L2210">(SUMPRODUCT(("var_ncap"=[2]OUT_TransportEnergyCons!$B$4:$B$10000)*1,ISNUMBER(SEARCH("T_b_c*ICE*nga*s2",[2]OUT_TransportEnergyCons!$A$4:$A$10000))*1,[2]OUT_TransportEnergyCons!J$4:J$10000))*1000</f>
        <v>0</v>
      </c>
      <c r="N2210" s="1"/>
    </row>
    <row r="2211" spans="2:14" x14ac:dyDescent="0.35">
      <c r="B2211" s="5" t="str">
        <f t="shared" si="2115"/>
        <v>SPS1</v>
      </c>
      <c r="C2211" s="5" t="str">
        <f t="shared" si="2116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1.8196409797684898E-3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2.7354439618993399E-3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9.6631523940386306E-5</v>
      </c>
      <c r="J2211" s="1" cm="1">
        <f t="array" ref="J2211">(SUMPRODUCT(("var_ncap"=[2]OUT_TransportEnergyCons!$B$4:$B$10000)*1,ISNUMBER(SEARCH("T_b_c*ICE*nga*s3",[2]OUT_TransportEnergyCons!$A$4:$A$10000))*1,[2]OUT_TransportEnergyCons!H$4:H$10000))*1000</f>
        <v>1.06529199663483E-5</v>
      </c>
      <c r="K2211" s="1" cm="1">
        <f t="array" ref="K2211">(SUMPRODUCT(("var_ncap"=[2]OUT_TransportEnergyCons!$B$4:$B$10000)*1,ISNUMBER(SEARCH("T_b_c*ICE*nga*s3",[2]OUT_TransportEnergyCons!$A$4:$A$10000))*1,[2]OUT_TransportEnergyCons!I$4:I$10000))*1000</f>
        <v>1.4659882195922901E-5</v>
      </c>
      <c r="L2211" s="1" cm="1">
        <f t="array" ref="L2211">(SUMPRODUCT(("var_ncap"=[2]OUT_TransportEnergyCons!$B$4:$B$10000)*1,ISNUMBER(SEARCH("T_b_c*ICE*nga*s3",[2]OUT_TransportEnergyCons!$A$4:$A$10000))*1,[2]OUT_TransportEnergyCons!J$4:J$10000))*1000</f>
        <v>0</v>
      </c>
      <c r="N2211" s="1"/>
    </row>
    <row r="2212" spans="2:14" x14ac:dyDescent="0.35">
      <c r="B2212" s="5" t="str">
        <f t="shared" si="2115"/>
        <v>SPS1</v>
      </c>
      <c r="C2212" s="5" t="str">
        <f t="shared" si="2116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2.3758224202754901E-4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5.01682729914602E-4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5.0439740103103202E-5</v>
      </c>
      <c r="J2212" s="1" cm="1">
        <f t="array" ref="J2212">(SUMPRODUCT(("var_ncap"=[2]OUT_TransportEnergyCons!$B$4:$B$10000)*1,ISNUMBER(SEARCH("T_b_c*ICE*nga*s4",[2]OUT_TransportEnergyCons!$A$4:$A$10000))*1,[2]OUT_TransportEnergyCons!H$4:H$10000))*1000</f>
        <v>0</v>
      </c>
      <c r="K2212" s="1" cm="1">
        <f t="array" ref="K2212">(SUMPRODUCT(("var_ncap"=[2]OUT_TransportEnergyCons!$B$4:$B$10000)*1,ISNUMBER(SEARCH("T_b_c*ICE*nga*s4",[2]OUT_TransportEnergyCons!$A$4:$A$10000))*1,[2]OUT_TransportEnergyCons!I$4:I$10000))*1000</f>
        <v>0</v>
      </c>
      <c r="L2212" s="1" cm="1">
        <f t="array" ref="L2212">(SUMPRODUCT(("var_ncap"=[2]OUT_TransportEnergyCons!$B$4:$B$10000)*1,ISNUMBER(SEARCH("T_b_c*ICE*nga*s4",[2]OUT_TransportEnergyCons!$A$4:$A$10000))*1,[2]OUT_TransportEnergyCons!J$4:J$10000))*1000</f>
        <v>0</v>
      </c>
      <c r="N2212" s="1"/>
    </row>
    <row r="2213" spans="2:14" x14ac:dyDescent="0.35">
      <c r="B2213" s="5" t="str">
        <f t="shared" si="2115"/>
        <v>SPS1</v>
      </c>
      <c r="C2213" s="5" t="str">
        <f t="shared" si="2116"/>
        <v>CH</v>
      </c>
      <c r="D2213" s="2" t="s">
        <v>2342</v>
      </c>
      <c r="E2213" s="2" t="s">
        <v>1999</v>
      </c>
      <c r="F2213" s="3">
        <f t="shared" ref="F2213:K2213" si="2117">SUM(F2214:F2222)</f>
        <v>1.84436336268901E-2</v>
      </c>
      <c r="G2213" s="3">
        <f t="shared" si="2117"/>
        <v>16.659231045505425</v>
      </c>
      <c r="H2213" s="3">
        <f t="shared" si="2117"/>
        <v>62.971445763322265</v>
      </c>
      <c r="I2213" s="3">
        <f t="shared" si="2117"/>
        <v>169.04831432614651</v>
      </c>
      <c r="J2213" s="3">
        <f t="shared" si="2117"/>
        <v>244.34885971189476</v>
      </c>
      <c r="K2213" s="3">
        <f t="shared" si="2117"/>
        <v>200.93809351285293</v>
      </c>
      <c r="L2213" s="3">
        <f t="shared" ref="L2213" si="2118">SUM(L2214:L2222)</f>
        <v>393.18050103700955</v>
      </c>
      <c r="N2213" s="1"/>
    </row>
    <row r="2214" spans="2:14" x14ac:dyDescent="0.35">
      <c r="B2214" s="5" t="str">
        <f t="shared" si="2115"/>
        <v>SPS1</v>
      </c>
      <c r="C2214" s="5" t="str">
        <f t="shared" si="2116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(SUMPRODUCT(("var_ncap"=[2]OUT_TransportEnergyCons!$B$4:$B$10000)*1,("-"=[2]OUT_TransportEnergyCons!$C$4:$C$10000)*1,ISNUMBER(SEARCH("tfl*bev*ext",[2]OUT_TransportEnergyCons!$A$4:$A$10000))*1,[2]OUT_TransportEnergyCons!H$4:H$10000))*1000</f>
        <v>0</v>
      </c>
      <c r="K2214" s="1" cm="1">
        <f t="array" ref="K2214">(SUMPRODUCT(("var_ncap"=[2]OUT_TransportEnergyCons!$B$4:$B$10000)*1,("-"=[2]OUT_TransportEnergyCons!$C$4:$C$10000)*1,ISNUMBER(SEARCH("tfl*bev*ext",[2]OUT_TransportEnergyCons!$A$4:$A$10000))*1,[2]OUT_TransportEnergyCons!I$4:I$10000))*1000</f>
        <v>0</v>
      </c>
      <c r="L2214" s="1" cm="1">
        <f t="array" ref="L2214">(SUMPRODUCT(("var_ncap"=[2]OUT_TransportEnergyCons!$B$4:$B$10000)*1,("-"=[2]OUT_TransportEnergyCons!$C$4:$C$10000)*1,ISNUMBER(SEARCH("tfl*bev*ext",[2]OUT_TransportEnergyCons!$A$4:$A$10000))*1,[2]OUT_TransportEnergyCons!J$4:J$10000))*1000</f>
        <v>0</v>
      </c>
      <c r="N2214" s="1"/>
    </row>
    <row r="2215" spans="2:14" x14ac:dyDescent="0.35">
      <c r="B2215" s="5" t="str">
        <f t="shared" si="2115"/>
        <v>SPS1</v>
      </c>
      <c r="C2215" s="5" t="str">
        <f t="shared" si="2116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3.6409147471264101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2.90338983637267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137.17751973106601</v>
      </c>
      <c r="J2215" s="1" cm="1">
        <f t="array" ref="J2215">(SUMPRODUCT(("var_ncap"=[2]OUT_TransportEnergyCons!$B$4:$B$10000)*1,("-"=[2]OUT_TransportEnergyCons!$C$4:$C$10000)*1,ISNUMBER(SEARCH("tfl*bev*",[2]OUT_TransportEnergyCons!$A$4:$A$10000))*1,[2]OUT_TransportEnergyCons!H$4:H$10000))*1000-J2214</f>
        <v>244.348569003107</v>
      </c>
      <c r="K2215" s="1" cm="1">
        <f t="array" ref="K2215">(SUMPRODUCT(("var_ncap"=[2]OUT_TransportEnergyCons!$B$4:$B$10000)*1,("-"=[2]OUT_TransportEnergyCons!$C$4:$C$10000)*1,ISNUMBER(SEARCH("tfl*bev*",[2]OUT_TransportEnergyCons!$A$4:$A$10000))*1,[2]OUT_TransportEnergyCons!I$4:I$10000))*1000-K2214</f>
        <v>200.937766409483</v>
      </c>
      <c r="L2215" s="1" cm="1">
        <f t="array" ref="L2215">(SUMPRODUCT(("var_ncap"=[2]OUT_TransportEnergyCons!$B$4:$B$10000)*1,("-"=[2]OUT_TransportEnergyCons!$C$4:$C$10000)*1,ISNUMBER(SEARCH("tfl*bev*",[2]OUT_TransportEnergyCons!$A$4:$A$10000))*1,[2]OUT_TransportEnergyCons!J$4:J$10000))*1000-L2214</f>
        <v>393.18012603323797</v>
      </c>
      <c r="N2215" s="1"/>
    </row>
    <row r="2216" spans="2:14" x14ac:dyDescent="0.35">
      <c r="B2216" s="5" t="str">
        <f t="shared" si="2115"/>
        <v>SPS1</v>
      </c>
      <c r="C2216" s="5" t="str">
        <f t="shared" si="2116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3.0327895704679197E-2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1.60291462169273E-2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3.5189101523637701E-3</v>
      </c>
      <c r="J2216" s="1" cm="1">
        <f t="array" ref="J2216">(SUMPRODUCT(("var_ncap"=[2]OUT_TransportEnergyCons!$B$4:$B$10000)*1,("-"=[2]OUT_TransportEnergyCons!$C$4:$C$10000)*1,ISNUMBER(SEARCH("tfl*h2o*",[2]OUT_TransportEnergyCons!$A$4:$A$10000))*1,[2]OUT_TransportEnergyCons!H$4:H$10000))*1000</f>
        <v>2.9070878775621999E-4</v>
      </c>
      <c r="K2216" s="1" cm="1">
        <f t="array" ref="K2216">(SUMPRODUCT(("var_ncap"=[2]OUT_TransportEnergyCons!$B$4:$B$10000)*1,("-"=[2]OUT_TransportEnergyCons!$C$4:$C$10000)*1,ISNUMBER(SEARCH("tfl*h2o*",[2]OUT_TransportEnergyCons!$A$4:$A$10000))*1,[2]OUT_TransportEnergyCons!I$4:I$10000))*1000</f>
        <v>3.2710336992398904E-4</v>
      </c>
      <c r="L2216" s="1" cm="1">
        <f t="array" ref="L2216">(SUMPRODUCT(("var_ncap"=[2]OUT_TransportEnergyCons!$B$4:$B$10000)*1,("-"=[2]OUT_TransportEnergyCons!$C$4:$C$10000)*1,ISNUMBER(SEARCH("tfl*h2o*",[2]OUT_TransportEnergyCons!$A$4:$A$10000))*1,[2]OUT_TransportEnergyCons!J$4:J$10000))*1000</f>
        <v>3.7500377156463098E-4</v>
      </c>
      <c r="N2216" s="1"/>
    </row>
    <row r="2217" spans="2:14" x14ac:dyDescent="0.35">
      <c r="B2217" s="5" t="str">
        <f t="shared" si="2115"/>
        <v>SPS1</v>
      </c>
      <c r="C2217" s="5" t="str">
        <f t="shared" si="2116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(SUMPRODUCT(("var_ncap"=[2]OUT_TransportEnergyCons!$B$4:$B$10000)*1,("-"=[2]OUT_TransportEnergyCons!$C$4:$C$10000)*1,ISNUMBER(SEARCH("TfL*ICE*GSL*ext",[2]OUT_TransportEnergyCons!$A$4:$A$10000))*1,[2]OUT_TransportEnergyCons!H$4:H$10000))*1000</f>
        <v>0</v>
      </c>
      <c r="K2217" s="1" cm="1">
        <f t="array" ref="K2217">(SUMPRODUCT(("var_ncap"=[2]OUT_TransportEnergyCons!$B$4:$B$10000)*1,("-"=[2]OUT_TransportEnergyCons!$C$4:$C$10000)*1,ISNUMBER(SEARCH("TfL*ICE*GSL*ext",[2]OUT_TransportEnergyCons!$A$4:$A$10000))*1,[2]OUT_TransportEnergyCons!I$4:I$10000))*1000</f>
        <v>0</v>
      </c>
      <c r="L2217" s="1" cm="1">
        <f t="array" ref="L2217">(SUMPRODUCT(("var_ncap"=[2]OUT_TransportEnergyCons!$B$4:$B$10000)*1,("-"=[2]OUT_TransportEnergyCons!$C$4:$C$10000)*1,ISNUMBER(SEARCH("TfL*ICE*GSL*ext",[2]OUT_TransportEnergyCons!$A$4:$A$10000))*1,[2]OUT_TransportEnergyCons!J$4:J$10000))*1000</f>
        <v>0</v>
      </c>
      <c r="N2217" s="1"/>
    </row>
    <row r="2218" spans="2:14" x14ac:dyDescent="0.35">
      <c r="B2218" s="5" t="str">
        <f t="shared" si="2115"/>
        <v>SPS1</v>
      </c>
      <c r="C2218" s="5" t="str">
        <f t="shared" si="2116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5.8825364516143805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12.623609637119001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27.594327152662903</v>
      </c>
      <c r="J2218" s="1" cm="1">
        <f t="array" ref="J2218">(SUMPRODUCT(("var_ncap"=[2]OUT_TransportEnergyCons!$B$4:$B$10000)*1,("-"=[2]OUT_TransportEnergyCons!$C$4:$C$10000)*1,ISNUMBER(SEARCH("TfL*ICE*GSL*",[2]OUT_TransportEnergyCons!$A$4:$A$10000))*1,[2]OUT_TransportEnergyCons!H$4:H$10000))*1000-J2217</f>
        <v>0</v>
      </c>
      <c r="K2218" s="1" cm="1">
        <f t="array" ref="K2218">(SUMPRODUCT(("var_ncap"=[2]OUT_TransportEnergyCons!$B$4:$B$10000)*1,("-"=[2]OUT_TransportEnergyCons!$C$4:$C$10000)*1,ISNUMBER(SEARCH("TfL*ICE*GSL*",[2]OUT_TransportEnergyCons!$A$4:$A$10000))*1,[2]OUT_TransportEnergyCons!I$4:I$10000))*1000-K2217</f>
        <v>0</v>
      </c>
      <c r="L2218" s="1" cm="1">
        <f t="array" ref="L2218">(SUMPRODUCT(("var_ncap"=[2]OUT_TransportEnergyCons!$B$4:$B$10000)*1,("-"=[2]OUT_TransportEnergyCons!$C$4:$C$10000)*1,ISNUMBER(SEARCH("TfL*ICE*GSL*",[2]OUT_TransportEnergyCons!$A$4:$A$10000))*1,[2]OUT_TransportEnergyCons!J$4:J$10000))*1000-L2217</f>
        <v>0</v>
      </c>
      <c r="N2218" s="1"/>
    </row>
    <row r="2219" spans="2:14" x14ac:dyDescent="0.35">
      <c r="B2219" s="5" t="str">
        <f t="shared" si="2115"/>
        <v>SPS1</v>
      </c>
      <c r="C2219" s="5" t="str">
        <f t="shared" si="2116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(SUMPRODUCT(("var_ncap"=[2]OUT_TransportEnergyCons!$B$4:$B$10000)*1,("-"=[2]OUT_TransportEnergyCons!$C$4:$C$10000)*1,ISNUMBER(SEARCH("tfl*ICE*DSL*ext",[2]OUT_TransportEnergyCons!$A$4:$A$10000))*1,[2]OUT_TransportEnergyCons!H$4:H$10000))*1000</f>
        <v>0</v>
      </c>
      <c r="K2219" s="1" cm="1">
        <f t="array" ref="K2219">(SUMPRODUCT(("var_ncap"=[2]OUT_TransportEnergyCons!$B$4:$B$10000)*1,("-"=[2]OUT_TransportEnergyCons!$C$4:$C$10000)*1,ISNUMBER(SEARCH("tfl*ICE*DSL*ext",[2]OUT_TransportEnergyCons!$A$4:$A$10000))*1,[2]OUT_TransportEnergyCons!I$4:I$10000))*1000</f>
        <v>0</v>
      </c>
      <c r="L2219" s="1" cm="1">
        <f t="array" ref="L2219">(SUMPRODUCT(("var_ncap"=[2]OUT_TransportEnergyCons!$B$4:$B$10000)*1,("-"=[2]OUT_TransportEnergyCons!$C$4:$C$10000)*1,ISNUMBER(SEARCH("tfl*ICE*DSL*ext",[2]OUT_TransportEnergyCons!$A$4:$A$10000))*1,[2]OUT_TransportEnergyCons!J$4:J$10000))*1000</f>
        <v>0</v>
      </c>
      <c r="N2219" s="1"/>
    </row>
    <row r="2220" spans="2:14" x14ac:dyDescent="0.35">
      <c r="B2220" s="5" t="str">
        <f t="shared" si="2115"/>
        <v>SPS1</v>
      </c>
      <c r="C2220" s="5" t="str">
        <f t="shared" si="2116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0.35239796044041399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1.64591006130717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0.80739535086164804</v>
      </c>
      <c r="J2220" s="1" cm="1">
        <f t="array" ref="J2220">(SUMPRODUCT(("var_ncap"=[2]OUT_TransportEnergyCons!$B$4:$B$10000)*1,("-"=[2]OUT_TransportEnergyCons!$C$4:$C$10000)*1,ISNUMBER(SEARCH("tfl*ICE*DSL*",[2]OUT_TransportEnergyCons!$A$4:$A$10000))*1,[2]OUT_TransportEnergyCons!H$4:H$10000))*1000-J2219</f>
        <v>0</v>
      </c>
      <c r="K2220" s="1" cm="1">
        <f t="array" ref="K2220">(SUMPRODUCT(("var_ncap"=[2]OUT_TransportEnergyCons!$B$4:$B$10000)*1,("-"=[2]OUT_TransportEnergyCons!$C$4:$C$10000)*1,ISNUMBER(SEARCH("tfl*ICE*DSL*",[2]OUT_TransportEnergyCons!$A$4:$A$10000))*1,[2]OUT_TransportEnergyCons!I$4:I$10000))*1000-K2219</f>
        <v>0</v>
      </c>
      <c r="L2220" s="1" cm="1">
        <f t="array" ref="L2220">(SUMPRODUCT(("var_ncap"=[2]OUT_TransportEnergyCons!$B$4:$B$10000)*1,("-"=[2]OUT_TransportEnergyCons!$C$4:$C$10000)*1,ISNUMBER(SEARCH("tfl*ICE*DSL*",[2]OUT_TransportEnergyCons!$A$4:$A$10000))*1,[2]OUT_TransportEnergyCons!J$4:J$10000))*1000-L2219</f>
        <v>0</v>
      </c>
      <c r="N2220" s="1"/>
    </row>
    <row r="2221" spans="2:14" x14ac:dyDescent="0.35">
      <c r="B2221" s="5" t="str">
        <f t="shared" si="2115"/>
        <v>SPS1</v>
      </c>
      <c r="C2221" s="5" t="str">
        <f t="shared" si="2116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6.7094236436468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45.7518780656399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3.4302271659534904</v>
      </c>
      <c r="J2221" s="1" cm="1">
        <f t="array" ref="J2221">(SUMPRODUCT(("var_ncap"=[2]OUT_TransportEnergyCons!$B$4:$B$10000)*1,("-"=[2]OUT_TransportEnergyCons!$C$4:$C$10000)*1,ISNUMBER(SEARCH("tfl*hyb*DSL*",[2]OUT_TransportEnergyCons!$A$4:$A$10000))*1,[2]OUT_TransportEnergyCons!H$4:H$10000))*1000</f>
        <v>0</v>
      </c>
      <c r="K2221" s="1" cm="1">
        <f t="array" ref="K2221">(SUMPRODUCT(("var_ncap"=[2]OUT_TransportEnergyCons!$B$4:$B$10000)*1,("-"=[2]OUT_TransportEnergyCons!$C$4:$C$10000)*1,ISNUMBER(SEARCH("tfl*hyb*DSL*",[2]OUT_TransportEnergyCons!$A$4:$A$10000))*1,[2]OUT_TransportEnergyCons!I$4:I$10000))*1000</f>
        <v>0</v>
      </c>
      <c r="L2221" s="1" cm="1">
        <f t="array" ref="L2221">(SUMPRODUCT(("var_ncap"=[2]OUT_TransportEnergyCons!$B$4:$B$10000)*1,("-"=[2]OUT_TransportEnergyCons!$C$4:$C$10000)*1,ISNUMBER(SEARCH("tfl*hyb*DSL*",[2]OUT_TransportEnergyCons!$A$4:$A$10000))*1,[2]OUT_TransportEnergyCons!J$4:J$10000))*1000</f>
        <v>0</v>
      </c>
      <c r="N2221" s="1"/>
    </row>
    <row r="2222" spans="2:14" x14ac:dyDescent="0.35">
      <c r="B2222" s="5" t="str">
        <f t="shared" si="2115"/>
        <v>SPS1</v>
      </c>
      <c r="C2222" s="5" t="str">
        <f t="shared" si="2116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1.84436336268901E-2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4.3630346972742297E-2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3.06290166665955E-2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3.5326015450105906E-2</v>
      </c>
      <c r="J2222" s="1" cm="1">
        <f t="array" ref="J2222">(SUMPRODUCT(("var_ncap"=[2]OUT_TransportEnergyCons!$B$4:$B$10000)*1,("-"=[2]OUT_TransportEnergyCons!$C$4:$C$10000)*1,ISNUMBER(SEARCH("tfl*ice*nga*",[2]OUT_TransportEnergyCons!$A$4:$A$10000))*1,[2]OUT_TransportEnergyCons!H$4:H$10000))*1000</f>
        <v>0</v>
      </c>
      <c r="K2222" s="1" cm="1">
        <f t="array" ref="K2222">(SUMPRODUCT(("var_ncap"=[2]OUT_TransportEnergyCons!$B$4:$B$10000)*1,("-"=[2]OUT_TransportEnergyCons!$C$4:$C$10000)*1,ISNUMBER(SEARCH("tfl*ice*nga*",[2]OUT_TransportEnergyCons!$A$4:$A$10000))*1,[2]OUT_TransportEnergyCons!I$4:I$10000))*1000</f>
        <v>0</v>
      </c>
      <c r="L2222" s="1" cm="1">
        <f t="array" ref="L2222">(SUMPRODUCT(("var_ncap"=[2]OUT_TransportEnergyCons!$B$4:$B$10000)*1,("-"=[2]OUT_TransportEnergyCons!$C$4:$C$10000)*1,ISNUMBER(SEARCH("tfl*ice*nga*",[2]OUT_TransportEnergyCons!$A$4:$A$10000))*1,[2]OUT_TransportEnergyCons!J$4:J$10000))*1000</f>
        <v>0</v>
      </c>
      <c r="N2222" s="1"/>
    </row>
    <row r="2223" spans="2:14" x14ac:dyDescent="0.35">
      <c r="B2223" s="5" t="str">
        <f t="shared" si="2115"/>
        <v>SPS1</v>
      </c>
      <c r="C2223" s="5" t="str">
        <f t="shared" si="2116"/>
        <v>CH</v>
      </c>
      <c r="D2223" s="2" t="s">
        <v>2352</v>
      </c>
      <c r="E2223" s="2" t="s">
        <v>1999</v>
      </c>
      <c r="F2223" s="3">
        <f t="shared" ref="F2223:K2223" si="2119">SUM(F2224:F2232)</f>
        <v>0</v>
      </c>
      <c r="G2223" s="3">
        <f t="shared" si="2119"/>
        <v>3.3073416836613889</v>
      </c>
      <c r="H2223" s="3">
        <f t="shared" si="2119"/>
        <v>9.431179644205848</v>
      </c>
      <c r="I2223" s="3">
        <f t="shared" si="2119"/>
        <v>26.447726918016738</v>
      </c>
      <c r="J2223" s="3">
        <f t="shared" si="2119"/>
        <v>40.333214757569188</v>
      </c>
      <c r="K2223" s="3">
        <f t="shared" si="2119"/>
        <v>21.593842284532599</v>
      </c>
      <c r="L2223" s="3">
        <f t="shared" ref="L2223" si="2120">SUM(L2224:L2232)</f>
        <v>49.283511409722443</v>
      </c>
      <c r="M2223" s="3"/>
      <c r="N2223" s="1"/>
    </row>
    <row r="2224" spans="2:14" x14ac:dyDescent="0.35">
      <c r="B2224" s="5" t="str">
        <f t="shared" si="2115"/>
        <v>SPS1</v>
      </c>
      <c r="C2224" s="5" t="str">
        <f t="shared" si="2116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(SUMPRODUCT(("var_ncap"=[2]OUT_TransportEnergyCons!$B$4:$B$10000)*1,("-"=[2]OUT_TransportEnergyCons!$C$4:$C$10000)*1,ISNUMBER(SEARCH("tfh*bev*ext",[2]OUT_TransportEnergyCons!$A$4:$A$10000))*1,[2]OUT_TransportEnergyCons!H$4:H$10000))*1000</f>
        <v>0</v>
      </c>
      <c r="K2224" s="1" cm="1">
        <f t="array" ref="K2224">(SUMPRODUCT(("var_ncap"=[2]OUT_TransportEnergyCons!$B$4:$B$10000)*1,("-"=[2]OUT_TransportEnergyCons!$C$4:$C$10000)*1,ISNUMBER(SEARCH("tfh*bev*ext",[2]OUT_TransportEnergyCons!$A$4:$A$10000))*1,[2]OUT_TransportEnergyCons!I$4:I$10000))*1000</f>
        <v>0</v>
      </c>
      <c r="L2224" s="1" cm="1">
        <f t="array" ref="L2224">(SUMPRODUCT(("var_ncap"=[2]OUT_TransportEnergyCons!$B$4:$B$10000)*1,("-"=[2]OUT_TransportEnergyCons!$C$4:$C$10000)*1,ISNUMBER(SEARCH("tfh*bev*ext",[2]OUT_TransportEnergyCons!$A$4:$A$10000))*1,[2]OUT_TransportEnergyCons!J$4:J$10000))*1000</f>
        <v>0</v>
      </c>
      <c r="N2224" s="1"/>
    </row>
    <row r="2225" spans="2:14" x14ac:dyDescent="0.35">
      <c r="B2225" s="5" t="str">
        <f t="shared" si="2115"/>
        <v>SPS1</v>
      </c>
      <c r="C2225" s="5" t="str">
        <f t="shared" si="2116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9.1762928364311103E-2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0.11109491548235499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14.0495135664084</v>
      </c>
      <c r="J2225" s="1" cm="1">
        <f t="array" ref="J2225">(SUMPRODUCT(("var_ncap"=[2]OUT_TransportEnergyCons!$B$4:$B$10000)*1,("-"=[2]OUT_TransportEnergyCons!$C$4:$C$10000)*1,ISNUMBER(SEARCH("tfh*bev*",[2]OUT_TransportEnergyCons!$A$4:$A$10000))*1,[2]OUT_TransportEnergyCons!H$4:H$10000))*1000-J2224</f>
        <v>8.351410392617991</v>
      </c>
      <c r="K2225" s="1" cm="1">
        <f t="array" ref="K2225">(SUMPRODUCT(("var_ncap"=[2]OUT_TransportEnergyCons!$B$4:$B$10000)*1,("-"=[2]OUT_TransportEnergyCons!$C$4:$C$10000)*1,ISNUMBER(SEARCH("tfh*bev*",[2]OUT_TransportEnergyCons!$A$4:$A$10000))*1,[2]OUT_TransportEnergyCons!I$4:I$10000))*1000-K2224</f>
        <v>21.589782933018299</v>
      </c>
      <c r="L2225" s="1" cm="1">
        <f t="array" ref="L2225">(SUMPRODUCT(("var_ncap"=[2]OUT_TransportEnergyCons!$B$4:$B$10000)*1,("-"=[2]OUT_TransportEnergyCons!$C$4:$C$10000)*1,ISNUMBER(SEARCH("tfh*bev*",[2]OUT_TransportEnergyCons!$A$4:$A$10000))*1,[2]OUT_TransportEnergyCons!J$4:J$10000))*1000-L2224</f>
        <v>49.282645817089595</v>
      </c>
      <c r="N2225" s="1"/>
    </row>
    <row r="2226" spans="2:14" x14ac:dyDescent="0.35">
      <c r="B2226" s="5" t="str">
        <f t="shared" si="2115"/>
        <v>SPS1</v>
      </c>
      <c r="C2226" s="5" t="str">
        <f t="shared" si="2116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4.0258976701460997E-3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3.8834709868793699E-3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6.7609010957936496E-3</v>
      </c>
      <c r="J2226" s="1" cm="1">
        <f t="array" ref="J2226">(SUMPRODUCT(("var_ncap"=[2]OUT_TransportEnergyCons!$B$4:$B$10000)*1,("-"=[2]OUT_TransportEnergyCons!$C$4:$C$10000)*1,ISNUMBER(SEARCH("tfh*h2o*",[2]OUT_TransportEnergyCons!$A$4:$A$10000))*1,[2]OUT_TransportEnergyCons!H$4:H$10000))*1000</f>
        <v>9.4804466238076503E-4</v>
      </c>
      <c r="K2226" s="1" cm="1">
        <f t="array" ref="K2226">(SUMPRODUCT(("var_ncap"=[2]OUT_TransportEnergyCons!$B$4:$B$10000)*1,("-"=[2]OUT_TransportEnergyCons!$C$4:$C$10000)*1,ISNUMBER(SEARCH("tfh*h2o*",[2]OUT_TransportEnergyCons!$A$4:$A$10000))*1,[2]OUT_TransportEnergyCons!I$4:I$10000))*1000</f>
        <v>3.6169437803607203E-4</v>
      </c>
      <c r="L2226" s="1" cm="1">
        <f t="array" ref="L2226">(SUMPRODUCT(("var_ncap"=[2]OUT_TransportEnergyCons!$B$4:$B$10000)*1,("-"=[2]OUT_TransportEnergyCons!$C$4:$C$10000)*1,ISNUMBER(SEARCH("tfh*h2o*",[2]OUT_TransportEnergyCons!$A$4:$A$10000))*1,[2]OUT_TransportEnergyCons!J$4:J$10000))*1000</f>
        <v>8.6559263285192894E-4</v>
      </c>
      <c r="N2226" s="1"/>
    </row>
    <row r="2227" spans="2:14" x14ac:dyDescent="0.35">
      <c r="B2227" s="5" t="str">
        <f t="shared" si="2115"/>
        <v>SPS1</v>
      </c>
      <c r="C2227" s="5" t="str">
        <f t="shared" si="2116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(SUMPRODUCT(("var_ncap"=[2]OUT_TransportEnergyCons!$B$4:$B$10000)*1,("-"=[2]OUT_TransportEnergyCons!$C$4:$C$10000)*1,ISNUMBER(SEARCH("tfh*ICE*GSL*ext",[2]OUT_TransportEnergyCons!$A$4:$A$10000))*1,[2]OUT_TransportEnergyCons!H$4:H$10000))*1000</f>
        <v>0</v>
      </c>
      <c r="K2227" s="1" cm="1">
        <f t="array" ref="K2227">(SUMPRODUCT(("var_ncap"=[2]OUT_TransportEnergyCons!$B$4:$B$10000)*1,("-"=[2]OUT_TransportEnergyCons!$C$4:$C$10000)*1,ISNUMBER(SEARCH("tfh*ICE*GSL*ext",[2]OUT_TransportEnergyCons!$A$4:$A$10000))*1,[2]OUT_TransportEnergyCons!I$4:I$10000))*1000</f>
        <v>0</v>
      </c>
      <c r="L2227" s="1" cm="1">
        <f t="array" ref="L2227">(SUMPRODUCT(("var_ncap"=[2]OUT_TransportEnergyCons!$B$4:$B$10000)*1,("-"=[2]OUT_TransportEnergyCons!$C$4:$C$10000)*1,ISNUMBER(SEARCH("tfh*ICE*GSL*ext",[2]OUT_TransportEnergyCons!$A$4:$A$10000))*1,[2]OUT_TransportEnergyCons!J$4:J$10000))*1000</f>
        <v>0</v>
      </c>
      <c r="N2227" s="1"/>
    </row>
    <row r="2228" spans="2:14" x14ac:dyDescent="0.35">
      <c r="B2228" s="5" t="str">
        <f t="shared" si="2115"/>
        <v>SPS1</v>
      </c>
      <c r="C2228" s="5" t="str">
        <f t="shared" si="2116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(SUMPRODUCT(("var_ncap"=[2]OUT_TransportEnergyCons!$B$4:$B$10000)*1,("-"=[2]OUT_TransportEnergyCons!$C$4:$C$10000)*1,ISNUMBER(SEARCH("tfh*ICE*GSL*",[2]OUT_TransportEnergyCons!$A$4:$A$10000))*1,[2]OUT_TransportEnergyCons!H$4:H$10000))*1000-J2227</f>
        <v>0</v>
      </c>
      <c r="K2228" s="1" cm="1">
        <f t="array" ref="K2228">(SUMPRODUCT(("var_ncap"=[2]OUT_TransportEnergyCons!$B$4:$B$10000)*1,("-"=[2]OUT_TransportEnergyCons!$C$4:$C$10000)*1,ISNUMBER(SEARCH("tfh*ICE*GSL*",[2]OUT_TransportEnergyCons!$A$4:$A$10000))*1,[2]OUT_TransportEnergyCons!I$4:I$10000))*1000-K2227</f>
        <v>0</v>
      </c>
      <c r="L2228" s="1" cm="1">
        <f t="array" ref="L2228">(SUMPRODUCT(("var_ncap"=[2]OUT_TransportEnergyCons!$B$4:$B$10000)*1,("-"=[2]OUT_TransportEnergyCons!$C$4:$C$10000)*1,ISNUMBER(SEARCH("tfh*ICE*GSL*",[2]OUT_TransportEnergyCons!$A$4:$A$10000))*1,[2]OUT_TransportEnergyCons!J$4:J$10000))*1000-L2227</f>
        <v>0</v>
      </c>
      <c r="N2228" s="1"/>
    </row>
    <row r="2229" spans="2:14" x14ac:dyDescent="0.35">
      <c r="B2229" s="5" t="str">
        <f t="shared" si="2115"/>
        <v>SPS1</v>
      </c>
      <c r="C2229" s="5" t="str">
        <f t="shared" si="2116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(SUMPRODUCT(("var_ncap"=[2]OUT_TransportEnergyCons!$B$4:$B$10000)*1,("-"=[2]OUT_TransportEnergyCons!$C$4:$C$10000)*1,ISNUMBER(SEARCH("tfh*ICE*DSL*ext",[2]OUT_TransportEnergyCons!$A$4:$A$10000))*1,[2]OUT_TransportEnergyCons!H$4:H$10000))*1000</f>
        <v>0</v>
      </c>
      <c r="K2229" s="1" cm="1">
        <f t="array" ref="K2229">(SUMPRODUCT(("var_ncap"=[2]OUT_TransportEnergyCons!$B$4:$B$10000)*1,("-"=[2]OUT_TransportEnergyCons!$C$4:$C$10000)*1,ISNUMBER(SEARCH("tfh*ICE*DSL*ext",[2]OUT_TransportEnergyCons!$A$4:$A$10000))*1,[2]OUT_TransportEnergyCons!I$4:I$10000))*1000</f>
        <v>0</v>
      </c>
      <c r="L2229" s="1" cm="1">
        <f t="array" ref="L2229">(SUMPRODUCT(("var_ncap"=[2]OUT_TransportEnergyCons!$B$4:$B$10000)*1,("-"=[2]OUT_TransportEnergyCons!$C$4:$C$10000)*1,ISNUMBER(SEARCH("tfh*ICE*DSL*ext",[2]OUT_TransportEnergyCons!$A$4:$A$10000))*1,[2]OUT_TransportEnergyCons!J$4:J$10000))*1000</f>
        <v>0</v>
      </c>
      <c r="N2229" s="1"/>
    </row>
    <row r="2230" spans="2:14" x14ac:dyDescent="0.35">
      <c r="B2230" s="5" t="str">
        <f t="shared" si="2115"/>
        <v>SPS1</v>
      </c>
      <c r="C2230" s="5" t="str">
        <f t="shared" si="2116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1.8992037766939498E-2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2.4883996860271498E-2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2.3297285450451701E-2</v>
      </c>
      <c r="J2230" s="1" cm="1">
        <f t="array" ref="J2230">(SUMPRODUCT(("var_ncap"=[2]OUT_TransportEnergyCons!$B$4:$B$10000)*1,("-"=[2]OUT_TransportEnergyCons!$C$4:$C$10000)*1,ISNUMBER(SEARCH("tfh*ICE*DSL*",[2]OUT_TransportEnergyCons!$A$4:$A$10000))*1,[2]OUT_TransportEnergyCons!H$4:H$10000))*1000-J2229</f>
        <v>1.3907265791733999E-3</v>
      </c>
      <c r="K2230" s="1" cm="1">
        <f t="array" ref="K2230">(SUMPRODUCT(("var_ncap"=[2]OUT_TransportEnergyCons!$B$4:$B$10000)*1,("-"=[2]OUT_TransportEnergyCons!$C$4:$C$10000)*1,ISNUMBER(SEARCH("tfh*ICE*DSL*",[2]OUT_TransportEnergyCons!$A$4:$A$10000))*1,[2]OUT_TransportEnergyCons!I$4:I$10000))*1000-K2229</f>
        <v>4.7876355910544304E-4</v>
      </c>
      <c r="L2230" s="1" cm="1">
        <f t="array" ref="L2230">(SUMPRODUCT(("var_ncap"=[2]OUT_TransportEnergyCons!$B$4:$B$10000)*1,("-"=[2]OUT_TransportEnergyCons!$C$4:$C$10000)*1,ISNUMBER(SEARCH("tfh*ICE*DSL*",[2]OUT_TransportEnergyCons!$A$4:$A$10000))*1,[2]OUT_TransportEnergyCons!J$4:J$10000))*1000-L2229</f>
        <v>0</v>
      </c>
      <c r="N2230" s="1"/>
    </row>
    <row r="2231" spans="2:14" x14ac:dyDescent="0.35">
      <c r="B2231" s="5" t="str">
        <f t="shared" si="2115"/>
        <v>SPS1</v>
      </c>
      <c r="C2231" s="5" t="str">
        <f t="shared" si="2116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3.1847213923581501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9.2671659425573303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12.3072541278093</v>
      </c>
      <c r="J2231" s="1" cm="1">
        <f t="array" ref="J2231">(SUMPRODUCT(("var_ncap"=[2]OUT_TransportEnergyCons!$B$4:$B$10000)*1,("-"=[2]OUT_TransportEnergyCons!$C$4:$C$10000)*1,ISNUMBER(SEARCH("tfh*hyb*DSL*",[2]OUT_TransportEnergyCons!$A$4:$A$10000))*1,[2]OUT_TransportEnergyCons!H$4:H$10000))*1000</f>
        <v>31.969116615999202</v>
      </c>
      <c r="K2231" s="1" cm="1">
        <f t="array" ref="K2231">(SUMPRODUCT(("var_ncap"=[2]OUT_TransportEnergyCons!$B$4:$B$10000)*1,("-"=[2]OUT_TransportEnergyCons!$C$4:$C$10000)*1,ISNUMBER(SEARCH("tfh*hyb*DSL*",[2]OUT_TransportEnergyCons!$A$4:$A$10000))*1,[2]OUT_TransportEnergyCons!I$4:I$10000))*1000</f>
        <v>1.1781339020840301E-3</v>
      </c>
      <c r="L2231" s="1" cm="1">
        <f t="array" ref="L2231">(SUMPRODUCT(("var_ncap"=[2]OUT_TransportEnergyCons!$B$4:$B$10000)*1,("-"=[2]OUT_TransportEnergyCons!$C$4:$C$10000)*1,ISNUMBER(SEARCH("tfh*hyb*DSL*",[2]OUT_TransportEnergyCons!$A$4:$A$10000))*1,[2]OUT_TransportEnergyCons!J$4:J$10000))*1000</f>
        <v>0</v>
      </c>
      <c r="N2231" s="1"/>
    </row>
    <row r="2232" spans="2:14" x14ac:dyDescent="0.35">
      <c r="B2232" s="5" t="str">
        <f t="shared" si="2115"/>
        <v>SPS1</v>
      </c>
      <c r="C2232" s="5" t="str">
        <f t="shared" si="2116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7.8394275018420102E-3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2.4151318319011499E-2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6.09010372527935E-2</v>
      </c>
      <c r="J2232" s="1" cm="1">
        <f t="array" ref="J2232">(SUMPRODUCT(("var_ncap"=[2]OUT_TransportEnergyCons!$B$4:$B$10000)*1,("-"=[2]OUT_TransportEnergyCons!$C$4:$C$10000)*1,ISNUMBER(SEARCH("tfh*ice*nga*",[2]OUT_TransportEnergyCons!$A$4:$A$10000))*1,[2]OUT_TransportEnergyCons!H$4:H$10000))*1000</f>
        <v>1.0348977710444499E-2</v>
      </c>
      <c r="K2232" s="1" cm="1">
        <f t="array" ref="K2232">(SUMPRODUCT(("var_ncap"=[2]OUT_TransportEnergyCons!$B$4:$B$10000)*1,("-"=[2]OUT_TransportEnergyCons!$C$4:$C$10000)*1,ISNUMBER(SEARCH("tfh*ice*nga*",[2]OUT_TransportEnergyCons!$A$4:$A$10000))*1,[2]OUT_TransportEnergyCons!I$4:I$10000))*1000</f>
        <v>2.0407596750767303E-3</v>
      </c>
      <c r="L2232" s="1" cm="1">
        <f t="array" ref="L2232">(SUMPRODUCT(("var_ncap"=[2]OUT_TransportEnergyCons!$B$4:$B$10000)*1,("-"=[2]OUT_TransportEnergyCons!$C$4:$C$10000)*1,ISNUMBER(SEARCH("tfh*ice*nga*",[2]OUT_TransportEnergyCons!$A$4:$A$10000))*1,[2]OUT_TransportEnergyCons!J$4:J$10000))*1000</f>
        <v>0</v>
      </c>
      <c r="N2232" s="1"/>
    </row>
    <row r="2233" spans="2:14" x14ac:dyDescent="0.35">
      <c r="B2233" s="5" t="str">
        <f>SPS2_NUC_Low!B1822</f>
        <v>SPS1</v>
      </c>
      <c r="C2233" s="5" t="str">
        <f>SPS2_NUC_Low!C1822</f>
        <v>CH</v>
      </c>
      <c r="D2233" s="2" t="s">
        <v>2367</v>
      </c>
      <c r="E2233" s="2" t="s">
        <v>1858</v>
      </c>
      <c r="F2233" s="3">
        <f t="shared" ref="F2233:K2233" si="2121">SUM(F2234,F2253)</f>
        <v>9.2747951800423026E-4</v>
      </c>
      <c r="G2233" s="3">
        <f t="shared" si="2121"/>
        <v>0.80505452541160993</v>
      </c>
      <c r="H2233" s="3">
        <f t="shared" si="2121"/>
        <v>1.7108824609429929</v>
      </c>
      <c r="I2233" s="3">
        <f t="shared" si="2121"/>
        <v>1.5949431058196593</v>
      </c>
      <c r="J2233" s="3">
        <f t="shared" si="2121"/>
        <v>3.2288404963469763</v>
      </c>
      <c r="K2233" s="3">
        <f t="shared" si="2121"/>
        <v>4.2584990041531059</v>
      </c>
      <c r="L2233" s="3">
        <f t="shared" ref="L2233" si="2122">SUM(L2234,L2253)</f>
        <v>3.9117971924460404</v>
      </c>
      <c r="N2233" s="1"/>
    </row>
    <row r="2234" spans="2:14" x14ac:dyDescent="0.35">
      <c r="B2234" s="5" t="str">
        <f>SPS2_NUC_Low!B1822</f>
        <v>SPS1</v>
      </c>
      <c r="C2234" s="5" t="str">
        <f>SPS2_NUC_Low!C1822</f>
        <v>CH</v>
      </c>
      <c r="D2234" t="s">
        <v>2368</v>
      </c>
      <c r="E2234" t="str">
        <f>E2233</f>
        <v>GWth/yr.</v>
      </c>
      <c r="F2234" s="1">
        <f t="shared" ref="F2234:K2234" si="2123">SUM(F2235,F2238,F2240,F2243,F2245,F2247,F2249,F2251)</f>
        <v>4.1194662357761994E-4</v>
      </c>
      <c r="G2234" s="1">
        <f t="shared" si="2123"/>
        <v>0.64783891011473771</v>
      </c>
      <c r="H2234" s="1">
        <f t="shared" si="2123"/>
        <v>1.5197995010772416</v>
      </c>
      <c r="I2234" s="1">
        <f t="shared" si="2123"/>
        <v>1.2764687265439361</v>
      </c>
      <c r="J2234" s="1">
        <f t="shared" si="2123"/>
        <v>2.4980117156060069</v>
      </c>
      <c r="K2234" s="1">
        <f t="shared" si="2123"/>
        <v>3.3454588823306604</v>
      </c>
      <c r="L2234" s="1">
        <f t="shared" ref="L2234" si="2124">SUM(L2235,L2238,L2240,L2243,L2245,L2247,L2249,L2251)</f>
        <v>2.8565228043214623</v>
      </c>
      <c r="N2234" s="1"/>
    </row>
    <row r="2235" spans="2:14" x14ac:dyDescent="0.3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125">SUM(F2236:F2237)</f>
        <v>5.4120514479951917E-5</v>
      </c>
      <c r="G2235" s="1">
        <f t="shared" si="2125"/>
        <v>0.29034000911980073</v>
      </c>
      <c r="H2235" s="1">
        <f t="shared" si="2125"/>
        <v>0.91442057778673369</v>
      </c>
      <c r="I2235" s="1">
        <f t="shared" si="2125"/>
        <v>0.63297895948195371</v>
      </c>
      <c r="J2235" s="1">
        <f t="shared" si="2125"/>
        <v>1.6220757285108771</v>
      </c>
      <c r="K2235" s="1">
        <f t="shared" si="2125"/>
        <v>1.9372977784887147</v>
      </c>
      <c r="L2235" s="1">
        <f t="shared" ref="L2235" si="2126">SUM(L2236:L2237)</f>
        <v>2.0638873375447102</v>
      </c>
      <c r="N2235" s="1"/>
    </row>
    <row r="2236" spans="2:14" x14ac:dyDescent="0.35">
      <c r="B2236" s="5" t="str">
        <f t="shared" ref="B2236:B2267" si="2127">B2235</f>
        <v>SPS1</v>
      </c>
      <c r="C2236" s="5" t="str">
        <f t="shared" ref="C2236:C2267" si="2128">C2235</f>
        <v>CH</v>
      </c>
      <c r="D2236" t="s">
        <v>2370</v>
      </c>
      <c r="E2236" t="str">
        <f t="shared" ref="E2236:E2267" si="2129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3.6407416260595233E-5</v>
      </c>
      <c r="G2236" s="1" cm="1">
        <f t="array" ref="G2236">SUMPRODUCT(([1]OUT_FinalEnergyCons!$B$4:$B$10000="var_ncap")*1,(ISNUMBER(SEARCH("RH*-SHELCBR",[1]OUT_FinalEnergyCons!$A$4:$A$10000)))*1,[1]OUT_FinalEnergyCons!E$4:E$10000)</f>
        <v>6.213355432844983E-2</v>
      </c>
      <c r="H2236" s="1" cm="1">
        <f t="array" ref="H2236">SUMPRODUCT(([1]OUT_FinalEnergyCons!$B$4:$B$10000="var_ncap")*1,(ISNUMBER(SEARCH("RH*-SHELCBR",[1]OUT_FinalEnergyCons!$A$4:$A$10000)))*1,[1]OUT_FinalEnergyCons!F$4:F$10000)</f>
        <v>9.38648539870647E-6</v>
      </c>
      <c r="I2236" s="1" cm="1">
        <f t="array" ref="I2236">SUMPRODUCT(([1]OUT_FinalEnergyCons!$B$4:$B$10000="var_ncap")*1,(ISNUMBER(SEARCH("RH*-SHELCBR",[1]OUT_FinalEnergyCons!$A$4:$A$10000)))*1,[1]OUT_FinalEnergyCons!G$4:G$10000)</f>
        <v>1.765937001825684E-5</v>
      </c>
      <c r="J2236" s="1" cm="1">
        <f t="array" ref="J2236">SUMPRODUCT(([2]OUT_FinalEnergyCons!$B$4:$B$10000="var_ncap")*1,(ISNUMBER(SEARCH("RH*-SHELCBR",[2]OUT_FinalEnergyCons!$A$4:$A$10000)))*1,[2]OUT_FinalEnergyCons!H$4:H$10000)</f>
        <v>3.2780870058715774E-3</v>
      </c>
      <c r="K2236" s="1" cm="1">
        <f t="array" ref="K2236">SUMPRODUCT(([2]OUT_FinalEnergyCons!$B$4:$B$10000="var_ncap")*1,(ISNUMBER(SEARCH("RH*-SHELCBR",[2]OUT_FinalEnergyCons!$A$4:$A$10000)))*1,[2]OUT_FinalEnergyCons!I$4:I$10000)</f>
        <v>7.5876689580267002E-4</v>
      </c>
      <c r="L2236" s="1" cm="1">
        <f t="array" ref="L2236">SUMPRODUCT(([2]OUT_FinalEnergyCons!$B$4:$B$10000="var_ncap")*1,(ISNUMBER(SEARCH("RH*-SHELCBR",[2]OUT_FinalEnergyCons!$A$4:$A$10000)))*1,[2]OUT_FinalEnergyCons!J$4:J$10000)</f>
        <v>5.8013475486491165E-5</v>
      </c>
      <c r="N2236" s="1"/>
    </row>
    <row r="2237" spans="2:14" x14ac:dyDescent="0.35">
      <c r="B2237" s="5" t="str">
        <f t="shared" si="2127"/>
        <v>SPS1</v>
      </c>
      <c r="C2237" s="5" t="str">
        <f t="shared" si="2128"/>
        <v>CH</v>
      </c>
      <c r="D2237" t="s">
        <v>2371</v>
      </c>
      <c r="E2237" t="str">
        <f t="shared" si="2129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1.7713098219356688E-5</v>
      </c>
      <c r="G2237" s="1" cm="1">
        <f t="array" ref="G2237">SUMPRODUCT(([1]OUT_FinalEnergyCons!$B$4:$B$10000="var_ncap")*1,ISNUMBER(SEARCH("RH*-SHELCHP",[1]OUT_FinalEnergyCons!$A$4:$A$10000))*1,[1]OUT_FinalEnergyCons!E$4:E$10000)</f>
        <v>0.22820645479135093</v>
      </c>
      <c r="H2237" s="1" cm="1">
        <f t="array" ref="H2237">SUMPRODUCT(([1]OUT_FinalEnergyCons!$B$4:$B$10000="var_ncap")*1,ISNUMBER(SEARCH("RH*-SHELCHP",[1]OUT_FinalEnergyCons!$A$4:$A$10000))*1,[1]OUT_FinalEnergyCons!F$4:F$10000)</f>
        <v>0.91441119130133497</v>
      </c>
      <c r="I2237" s="1" cm="1">
        <f t="array" ref="I2237">SUMPRODUCT(([1]OUT_FinalEnergyCons!$B$4:$B$10000="var_ncap")*1,ISNUMBER(SEARCH("RH*-SHELCHP",[1]OUT_FinalEnergyCons!$A$4:$A$10000))*1,[1]OUT_FinalEnergyCons!G$4:G$10000)</f>
        <v>0.63296130011193541</v>
      </c>
      <c r="J2237" s="1" cm="1">
        <f t="array" ref="J2237">SUMPRODUCT(([2]OUT_FinalEnergyCons!$B$4:$B$10000="var_ncap")*1,ISNUMBER(SEARCH("RH*-SHELCHP",[2]OUT_FinalEnergyCons!$A$4:$A$10000))*1,[2]OUT_FinalEnergyCons!H$4:H$10000)</f>
        <v>1.6187976415050056</v>
      </c>
      <c r="K2237" s="1" cm="1">
        <f t="array" ref="K2237">SUMPRODUCT(([2]OUT_FinalEnergyCons!$B$4:$B$10000="var_ncap")*1,ISNUMBER(SEARCH("RH*-SHELCHP",[2]OUT_FinalEnergyCons!$A$4:$A$10000))*1,[2]OUT_FinalEnergyCons!I$4:I$10000)</f>
        <v>1.936539011592912</v>
      </c>
      <c r="L2237" s="1" cm="1">
        <f t="array" ref="L2237">SUMPRODUCT(([2]OUT_FinalEnergyCons!$B$4:$B$10000="var_ncap")*1,ISNUMBER(SEARCH("RH*-SHELCHP",[2]OUT_FinalEnergyCons!$A$4:$A$10000))*1,[2]OUT_FinalEnergyCons!J$4:J$10000)</f>
        <v>2.0638293240692236</v>
      </c>
      <c r="N2237" s="1"/>
    </row>
    <row r="2238" spans="2:14" x14ac:dyDescent="0.35">
      <c r="B2238" s="5" t="str">
        <f t="shared" si="2127"/>
        <v>SPS1</v>
      </c>
      <c r="C2238" s="5" t="str">
        <f t="shared" si="2128"/>
        <v>CH</v>
      </c>
      <c r="D2238" t="s">
        <v>2372</v>
      </c>
      <c r="E2238" t="str">
        <f t="shared" si="2129"/>
        <v>GWth/yr.</v>
      </c>
      <c r="F2238" s="1">
        <f t="shared" ref="F2238:L2238" si="2130">F2239</f>
        <v>0</v>
      </c>
      <c r="G2238" s="1">
        <f t="shared" si="2130"/>
        <v>1.138888488163087E-3</v>
      </c>
      <c r="H2238" s="1">
        <f t="shared" si="2130"/>
        <v>4.7674332778100986E-2</v>
      </c>
      <c r="I2238" s="1">
        <f t="shared" si="2130"/>
        <v>1.0970702233641169E-5</v>
      </c>
      <c r="J2238" s="1">
        <f t="shared" si="2130"/>
        <v>7.6027185661655769E-2</v>
      </c>
      <c r="K2238" s="1">
        <f t="shared" si="2130"/>
        <v>0.2179769514110432</v>
      </c>
      <c r="L2238" s="1">
        <f t="shared" si="2130"/>
        <v>1.6121686175832362E-7</v>
      </c>
      <c r="N2238" s="1"/>
    </row>
    <row r="2239" spans="2:14" x14ac:dyDescent="0.35">
      <c r="B2239" s="5" t="str">
        <f t="shared" si="2127"/>
        <v>SPS1</v>
      </c>
      <c r="C2239" s="5" t="str">
        <f t="shared" si="2128"/>
        <v>CH</v>
      </c>
      <c r="D2239" t="s">
        <v>2373</v>
      </c>
      <c r="E2239" t="str">
        <f t="shared" si="2129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1.138888488163087E-3</v>
      </c>
      <c r="H2239" s="1" cm="1">
        <f t="array" ref="H2239">SUMPRODUCT(([1]OUT_FinalEnergyCons!$B$4:$B$10000="var_ncap")*1, (ISNUMBER(SEARCH("RH*-SHLFOBR",[1]OUT_FinalEnergyCons!$A$4:$A$10000)))*1,[1]OUT_FinalEnergyCons!F$4:F$10000)</f>
        <v>4.7674332778100986E-2</v>
      </c>
      <c r="I2239" s="1" cm="1">
        <f t="array" ref="I2239">SUMPRODUCT(([1]OUT_FinalEnergyCons!$B$4:$B$10000="var_ncap")*1, (ISNUMBER(SEARCH("RH*-SHLFOBR",[1]OUT_FinalEnergyCons!$A$4:$A$10000)))*1,[1]OUT_FinalEnergyCons!G$4:G$10000)</f>
        <v>1.0970702233641169E-5</v>
      </c>
      <c r="J2239" s="1" cm="1">
        <f t="array" ref="J2239">SUMPRODUCT(([2]OUT_FinalEnergyCons!$B$4:$B$10000="var_ncap")*1, (ISNUMBER(SEARCH("RH*-SHLFOBR",[2]OUT_FinalEnergyCons!$A$4:$A$10000)))*1,[2]OUT_FinalEnergyCons!H$4:H$10000)</f>
        <v>7.6027185661655769E-2</v>
      </c>
      <c r="K2239" s="1" cm="1">
        <f t="array" ref="K2239">SUMPRODUCT(([2]OUT_FinalEnergyCons!$B$4:$B$10000="var_ncap")*1, (ISNUMBER(SEARCH("RH*-SHLFOBR",[2]OUT_FinalEnergyCons!$A$4:$A$10000)))*1,[2]OUT_FinalEnergyCons!I$4:I$10000)</f>
        <v>0.2179769514110432</v>
      </c>
      <c r="L2239" s="1" cm="1">
        <f t="array" ref="L2239">SUMPRODUCT(([2]OUT_FinalEnergyCons!$B$4:$B$10000="var_ncap")*1, (ISNUMBER(SEARCH("RH*-SHLFOBR",[2]OUT_FinalEnergyCons!$A$4:$A$10000)))*1,[2]OUT_FinalEnergyCons!J$4:J$10000)</f>
        <v>1.6121686175832362E-7</v>
      </c>
      <c r="N2239" s="1"/>
    </row>
    <row r="2240" spans="2:14" x14ac:dyDescent="0.35">
      <c r="B2240" s="5" t="str">
        <f t="shared" si="2127"/>
        <v>SPS1</v>
      </c>
      <c r="C2240" s="5" t="str">
        <f t="shared" si="2128"/>
        <v>CH</v>
      </c>
      <c r="D2240" t="s">
        <v>2374</v>
      </c>
      <c r="E2240" t="str">
        <f t="shared" si="2129"/>
        <v>GWth/yr.</v>
      </c>
      <c r="F2240" s="1">
        <f t="shared" ref="F2240:K2240" si="2131">SUM(F2241:F2242)</f>
        <v>2.01254224972051E-6</v>
      </c>
      <c r="G2240" s="1">
        <f t="shared" si="2131"/>
        <v>0.21655892765079268</v>
      </c>
      <c r="H2240" s="1">
        <f t="shared" si="2131"/>
        <v>0.53528124255296095</v>
      </c>
      <c r="I2240" s="1">
        <f t="shared" si="2131"/>
        <v>0.63776859786337536</v>
      </c>
      <c r="J2240" s="1">
        <f t="shared" si="2131"/>
        <v>0.43095557235988569</v>
      </c>
      <c r="K2240" s="1">
        <f t="shared" si="2131"/>
        <v>1.0409828462678956</v>
      </c>
      <c r="L2240" s="1">
        <f t="shared" ref="L2240" si="2132">SUM(L2241:L2242)</f>
        <v>0.76081325475622985</v>
      </c>
      <c r="N2240" s="1"/>
    </row>
    <row r="2241" spans="2:14" x14ac:dyDescent="0.35">
      <c r="B2241" s="5" t="str">
        <f t="shared" si="2127"/>
        <v>SPS1</v>
      </c>
      <c r="C2241" s="5" t="str">
        <f t="shared" si="2128"/>
        <v>CH</v>
      </c>
      <c r="D2241" t="s">
        <v>2375</v>
      </c>
      <c r="E2241" t="str">
        <f t="shared" si="2129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0.21651169035486262</v>
      </c>
      <c r="H2241" s="1" cm="1">
        <f t="array" ref="H2241">SUMPRODUCT(([1]OUT_FinalEnergyCons!$B$4:$B$10000="var_ncap")*1, (ISNUMBER(SEARCH("RH*-SHNGABR",[1]OUT_FinalEnergyCons!$A$4:$A$10000)))*1,[1]OUT_FinalEnergyCons!F$4:F$10000)</f>
        <v>0.14209811073905579</v>
      </c>
      <c r="I2241" s="1" cm="1">
        <f t="array" ref="I2241">SUMPRODUCT(([1]OUT_FinalEnergyCons!$B$4:$B$10000="var_ncap")*1, (ISNUMBER(SEARCH("RH*-SHNGABR",[1]OUT_FinalEnergyCons!$A$4:$A$10000)))*1,[1]OUT_FinalEnergyCons!G$4:G$10000)</f>
        <v>8.8298527770358517E-5</v>
      </c>
      <c r="J2241" s="1" cm="1">
        <f t="array" ref="J2241">SUMPRODUCT(([2]OUT_FinalEnergyCons!$B$4:$B$10000="var_ncap")*1, (ISNUMBER(SEARCH("RH*-SHNGABR",[2]OUT_FinalEnergyCons!$A$4:$A$10000)))*1,[2]OUT_FinalEnergyCons!H$4:H$10000)</f>
        <v>0.19169544611473657</v>
      </c>
      <c r="K2241" s="1" cm="1">
        <f t="array" ref="K2241">SUMPRODUCT(([2]OUT_FinalEnergyCons!$B$4:$B$10000="var_ncap")*1, (ISNUMBER(SEARCH("RH*-SHNGABR",[2]OUT_FinalEnergyCons!$A$4:$A$10000)))*1,[2]OUT_FinalEnergyCons!I$4:I$10000)</f>
        <v>0.26264666111698559</v>
      </c>
      <c r="L2241" s="1" cm="1">
        <f t="array" ref="L2241">SUMPRODUCT(([2]OUT_FinalEnergyCons!$B$4:$B$10000="var_ncap")*1, (ISNUMBER(SEARCH("RH*-SHNGABR",[2]OUT_FinalEnergyCons!$A$4:$A$10000)))*1,[2]OUT_FinalEnergyCons!J$4:J$10000)</f>
        <v>9.6590770755928806E-7</v>
      </c>
      <c r="N2241" s="1"/>
    </row>
    <row r="2242" spans="2:14" x14ac:dyDescent="0.35">
      <c r="B2242" s="5" t="str">
        <f t="shared" si="2127"/>
        <v>SPS1</v>
      </c>
      <c r="C2242" s="5" t="str">
        <f t="shared" si="2128"/>
        <v>CH</v>
      </c>
      <c r="D2242" t="s">
        <v>2376</v>
      </c>
      <c r="E2242" t="str">
        <f t="shared" si="2129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2.01254224972051E-6</v>
      </c>
      <c r="G2242" s="1" cm="1">
        <f t="array" ref="G2242">SUMPRODUCT(([1]OUT_FinalEnergyCons!$B$4:$B$10000="var_ncap")*1,ISNUMBER(SEARCH("RH*-SHngahp",[1]OUT_FinalEnergyCons!$A$4:$A$10000))*1,[1]OUT_FinalEnergyCons!E$4:E$10000)</f>
        <v>4.7237295930073749E-5</v>
      </c>
      <c r="H2242" s="1" cm="1">
        <f t="array" ref="H2242">SUMPRODUCT(([1]OUT_FinalEnergyCons!$B$4:$B$10000="var_ncap")*1,ISNUMBER(SEARCH("RH*-SHngahp",[1]OUT_FinalEnergyCons!$A$4:$A$10000))*1,[1]OUT_FinalEnergyCons!F$4:F$10000)</f>
        <v>0.39318313181390518</v>
      </c>
      <c r="I2242" s="1" cm="1">
        <f t="array" ref="I2242">SUMPRODUCT(([1]OUT_FinalEnergyCons!$B$4:$B$10000="var_ncap")*1,ISNUMBER(SEARCH("RH*-SHngahp",[1]OUT_FinalEnergyCons!$A$4:$A$10000))*1,[1]OUT_FinalEnergyCons!G$4:G$10000)</f>
        <v>0.63768029933560499</v>
      </c>
      <c r="J2242" s="1" cm="1">
        <f t="array" ref="J2242">SUMPRODUCT(([2]OUT_FinalEnergyCons!$B$4:$B$10000="var_ncap")*1,ISNUMBER(SEARCH("RH*-SHngahp",[2]OUT_FinalEnergyCons!$A$4:$A$10000))*1,[2]OUT_FinalEnergyCons!H$4:H$10000)</f>
        <v>0.23926012624514911</v>
      </c>
      <c r="K2242" s="1" cm="1">
        <f t="array" ref="K2242">SUMPRODUCT(([2]OUT_FinalEnergyCons!$B$4:$B$10000="var_ncap")*1,ISNUMBER(SEARCH("RH*-SHngahp",[2]OUT_FinalEnergyCons!$A$4:$A$10000))*1,[2]OUT_FinalEnergyCons!I$4:I$10000)</f>
        <v>0.77833618515091008</v>
      </c>
      <c r="L2242" s="1" cm="1">
        <f t="array" ref="L2242">SUMPRODUCT(([2]OUT_FinalEnergyCons!$B$4:$B$10000="var_ncap")*1,ISNUMBER(SEARCH("RH*-SHngahp",[2]OUT_FinalEnergyCons!$A$4:$A$10000))*1,[2]OUT_FinalEnergyCons!J$4:J$10000)</f>
        <v>0.76081228884852226</v>
      </c>
      <c r="N2242" s="1"/>
    </row>
    <row r="2243" spans="2:14" x14ac:dyDescent="0.35">
      <c r="B2243" s="5" t="str">
        <f t="shared" si="2127"/>
        <v>SPS1</v>
      </c>
      <c r="C2243" s="5" t="str">
        <f t="shared" si="2128"/>
        <v>CH</v>
      </c>
      <c r="D2243" t="s">
        <v>2377</v>
      </c>
      <c r="E2243" t="str">
        <f t="shared" si="2129"/>
        <v>GWth/yr.</v>
      </c>
      <c r="F2243" s="1">
        <f t="shared" ref="F2243:L2243" si="2133">F2244</f>
        <v>0</v>
      </c>
      <c r="G2243" s="1">
        <f t="shared" si="2133"/>
        <v>0</v>
      </c>
      <c r="H2243" s="1">
        <f t="shared" si="2133"/>
        <v>0</v>
      </c>
      <c r="I2243" s="1">
        <f t="shared" si="2133"/>
        <v>0</v>
      </c>
      <c r="J2243" s="1">
        <f t="shared" si="2133"/>
        <v>0</v>
      </c>
      <c r="K2243" s="1">
        <f t="shared" si="2133"/>
        <v>0</v>
      </c>
      <c r="L2243" s="1">
        <f t="shared" si="2133"/>
        <v>0</v>
      </c>
      <c r="N2243" s="1"/>
    </row>
    <row r="2244" spans="2:14" x14ac:dyDescent="0.35">
      <c r="B2244" s="5" t="str">
        <f t="shared" si="2127"/>
        <v>SPS1</v>
      </c>
      <c r="C2244" s="5" t="str">
        <f t="shared" si="2128"/>
        <v>CH</v>
      </c>
      <c r="D2244" t="s">
        <v>2378</v>
      </c>
      <c r="E2244" t="str">
        <f t="shared" si="2129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SUMPRODUCT(([2]OUT_FinalEnergyCons!$B$4:$B$10000="var_ncap")*1, (ISNUMBER(SEARCH("RH*-SHCOABR",[2]OUT_FinalEnergyCons!$A$4:$A$10000)))*1,[2]OUT_FinalEnergyCons!H$4:H$10000)</f>
        <v>0</v>
      </c>
      <c r="K2244" s="1" cm="1">
        <f t="array" ref="K2244">SUMPRODUCT(([2]OUT_FinalEnergyCons!$B$4:$B$10000="var_ncap")*1, (ISNUMBER(SEARCH("RH*-SHCOABR",[2]OUT_FinalEnergyCons!$A$4:$A$10000)))*1,[2]OUT_FinalEnergyCons!I$4:I$10000)</f>
        <v>0</v>
      </c>
      <c r="L2244" s="1" cm="1">
        <f t="array" ref="L2244">SUMPRODUCT(([2]OUT_FinalEnergyCons!$B$4:$B$10000="var_ncap")*1, (ISNUMBER(SEARCH("RH*-SHCOABR",[2]OUT_FinalEnergyCons!$A$4:$A$10000)))*1,[2]OUT_FinalEnergyCons!J$4:J$10000)</f>
        <v>0</v>
      </c>
      <c r="N2244" s="1"/>
    </row>
    <row r="2245" spans="2:14" x14ac:dyDescent="0.35">
      <c r="B2245" s="5" t="str">
        <f t="shared" si="2127"/>
        <v>SPS1</v>
      </c>
      <c r="C2245" s="5" t="str">
        <f t="shared" si="2128"/>
        <v>CH</v>
      </c>
      <c r="D2245" t="s">
        <v>2379</v>
      </c>
      <c r="E2245" t="str">
        <f t="shared" si="2129"/>
        <v>GWth/yr.</v>
      </c>
      <c r="F2245" s="1">
        <f t="shared" ref="F2245:L2245" si="2134">F2246</f>
        <v>1.52472387335808E-4</v>
      </c>
      <c r="G2245" s="1">
        <f t="shared" si="2134"/>
        <v>7.7543987368863199E-2</v>
      </c>
      <c r="H2245" s="1">
        <f t="shared" si="2134"/>
        <v>1.9790847298206411E-2</v>
      </c>
      <c r="I2245" s="1">
        <f t="shared" si="2134"/>
        <v>1.7615711874025338E-5</v>
      </c>
      <c r="J2245" s="1">
        <f t="shared" si="2134"/>
        <v>0.35912343319071927</v>
      </c>
      <c r="K2245" s="1">
        <f t="shared" si="2134"/>
        <v>0.1219167890374844</v>
      </c>
      <c r="L2245" s="1">
        <f t="shared" si="2134"/>
        <v>2.473379256914875E-2</v>
      </c>
      <c r="N2245" s="1"/>
    </row>
    <row r="2246" spans="2:14" x14ac:dyDescent="0.35">
      <c r="B2246" s="5" t="str">
        <f t="shared" si="2127"/>
        <v>SPS1</v>
      </c>
      <c r="C2246" s="5" t="str">
        <f t="shared" si="2128"/>
        <v>CH</v>
      </c>
      <c r="D2246" t="s">
        <v>2380</v>
      </c>
      <c r="E2246" t="str">
        <f t="shared" si="2129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1.52472387335808E-4</v>
      </c>
      <c r="G2246" s="1" cm="1">
        <f t="array" ref="G2246">SUMPRODUCT(([1]OUT_FinalEnergyCons!$B$4:$B$10000="var_ncap")*1, (ISNUMBER(SEARCH("RH*-SHWODBR",[1]OUT_FinalEnergyCons!$A$4:$A$10000)))*1,[1]OUT_FinalEnergyCons!E$4:E$10000)</f>
        <v>7.7543987368863199E-2</v>
      </c>
      <c r="H2246" s="1" cm="1">
        <f t="array" ref="H2246">SUMPRODUCT(([1]OUT_FinalEnergyCons!$B$4:$B$10000="var_ncap")*1, (ISNUMBER(SEARCH("RH*-SHWODBR",[1]OUT_FinalEnergyCons!$A$4:$A$10000)))*1,[1]OUT_FinalEnergyCons!F$4:F$10000)</f>
        <v>1.9790847298206411E-2</v>
      </c>
      <c r="I2246" s="1" cm="1">
        <f t="array" ref="I2246">SUMPRODUCT(([1]OUT_FinalEnergyCons!$B$4:$B$10000="var_ncap")*1, (ISNUMBER(SEARCH("RH*-SHWODBR",[1]OUT_FinalEnergyCons!$A$4:$A$10000)))*1,[1]OUT_FinalEnergyCons!G$4:G$10000)</f>
        <v>1.7615711874025338E-5</v>
      </c>
      <c r="J2246" s="1" cm="1">
        <f t="array" ref="J2246">SUMPRODUCT(([2]OUT_FinalEnergyCons!$B$4:$B$10000="var_ncap")*1, (ISNUMBER(SEARCH("RH*-SHWODBR",[2]OUT_FinalEnergyCons!$A$4:$A$10000)))*1,[2]OUT_FinalEnergyCons!H$4:H$10000)</f>
        <v>0.35912343319071927</v>
      </c>
      <c r="K2246" s="1" cm="1">
        <f t="array" ref="K2246">SUMPRODUCT(([2]OUT_FinalEnergyCons!$B$4:$B$10000="var_ncap")*1, (ISNUMBER(SEARCH("RH*-SHWODBR",[2]OUT_FinalEnergyCons!$A$4:$A$10000)))*1,[2]OUT_FinalEnergyCons!I$4:I$10000)</f>
        <v>0.1219167890374844</v>
      </c>
      <c r="L2246" s="1" cm="1">
        <f t="array" ref="L2246">SUMPRODUCT(([2]OUT_FinalEnergyCons!$B$4:$B$10000="var_ncap")*1, (ISNUMBER(SEARCH("RH*-SHWODBR",[2]OUT_FinalEnergyCons!$A$4:$A$10000)))*1,[2]OUT_FinalEnergyCons!J$4:J$10000)</f>
        <v>2.473379256914875E-2</v>
      </c>
      <c r="N2246" s="1"/>
    </row>
    <row r="2247" spans="2:14" x14ac:dyDescent="0.35">
      <c r="B2247" s="5" t="str">
        <f t="shared" si="2127"/>
        <v>SPS1</v>
      </c>
      <c r="C2247" s="5" t="str">
        <f t="shared" si="2128"/>
        <v>CH</v>
      </c>
      <c r="D2247" t="s">
        <v>2381</v>
      </c>
      <c r="E2247" t="str">
        <f t="shared" si="2129"/>
        <v>GWth/yr.</v>
      </c>
      <c r="F2247" s="1">
        <f t="shared" ref="F2247:L2247" si="2135">F2248</f>
        <v>5.1264948726625502E-5</v>
      </c>
      <c r="G2247" s="1">
        <f t="shared" si="2135"/>
        <v>3.6813878425653632E-2</v>
      </c>
      <c r="H2247" s="1">
        <f t="shared" si="2135"/>
        <v>1.0245407485941589E-3</v>
      </c>
      <c r="I2247" s="1">
        <f t="shared" si="2135"/>
        <v>1.1240670542202453E-3</v>
      </c>
      <c r="J2247" s="1">
        <f t="shared" si="2135"/>
        <v>9.7041871302885434E-3</v>
      </c>
      <c r="K2247" s="1">
        <f t="shared" si="2135"/>
        <v>2.2334776396498453E-2</v>
      </c>
      <c r="L2247" s="1">
        <f t="shared" si="2135"/>
        <v>6.2830809016731432E-3</v>
      </c>
      <c r="N2247" s="1"/>
    </row>
    <row r="2248" spans="2:14" x14ac:dyDescent="0.35">
      <c r="B2248" s="5" t="str">
        <f t="shared" si="2127"/>
        <v>SPS1</v>
      </c>
      <c r="C2248" s="5" t="str">
        <f t="shared" si="2128"/>
        <v>CH</v>
      </c>
      <c r="D2248" t="s">
        <v>2382</v>
      </c>
      <c r="E2248" t="str">
        <f t="shared" si="2129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5.1264948726625502E-5</v>
      </c>
      <c r="G2248" s="1" cm="1">
        <f t="array" ref="G2248">SUMPRODUCT(([1]OUT_FinalEnergyCons!$B$4:$B$10000="var_ncap")*1, (ISNUMBER(SEARCH("RH*-SHPLTBR",[1]OUT_FinalEnergyCons!$A$4:$A$10000)))*1,[1]OUT_FinalEnergyCons!E$4:E$10000)</f>
        <v>3.6813878425653632E-2</v>
      </c>
      <c r="H2248" s="1" cm="1">
        <f t="array" ref="H2248">SUMPRODUCT(([1]OUT_FinalEnergyCons!$B$4:$B$10000="var_ncap")*1, (ISNUMBER(SEARCH("RH*-SHPLTBR",[1]OUT_FinalEnergyCons!$A$4:$A$10000)))*1,[1]OUT_FinalEnergyCons!F$4:F$10000)</f>
        <v>1.0245407485941589E-3</v>
      </c>
      <c r="I2248" s="1" cm="1">
        <f t="array" ref="I2248">SUMPRODUCT(([1]OUT_FinalEnergyCons!$B$4:$B$10000="var_ncap")*1, (ISNUMBER(SEARCH("RH*-SHPLTBR",[1]OUT_FinalEnergyCons!$A$4:$A$10000)))*1,[1]OUT_FinalEnergyCons!G$4:G$10000)</f>
        <v>1.1240670542202453E-3</v>
      </c>
      <c r="J2248" s="1" cm="1">
        <f t="array" ref="J2248">SUMPRODUCT(([2]OUT_FinalEnergyCons!$B$4:$B$10000="var_ncap")*1, (ISNUMBER(SEARCH("RH*-SHPLTBR",[2]OUT_FinalEnergyCons!$A$4:$A$10000)))*1,[2]OUT_FinalEnergyCons!H$4:H$10000)</f>
        <v>9.7041871302885434E-3</v>
      </c>
      <c r="K2248" s="1" cm="1">
        <f t="array" ref="K2248">SUMPRODUCT(([2]OUT_FinalEnergyCons!$B$4:$B$10000="var_ncap")*1, (ISNUMBER(SEARCH("RH*-SHPLTBR",[2]OUT_FinalEnergyCons!$A$4:$A$10000)))*1,[2]OUT_FinalEnergyCons!I$4:I$10000)</f>
        <v>2.2334776396498453E-2</v>
      </c>
      <c r="L2248" s="1" cm="1">
        <f t="array" ref="L2248">SUMPRODUCT(([2]OUT_FinalEnergyCons!$B$4:$B$10000="var_ncap")*1, (ISNUMBER(SEARCH("RH*-SHPLTBR",[2]OUT_FinalEnergyCons!$A$4:$A$10000)))*1,[2]OUT_FinalEnergyCons!J$4:J$10000)</f>
        <v>6.2830809016731432E-3</v>
      </c>
      <c r="N2248" s="1"/>
    </row>
    <row r="2249" spans="2:14" x14ac:dyDescent="0.35">
      <c r="B2249" s="5" t="str">
        <f t="shared" si="2127"/>
        <v>SPS1</v>
      </c>
      <c r="C2249" s="5" t="str">
        <f t="shared" si="2128"/>
        <v>CH</v>
      </c>
      <c r="D2249" t="s">
        <v>2383</v>
      </c>
      <c r="E2249" t="str">
        <f t="shared" si="2129"/>
        <v>GWth/yr.</v>
      </c>
      <c r="F2249" s="1">
        <f t="shared" ref="F2249:L2249" si="2136">F2250</f>
        <v>1.52076230785514E-4</v>
      </c>
      <c r="G2249" s="1">
        <f t="shared" si="2136"/>
        <v>2.544321906146424E-2</v>
      </c>
      <c r="H2249" s="1">
        <f t="shared" si="2136"/>
        <v>1.6079599126453466E-3</v>
      </c>
      <c r="I2249" s="1">
        <f t="shared" si="2136"/>
        <v>4.568515730278922E-3</v>
      </c>
      <c r="J2249" s="1">
        <f t="shared" si="2136"/>
        <v>1.2560875258064121E-4</v>
      </c>
      <c r="K2249" s="1">
        <f t="shared" si="2136"/>
        <v>4.9497407290240193E-3</v>
      </c>
      <c r="L2249" s="1">
        <f t="shared" si="2136"/>
        <v>8.0517733283824657E-4</v>
      </c>
      <c r="N2249" s="1"/>
    </row>
    <row r="2250" spans="2:14" x14ac:dyDescent="0.35">
      <c r="B2250" s="5" t="str">
        <f t="shared" si="2127"/>
        <v>SPS1</v>
      </c>
      <c r="C2250" s="5" t="str">
        <f t="shared" si="2128"/>
        <v>CH</v>
      </c>
      <c r="D2250" t="s">
        <v>2384</v>
      </c>
      <c r="E2250" t="str">
        <f t="shared" si="2129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1.52076230785514E-4</v>
      </c>
      <c r="G2250" s="1" cm="1">
        <f t="array" ref="G2250">SUMPRODUCT(([1]OUT_FinalEnergyCons!$B$4:$B$10000="var_ncap")*1, (ISNUMBER(SEARCH("RH*-SHSOLBR",[1]OUT_FinalEnergyCons!$A$4:$A$10000)))*1,[1]OUT_FinalEnergyCons!E$4:E$10000)</f>
        <v>2.544321906146424E-2</v>
      </c>
      <c r="H2250" s="1" cm="1">
        <f t="array" ref="H2250">SUMPRODUCT(([1]OUT_FinalEnergyCons!$B$4:$B$10000="var_ncap")*1, (ISNUMBER(SEARCH("RH*-SHSOLBR",[1]OUT_FinalEnergyCons!$A$4:$A$10000)))*1,[1]OUT_FinalEnergyCons!F$4:F$10000)</f>
        <v>1.6079599126453466E-3</v>
      </c>
      <c r="I2250" s="1" cm="1">
        <f t="array" ref="I2250">SUMPRODUCT(([1]OUT_FinalEnergyCons!$B$4:$B$10000="var_ncap")*1, (ISNUMBER(SEARCH("RH*-SHSOLBR",[1]OUT_FinalEnergyCons!$A$4:$A$10000)))*1,[1]OUT_FinalEnergyCons!G$4:G$10000)</f>
        <v>4.568515730278922E-3</v>
      </c>
      <c r="J2250" s="1" cm="1">
        <f t="array" ref="J2250">SUMPRODUCT(([2]OUT_FinalEnergyCons!$B$4:$B$10000="var_ncap")*1, (ISNUMBER(SEARCH("RH*-SHSOLBR",[2]OUT_FinalEnergyCons!$A$4:$A$10000)))*1,[2]OUT_FinalEnergyCons!H$4:H$10000)</f>
        <v>1.2560875258064121E-4</v>
      </c>
      <c r="K2250" s="1" cm="1">
        <f t="array" ref="K2250">SUMPRODUCT(([2]OUT_FinalEnergyCons!$B$4:$B$10000="var_ncap")*1, (ISNUMBER(SEARCH("RH*-SHSOLBR",[2]OUT_FinalEnergyCons!$A$4:$A$10000)))*1,[2]OUT_FinalEnergyCons!I$4:I$10000)</f>
        <v>4.9497407290240193E-3</v>
      </c>
      <c r="L2250" s="1" cm="1">
        <f t="array" ref="L2250">SUMPRODUCT(([2]OUT_FinalEnergyCons!$B$4:$B$10000="var_ncap")*1, (ISNUMBER(SEARCH("RH*-SHSOLBR",[2]OUT_FinalEnergyCons!$A$4:$A$10000)))*1,[2]OUT_FinalEnergyCons!J$4:J$10000)</f>
        <v>8.0517733283824657E-4</v>
      </c>
      <c r="N2250" s="1"/>
    </row>
    <row r="2251" spans="2:14" x14ac:dyDescent="0.35">
      <c r="B2251" s="5" t="str">
        <f t="shared" si="2127"/>
        <v>SPS1</v>
      </c>
      <c r="C2251" s="5" t="str">
        <f t="shared" si="2128"/>
        <v>CH</v>
      </c>
      <c r="D2251" t="s">
        <v>2385</v>
      </c>
      <c r="E2251" t="str">
        <f t="shared" si="2129"/>
        <v>GWth/yr.</v>
      </c>
      <c r="F2251" s="1">
        <f t="shared" ref="F2251:L2251" si="2137">F2252</f>
        <v>0</v>
      </c>
      <c r="G2251" s="1">
        <f t="shared" si="2137"/>
        <v>0</v>
      </c>
      <c r="H2251" s="1">
        <f t="shared" si="2137"/>
        <v>0</v>
      </c>
      <c r="I2251" s="1">
        <f t="shared" si="2137"/>
        <v>0</v>
      </c>
      <c r="J2251" s="1">
        <f t="shared" si="2137"/>
        <v>0</v>
      </c>
      <c r="K2251" s="1">
        <f t="shared" si="2137"/>
        <v>0</v>
      </c>
      <c r="L2251" s="1">
        <f t="shared" si="2137"/>
        <v>0</v>
      </c>
      <c r="N2251" s="1"/>
    </row>
    <row r="2252" spans="2:14" x14ac:dyDescent="0.35">
      <c r="B2252" s="5" t="str">
        <f t="shared" si="2127"/>
        <v>SPS1</v>
      </c>
      <c r="C2252" s="5" t="str">
        <f t="shared" si="2128"/>
        <v>CH</v>
      </c>
      <c r="D2252" t="s">
        <v>2386</v>
      </c>
      <c r="E2252" t="str">
        <f t="shared" si="2129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SUMPRODUCT(([2]OUT_FinalEnergyCons!$B$4:$B$10000="var_ncap")*1, (ISNUMBER(SEARCH("RH*-SHH2BR",[2]OUT_FinalEnergyCons!$A$4:$A$10000)))*1,[2]OUT_FinalEnergyCons!H$4:H$10000)</f>
        <v>0</v>
      </c>
      <c r="K2252" s="1" cm="1">
        <f t="array" ref="K2252">SUMPRODUCT(([2]OUT_FinalEnergyCons!$B$4:$B$10000="var_ncap")*1, (ISNUMBER(SEARCH("RH*-SHH2BR",[2]OUT_FinalEnergyCons!$A$4:$A$10000)))*1,[2]OUT_FinalEnergyCons!I$4:I$10000)</f>
        <v>0</v>
      </c>
      <c r="L2252" s="1" cm="1">
        <f t="array" ref="L2252">SUMPRODUCT(([2]OUT_FinalEnergyCons!$B$4:$B$10000="var_ncap")*1, (ISNUMBER(SEARCH("RH*-SHH2BR",[2]OUT_FinalEnergyCons!$A$4:$A$10000)))*1,[2]OUT_FinalEnergyCons!J$4:J$10000)</f>
        <v>0</v>
      </c>
      <c r="N2252" s="1"/>
    </row>
    <row r="2253" spans="2:14" x14ac:dyDescent="0.35">
      <c r="B2253" s="5" t="str">
        <f t="shared" si="2127"/>
        <v>SPS1</v>
      </c>
      <c r="C2253" s="5" t="str">
        <f t="shared" si="2128"/>
        <v>CH</v>
      </c>
      <c r="D2253" t="s">
        <v>2387</v>
      </c>
      <c r="E2253" t="str">
        <f t="shared" si="2129"/>
        <v>GWth/yr.</v>
      </c>
      <c r="F2253" s="1">
        <f t="shared" ref="F2253:K2253" si="2138">SUM(F2254,F2257,F2259,F2262,F2264,F2266,F2268,F2270)</f>
        <v>5.1553289442661033E-4</v>
      </c>
      <c r="G2253" s="1">
        <f t="shared" si="2138"/>
        <v>0.15721561529687225</v>
      </c>
      <c r="H2253" s="1">
        <f t="shared" si="2138"/>
        <v>0.19108295986575141</v>
      </c>
      <c r="I2253" s="1">
        <f t="shared" si="2138"/>
        <v>0.3184743792757232</v>
      </c>
      <c r="J2253" s="1">
        <f t="shared" si="2138"/>
        <v>0.73082878074096935</v>
      </c>
      <c r="K2253" s="1">
        <f t="shared" si="2138"/>
        <v>0.91304012182244587</v>
      </c>
      <c r="L2253" s="1">
        <f t="shared" ref="L2253" si="2139">SUM(L2254,L2257,L2259,L2262,L2264,L2266,L2268,L2270)</f>
        <v>1.0552743881245783</v>
      </c>
      <c r="N2253" s="1"/>
    </row>
    <row r="2254" spans="2:14" x14ac:dyDescent="0.35">
      <c r="B2254" s="5" t="str">
        <f t="shared" si="2127"/>
        <v>SPS1</v>
      </c>
      <c r="C2254" s="5" t="str">
        <f t="shared" si="2128"/>
        <v>CH</v>
      </c>
      <c r="D2254" t="s">
        <v>2388</v>
      </c>
      <c r="E2254" t="str">
        <f t="shared" si="2129"/>
        <v>GWth/yr.</v>
      </c>
      <c r="F2254" s="1">
        <f t="shared" ref="F2254:K2254" si="2140">SUM(F2255:F2256)</f>
        <v>5.1553289442661033E-4</v>
      </c>
      <c r="G2254" s="1">
        <f t="shared" si="2140"/>
        <v>6.72384169139537E-2</v>
      </c>
      <c r="H2254" s="1">
        <f t="shared" si="2140"/>
        <v>7.9381326181032663E-2</v>
      </c>
      <c r="I2254" s="1">
        <f t="shared" si="2140"/>
        <v>0.17381021124043577</v>
      </c>
      <c r="J2254" s="1">
        <f t="shared" si="2140"/>
        <v>0.3976579779820083</v>
      </c>
      <c r="K2254" s="1">
        <f t="shared" si="2140"/>
        <v>0.45692607068907698</v>
      </c>
      <c r="L2254" s="1">
        <f t="shared" ref="L2254" si="2141">SUM(L2255:L2256)</f>
        <v>0.6644033636943395</v>
      </c>
      <c r="N2254" s="1"/>
    </row>
    <row r="2255" spans="2:14" x14ac:dyDescent="0.35">
      <c r="B2255" s="5" t="str">
        <f t="shared" si="2127"/>
        <v>SPS1</v>
      </c>
      <c r="C2255" s="5" t="str">
        <f t="shared" si="2128"/>
        <v>CH</v>
      </c>
      <c r="D2255" t="s">
        <v>2389</v>
      </c>
      <c r="E2255" t="str">
        <f t="shared" si="2129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4.8522223533181398E-4</v>
      </c>
      <c r="G2255" s="1" cm="1">
        <f t="array" ref="G2255">SUMPRODUCT(([1]OUT_FinalEnergyCons!$B$4:$B$10000="var_ncap")*1,(ISNUMBER(SEARCH("RH*-WHELCBR",[1]OUT_FinalEnergyCons!$A$4:$A$10000)))*1,[1]OUT_FinalEnergyCons!E$4:E$10000)</f>
        <v>3.42205483671617E-2</v>
      </c>
      <c r="H2255" s="1" cm="1">
        <f t="array" ref="H2255">SUMPRODUCT(([1]OUT_FinalEnergyCons!$B$4:$B$10000="var_ncap")*1,(ISNUMBER(SEARCH("RH*-WHELCBR",[1]OUT_FinalEnergyCons!$A$4:$A$10000)))*1,[1]OUT_FinalEnergyCons!F$4:F$10000)</f>
        <v>6.2666672536612602E-6</v>
      </c>
      <c r="I2255" s="1" cm="1">
        <f t="array" ref="I2255">SUMPRODUCT(([1]OUT_FinalEnergyCons!$B$4:$B$10000="var_ncap")*1,(ISNUMBER(SEARCH("RH*-WHELCBR",[1]OUT_FinalEnergyCons!$A$4:$A$10000)))*1,[1]OUT_FinalEnergyCons!G$4:G$10000)</f>
        <v>1.11083084967643E-5</v>
      </c>
      <c r="J2255" s="1" cm="1">
        <f t="array" ref="J2255">SUMPRODUCT(([2]OUT_FinalEnergyCons!$B$4:$B$10000="var_ncap")*1,(ISNUMBER(SEARCH("RH*-WHELCBR",[2]OUT_FinalEnergyCons!$A$4:$A$10000)))*1,[2]OUT_FinalEnergyCons!H$4:H$10000)</f>
        <v>5.1934835195568303E-2</v>
      </c>
      <c r="K2255" s="1" cm="1">
        <f t="array" ref="K2255">SUMPRODUCT(([2]OUT_FinalEnergyCons!$B$4:$B$10000="var_ncap")*1,(ISNUMBER(SEARCH("RH*-WHELCBR",[2]OUT_FinalEnergyCons!$A$4:$A$10000)))*1,[2]OUT_FinalEnergyCons!I$4:I$10000)</f>
        <v>7.9284903228866999E-2</v>
      </c>
      <c r="L2255" s="1" cm="1">
        <f t="array" ref="L2255">SUMPRODUCT(([2]OUT_FinalEnergyCons!$B$4:$B$10000="var_ncap")*1,(ISNUMBER(SEARCH("RH*-WHELCBR",[2]OUT_FinalEnergyCons!$A$4:$A$10000)))*1,[2]OUT_FinalEnergyCons!J$4:J$10000)</f>
        <v>4.1084649458792498E-2</v>
      </c>
      <c r="N2255" s="1"/>
    </row>
    <row r="2256" spans="2:14" x14ac:dyDescent="0.35">
      <c r="B2256" s="5" t="str">
        <f t="shared" si="2127"/>
        <v>SPS1</v>
      </c>
      <c r="C2256" s="5" t="str">
        <f t="shared" si="2128"/>
        <v>CH</v>
      </c>
      <c r="D2256" t="s">
        <v>2390</v>
      </c>
      <c r="E2256" t="str">
        <f t="shared" si="2129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3.0310659094796301E-5</v>
      </c>
      <c r="G2256" s="1" cm="1">
        <f t="array" ref="G2256">SUMPRODUCT(([1]OUT_FinalEnergyCons!$B$4:$B$10000="var_ncap")*1,ISNUMBER(SEARCH("RH*-WHELCHP",[1]OUT_FinalEnergyCons!$A$4:$A$10000))*1,[1]OUT_FinalEnergyCons!E$4:E$10000)</f>
        <v>3.3017868546791999E-2</v>
      </c>
      <c r="H2256" s="1" cm="1">
        <f t="array" ref="H2256">SUMPRODUCT(([1]OUT_FinalEnergyCons!$B$4:$B$10000="var_ncap")*1,ISNUMBER(SEARCH("RH*-WHELCHP",[1]OUT_FinalEnergyCons!$A$4:$A$10000))*1,[1]OUT_FinalEnergyCons!F$4:F$10000)</f>
        <v>7.9375059513779003E-2</v>
      </c>
      <c r="I2256" s="1" cm="1">
        <f t="array" ref="I2256">SUMPRODUCT(([1]OUT_FinalEnergyCons!$B$4:$B$10000="var_ncap")*1,ISNUMBER(SEARCH("RH*-WHELCHP",[1]OUT_FinalEnergyCons!$A$4:$A$10000))*1,[1]OUT_FinalEnergyCons!G$4:G$10000)</f>
        <v>0.17379910293193901</v>
      </c>
      <c r="J2256" s="1" cm="1">
        <f t="array" ref="J2256">SUMPRODUCT(([2]OUT_FinalEnergyCons!$B$4:$B$10000="var_ncap")*1,ISNUMBER(SEARCH("RH*-WHELCHP",[2]OUT_FinalEnergyCons!$A$4:$A$10000))*1,[2]OUT_FinalEnergyCons!H$4:H$10000)</f>
        <v>0.34572314278644001</v>
      </c>
      <c r="K2256" s="1" cm="1">
        <f t="array" ref="K2256">SUMPRODUCT(([2]OUT_FinalEnergyCons!$B$4:$B$10000="var_ncap")*1,ISNUMBER(SEARCH("RH*-WHELCHP",[2]OUT_FinalEnergyCons!$A$4:$A$10000))*1,[2]OUT_FinalEnergyCons!I$4:I$10000)</f>
        <v>0.37764116746020998</v>
      </c>
      <c r="L2256" s="1" cm="1">
        <f t="array" ref="L2256">SUMPRODUCT(([2]OUT_FinalEnergyCons!$B$4:$B$10000="var_ncap")*1,ISNUMBER(SEARCH("RH*-WHELCHP",[2]OUT_FinalEnergyCons!$A$4:$A$10000))*1,[2]OUT_FinalEnergyCons!J$4:J$10000)</f>
        <v>0.62331871423554697</v>
      </c>
      <c r="N2256" s="1"/>
    </row>
    <row r="2257" spans="2:14" x14ac:dyDescent="0.35">
      <c r="B2257" s="5" t="str">
        <f t="shared" si="2127"/>
        <v>SPS1</v>
      </c>
      <c r="C2257" s="5" t="str">
        <f t="shared" si="2128"/>
        <v>CH</v>
      </c>
      <c r="D2257" t="s">
        <v>2391</v>
      </c>
      <c r="E2257" t="str">
        <f t="shared" si="2129"/>
        <v>GWth/yr.</v>
      </c>
      <c r="F2257" s="1">
        <f t="shared" ref="F2257:L2257" si="2142">F2258</f>
        <v>0</v>
      </c>
      <c r="G2257" s="1">
        <f t="shared" si="2142"/>
        <v>6.7005014714817597E-6</v>
      </c>
      <c r="H2257" s="1">
        <f t="shared" si="2142"/>
        <v>2.76600558444557E-6</v>
      </c>
      <c r="I2257" s="1">
        <f t="shared" si="2142"/>
        <v>5.4987703994920097E-6</v>
      </c>
      <c r="J2257" s="1">
        <f t="shared" si="2142"/>
        <v>2.39597200532588E-2</v>
      </c>
      <c r="K2257" s="1">
        <f t="shared" si="2142"/>
        <v>2.61777119846111E-2</v>
      </c>
      <c r="L2257" s="1">
        <f t="shared" si="2142"/>
        <v>0</v>
      </c>
      <c r="N2257" s="1"/>
    </row>
    <row r="2258" spans="2:14" x14ac:dyDescent="0.35">
      <c r="B2258" s="5" t="str">
        <f t="shared" si="2127"/>
        <v>SPS1</v>
      </c>
      <c r="C2258" s="5" t="str">
        <f t="shared" si="2128"/>
        <v>CH</v>
      </c>
      <c r="D2258" t="s">
        <v>2392</v>
      </c>
      <c r="E2258" t="str">
        <f t="shared" si="2129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6.7005014714817597E-6</v>
      </c>
      <c r="H2258" s="1" cm="1">
        <f t="array" ref="H2258">SUMPRODUCT(([1]OUT_FinalEnergyCons!$B$4:$B$10000="var_ncap")*1, (ISNUMBER(SEARCH("RH*-WHLFOBR",[1]OUT_FinalEnergyCons!$A$4:$A$10000)))*1,[1]OUT_FinalEnergyCons!F$4:F$10000)</f>
        <v>2.76600558444557E-6</v>
      </c>
      <c r="I2258" s="1" cm="1">
        <f t="array" ref="I2258">SUMPRODUCT(([1]OUT_FinalEnergyCons!$B$4:$B$10000="var_ncap")*1, (ISNUMBER(SEARCH("RH*-WHLFOBR",[1]OUT_FinalEnergyCons!$A$4:$A$10000)))*1,[1]OUT_FinalEnergyCons!G$4:G$10000)</f>
        <v>5.4987703994920097E-6</v>
      </c>
      <c r="J2258" s="1" cm="1">
        <f t="array" ref="J2258">SUMPRODUCT(([2]OUT_FinalEnergyCons!$B$4:$B$10000="var_ncap")*1, (ISNUMBER(SEARCH("RH*-WHLFOBR",[2]OUT_FinalEnergyCons!$A$4:$A$10000)))*1,[2]OUT_FinalEnergyCons!H$4:H$10000)</f>
        <v>2.39597200532588E-2</v>
      </c>
      <c r="K2258" s="1" cm="1">
        <f t="array" ref="K2258">SUMPRODUCT(([2]OUT_FinalEnergyCons!$B$4:$B$10000="var_ncap")*1, (ISNUMBER(SEARCH("RH*-WHLFOBR",[2]OUT_FinalEnergyCons!$A$4:$A$10000)))*1,[2]OUT_FinalEnergyCons!I$4:I$10000)</f>
        <v>2.61777119846111E-2</v>
      </c>
      <c r="L2258" s="1" cm="1">
        <f t="array" ref="L2258">SUMPRODUCT(([2]OUT_FinalEnergyCons!$B$4:$B$10000="var_ncap")*1, (ISNUMBER(SEARCH("RH*-WHLFOBR",[2]OUT_FinalEnergyCons!$A$4:$A$10000)))*1,[2]OUT_FinalEnergyCons!J$4:J$10000)</f>
        <v>0</v>
      </c>
      <c r="N2258" s="1"/>
    </row>
    <row r="2259" spans="2:14" x14ac:dyDescent="0.35">
      <c r="B2259" s="5" t="str">
        <f t="shared" si="2127"/>
        <v>SPS1</v>
      </c>
      <c r="C2259" s="5" t="str">
        <f t="shared" si="2128"/>
        <v>CH</v>
      </c>
      <c r="D2259" t="s">
        <v>2393</v>
      </c>
      <c r="E2259" t="str">
        <f t="shared" si="2129"/>
        <v>GWth/yr.</v>
      </c>
      <c r="F2259" s="1">
        <f t="shared" ref="F2259:K2259" si="2143">SUM(F2260:F2261)</f>
        <v>0</v>
      </c>
      <c r="G2259" s="1">
        <f t="shared" si="2143"/>
        <v>2.4932949770555E-5</v>
      </c>
      <c r="H2259" s="1">
        <f t="shared" si="2143"/>
        <v>7.3025407410924809E-2</v>
      </c>
      <c r="I2259" s="1">
        <f t="shared" si="2143"/>
        <v>0.14387154748207451</v>
      </c>
      <c r="J2259" s="1">
        <f t="shared" si="2143"/>
        <v>0.14582071308881872</v>
      </c>
      <c r="K2259" s="1">
        <f t="shared" si="2143"/>
        <v>0.25080163914622761</v>
      </c>
      <c r="L2259" s="1">
        <f t="shared" ref="L2259" si="2144">SUM(L2260:L2261)</f>
        <v>0.27177874764375165</v>
      </c>
      <c r="N2259" s="1"/>
    </row>
    <row r="2260" spans="2:14" x14ac:dyDescent="0.35">
      <c r="B2260" s="5" t="str">
        <f t="shared" si="2127"/>
        <v>SPS1</v>
      </c>
      <c r="C2260" s="5" t="str">
        <f t="shared" si="2128"/>
        <v>CH</v>
      </c>
      <c r="D2260" t="s">
        <v>2394</v>
      </c>
      <c r="E2260" t="str">
        <f t="shared" si="2129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1.2777307758621499E-5</v>
      </c>
      <c r="H2260" s="1" cm="1">
        <f t="array" ref="H2260">SUMPRODUCT(([1]OUT_FinalEnergyCons!$B$4:$B$10000="var_ncap")*1, (ISNUMBER(SEARCH("RH*-WHNGABR",[1]OUT_FinalEnergyCons!$A$4:$A$10000)))*1,[1]OUT_FinalEnergyCons!F$4:F$10000)</f>
        <v>5.2685956135009598E-6</v>
      </c>
      <c r="I2260" s="1" cm="1">
        <f t="array" ref="I2260">SUMPRODUCT(([1]OUT_FinalEnergyCons!$B$4:$B$10000="var_ncap")*1, (ISNUMBER(SEARCH("RH*-WHNGABR",[1]OUT_FinalEnergyCons!$A$4:$A$10000)))*1,[1]OUT_FinalEnergyCons!G$4:G$10000)</f>
        <v>6.4269173914872399E-6</v>
      </c>
      <c r="J2260" s="1" cm="1">
        <f t="array" ref="J2260">SUMPRODUCT(([2]OUT_FinalEnergyCons!$B$4:$B$10000="var_ncap")*1, (ISNUMBER(SEARCH("RH*-WHNGABR",[2]OUT_FinalEnergyCons!$A$4:$A$10000)))*1,[2]OUT_FinalEnergyCons!H$4:H$10000)</f>
        <v>4.9953750108620701E-2</v>
      </c>
      <c r="K2260" s="1" cm="1">
        <f t="array" ref="K2260">SUMPRODUCT(([2]OUT_FinalEnergyCons!$B$4:$B$10000="var_ncap")*1, (ISNUMBER(SEARCH("RH*-WHNGABR",[2]OUT_FinalEnergyCons!$A$4:$A$10000)))*1,[2]OUT_FinalEnergyCons!I$4:I$10000)</f>
        <v>5.0131619976531601E-2</v>
      </c>
      <c r="L2260" s="1" cm="1">
        <f t="array" ref="L2260">SUMPRODUCT(([2]OUT_FinalEnergyCons!$B$4:$B$10000="var_ncap")*1, (ISNUMBER(SEARCH("RH*-WHNGABR",[2]OUT_FinalEnergyCons!$A$4:$A$10000)))*1,[2]OUT_FinalEnergyCons!J$4:J$10000)</f>
        <v>2.1755160366810799E-7</v>
      </c>
      <c r="N2260" s="1"/>
    </row>
    <row r="2261" spans="2:14" x14ac:dyDescent="0.35">
      <c r="B2261" s="5" t="str">
        <f t="shared" si="2127"/>
        <v>SPS1</v>
      </c>
      <c r="C2261" s="5" t="str">
        <f t="shared" si="2128"/>
        <v>CH</v>
      </c>
      <c r="D2261" t="s">
        <v>2395</v>
      </c>
      <c r="E2261" t="str">
        <f t="shared" si="2129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1.2155642011933501E-5</v>
      </c>
      <c r="H2261" s="1" cm="1">
        <f t="array" ref="H2261">SUMPRODUCT(([1]OUT_FinalEnergyCons!$B$4:$B$10000="var_ncap")*1,ISNUMBER(SEARCH("RH*-WHngahp",[1]OUT_FinalEnergyCons!$A$4:$A$10000))*1,[1]OUT_FinalEnergyCons!F$4:F$10000)</f>
        <v>7.3020138815311303E-2</v>
      </c>
      <c r="I2261" s="1" cm="1">
        <f t="array" ref="I2261">SUMPRODUCT(([1]OUT_FinalEnergyCons!$B$4:$B$10000="var_ncap")*1,ISNUMBER(SEARCH("RH*-WHngahp",[1]OUT_FinalEnergyCons!$A$4:$A$10000))*1,[1]OUT_FinalEnergyCons!G$4:G$10000)</f>
        <v>0.14386512056468301</v>
      </c>
      <c r="J2261" s="1" cm="1">
        <f t="array" ref="J2261">SUMPRODUCT(([2]OUT_FinalEnergyCons!$B$4:$B$10000="var_ncap")*1,ISNUMBER(SEARCH("RH*-WHngahp",[2]OUT_FinalEnergyCons!$A$4:$A$10000))*1,[2]OUT_FinalEnergyCons!H$4:H$10000)</f>
        <v>9.5866962980198006E-2</v>
      </c>
      <c r="K2261" s="1" cm="1">
        <f t="array" ref="K2261">SUMPRODUCT(([2]OUT_FinalEnergyCons!$B$4:$B$10000="var_ncap")*1,ISNUMBER(SEARCH("RH*-WHngahp",[2]OUT_FinalEnergyCons!$A$4:$A$10000))*1,[2]OUT_FinalEnergyCons!I$4:I$10000)</f>
        <v>0.20067001916969601</v>
      </c>
      <c r="L2261" s="1" cm="1">
        <f t="array" ref="L2261">SUMPRODUCT(([2]OUT_FinalEnergyCons!$B$4:$B$10000="var_ncap")*1,ISNUMBER(SEARCH("RH*-WHngahp",[2]OUT_FinalEnergyCons!$A$4:$A$10000))*1,[2]OUT_FinalEnergyCons!J$4:J$10000)</f>
        <v>0.27177853009214797</v>
      </c>
      <c r="N2261" s="1"/>
    </row>
    <row r="2262" spans="2:14" x14ac:dyDescent="0.35">
      <c r="B2262" s="5" t="str">
        <f t="shared" si="2127"/>
        <v>SPS1</v>
      </c>
      <c r="C2262" s="5" t="str">
        <f t="shared" si="2128"/>
        <v>CH</v>
      </c>
      <c r="D2262" t="s">
        <v>2396</v>
      </c>
      <c r="E2262" t="str">
        <f t="shared" si="2129"/>
        <v>GWth/yr.</v>
      </c>
      <c r="F2262" s="1">
        <f t="shared" ref="F2262:L2262" si="2145">F2263</f>
        <v>0</v>
      </c>
      <c r="G2262" s="1">
        <f t="shared" si="2145"/>
        <v>0</v>
      </c>
      <c r="H2262" s="1">
        <f t="shared" si="2145"/>
        <v>0</v>
      </c>
      <c r="I2262" s="1">
        <f t="shared" si="2145"/>
        <v>0</v>
      </c>
      <c r="J2262" s="1">
        <f t="shared" si="2145"/>
        <v>0</v>
      </c>
      <c r="K2262" s="1">
        <f t="shared" si="2145"/>
        <v>0</v>
      </c>
      <c r="L2262" s="1">
        <f t="shared" si="2145"/>
        <v>0</v>
      </c>
      <c r="N2262" s="1"/>
    </row>
    <row r="2263" spans="2:14" x14ac:dyDescent="0.35">
      <c r="B2263" s="5" t="str">
        <f t="shared" si="2127"/>
        <v>SPS1</v>
      </c>
      <c r="C2263" s="5" t="str">
        <f t="shared" si="2128"/>
        <v>CH</v>
      </c>
      <c r="D2263" t="s">
        <v>2397</v>
      </c>
      <c r="E2263" t="str">
        <f t="shared" si="2129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SUMPRODUCT(([2]OUT_FinalEnergyCons!$B$4:$B$10000="var_ncap")*1, (ISNUMBER(SEARCH("RH*-WHCOABR",[2]OUT_FinalEnergyCons!$A$4:$A$10000)))*1,[2]OUT_FinalEnergyCons!H$4:H$10000)</f>
        <v>0</v>
      </c>
      <c r="K2263" s="1" cm="1">
        <f t="array" ref="K2263">SUMPRODUCT(([2]OUT_FinalEnergyCons!$B$4:$B$10000="var_ncap")*1, (ISNUMBER(SEARCH("RH*-WHCOABR",[2]OUT_FinalEnergyCons!$A$4:$A$10000)))*1,[2]OUT_FinalEnergyCons!I$4:I$10000)</f>
        <v>0</v>
      </c>
      <c r="L2263" s="1" cm="1">
        <f t="array" ref="L2263">SUMPRODUCT(([2]OUT_FinalEnergyCons!$B$4:$B$10000="var_ncap")*1, (ISNUMBER(SEARCH("RH*-WHCOABR",[2]OUT_FinalEnergyCons!$A$4:$A$10000)))*1,[2]OUT_FinalEnergyCons!J$4:J$10000)</f>
        <v>0</v>
      </c>
      <c r="N2263" s="1"/>
    </row>
    <row r="2264" spans="2:14" x14ac:dyDescent="0.35">
      <c r="B2264" s="5" t="str">
        <f t="shared" si="2127"/>
        <v>SPS1</v>
      </c>
      <c r="C2264" s="5" t="str">
        <f t="shared" si="2128"/>
        <v>CH</v>
      </c>
      <c r="D2264" t="s">
        <v>2398</v>
      </c>
      <c r="E2264" t="str">
        <f t="shared" si="2129"/>
        <v>GWth/yr.</v>
      </c>
      <c r="F2264" s="1">
        <f t="shared" ref="F2264:L2264" si="2146">F2265</f>
        <v>0</v>
      </c>
      <c r="G2264" s="1">
        <f t="shared" si="2146"/>
        <v>5.41651913412056E-3</v>
      </c>
      <c r="H2264" s="1">
        <f t="shared" si="2146"/>
        <v>3.8637788231454202E-2</v>
      </c>
      <c r="I2264" s="1">
        <f t="shared" si="2146"/>
        <v>6.3872109185682095E-4</v>
      </c>
      <c r="J2264" s="1">
        <f t="shared" si="2146"/>
        <v>2.1888775837059199E-2</v>
      </c>
      <c r="K2264" s="1">
        <f t="shared" si="2146"/>
        <v>4.1296899876893299E-2</v>
      </c>
      <c r="L2264" s="1">
        <f t="shared" si="2146"/>
        <v>1.32145391334584E-2</v>
      </c>
      <c r="N2264" s="1"/>
    </row>
    <row r="2265" spans="2:14" x14ac:dyDescent="0.35">
      <c r="B2265" s="5" t="str">
        <f t="shared" si="2127"/>
        <v>SPS1</v>
      </c>
      <c r="C2265" s="5" t="str">
        <f t="shared" si="2128"/>
        <v>CH</v>
      </c>
      <c r="D2265" t="s">
        <v>2399</v>
      </c>
      <c r="E2265" t="str">
        <f t="shared" si="2129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5.41651913412056E-3</v>
      </c>
      <c r="H2265" s="1" cm="1">
        <f t="array" ref="H2265">SUMPRODUCT(([1]OUT_FinalEnergyCons!$B$4:$B$10000="var_ncap")*1, (ISNUMBER(SEARCH("RH*-WHWODBR",[1]OUT_FinalEnergyCons!$A$4:$A$10000)))*1,[1]OUT_FinalEnergyCons!F$4:F$10000)</f>
        <v>3.8637788231454202E-2</v>
      </c>
      <c r="I2265" s="1" cm="1">
        <f t="array" ref="I2265">SUMPRODUCT(([1]OUT_FinalEnergyCons!$B$4:$B$10000="var_ncap")*1, (ISNUMBER(SEARCH("RH*-WHWODBR",[1]OUT_FinalEnergyCons!$A$4:$A$10000)))*1,[1]OUT_FinalEnergyCons!G$4:G$10000)</f>
        <v>6.3872109185682095E-4</v>
      </c>
      <c r="J2265" s="1" cm="1">
        <f t="array" ref="J2265">SUMPRODUCT(([2]OUT_FinalEnergyCons!$B$4:$B$10000="var_ncap")*1, (ISNUMBER(SEARCH("RH*-WHWODBR",[2]OUT_FinalEnergyCons!$A$4:$A$10000)))*1,[2]OUT_FinalEnergyCons!H$4:H$10000)</f>
        <v>2.1888775837059199E-2</v>
      </c>
      <c r="K2265" s="1" cm="1">
        <f t="array" ref="K2265">SUMPRODUCT(([2]OUT_FinalEnergyCons!$B$4:$B$10000="var_ncap")*1, (ISNUMBER(SEARCH("RH*-WHWODBR",[2]OUT_FinalEnergyCons!$A$4:$A$10000)))*1,[2]OUT_FinalEnergyCons!I$4:I$10000)</f>
        <v>4.1296899876893299E-2</v>
      </c>
      <c r="L2265" s="1" cm="1">
        <f t="array" ref="L2265">SUMPRODUCT(([2]OUT_FinalEnergyCons!$B$4:$B$10000="var_ncap")*1, (ISNUMBER(SEARCH("RH*-WHWODBR",[2]OUT_FinalEnergyCons!$A$4:$A$10000)))*1,[2]OUT_FinalEnergyCons!J$4:J$10000)</f>
        <v>1.32145391334584E-2</v>
      </c>
      <c r="N2265" s="1"/>
    </row>
    <row r="2266" spans="2:14" x14ac:dyDescent="0.35">
      <c r="B2266" s="5" t="str">
        <f t="shared" si="2127"/>
        <v>SPS1</v>
      </c>
      <c r="C2266" s="5" t="str">
        <f t="shared" si="2128"/>
        <v>CH</v>
      </c>
      <c r="D2266" t="s">
        <v>2400</v>
      </c>
      <c r="E2266" t="str">
        <f t="shared" si="2129"/>
        <v>GWth/yr.</v>
      </c>
      <c r="F2266" s="1">
        <f t="shared" ref="F2266:L2266" si="2147">F2267</f>
        <v>0</v>
      </c>
      <c r="G2266" s="1">
        <f t="shared" si="2147"/>
        <v>2.0553897283731399E-3</v>
      </c>
      <c r="H2266" s="1">
        <f t="shared" si="2147"/>
        <v>2.8160175840249901E-6</v>
      </c>
      <c r="I2266" s="1">
        <f t="shared" si="2147"/>
        <v>5.5789752107580097E-5</v>
      </c>
      <c r="J2266" s="1">
        <f t="shared" si="2147"/>
        <v>4.5209485079064403E-3</v>
      </c>
      <c r="K2266" s="1">
        <f t="shared" si="2147"/>
        <v>4.6037147982208298E-3</v>
      </c>
      <c r="L2266" s="1">
        <f t="shared" si="2147"/>
        <v>3.8964775084948198E-3</v>
      </c>
      <c r="N2266" s="1"/>
    </row>
    <row r="2267" spans="2:14" x14ac:dyDescent="0.35">
      <c r="B2267" s="5" t="str">
        <f t="shared" si="2127"/>
        <v>SPS1</v>
      </c>
      <c r="C2267" s="5" t="str">
        <f t="shared" si="2128"/>
        <v>CH</v>
      </c>
      <c r="D2267" t="s">
        <v>2401</v>
      </c>
      <c r="E2267" t="str">
        <f t="shared" si="2129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2.0553897283731399E-3</v>
      </c>
      <c r="H2267" s="1" cm="1">
        <f t="array" ref="H2267">SUMPRODUCT(([1]OUT_FinalEnergyCons!$B$4:$B$10000="var_ncap")*1, (ISNUMBER(SEARCH("RH*-WHPLTBR",[1]OUT_FinalEnergyCons!$A$4:$A$10000)))*1,[1]OUT_FinalEnergyCons!F$4:F$10000)</f>
        <v>2.8160175840249901E-6</v>
      </c>
      <c r="I2267" s="1" cm="1">
        <f t="array" ref="I2267">SUMPRODUCT(([1]OUT_FinalEnergyCons!$B$4:$B$10000="var_ncap")*1, (ISNUMBER(SEARCH("RH*-WHPLTBR",[1]OUT_FinalEnergyCons!$A$4:$A$10000)))*1,[1]OUT_FinalEnergyCons!G$4:G$10000)</f>
        <v>5.5789752107580097E-5</v>
      </c>
      <c r="J2267" s="1" cm="1">
        <f t="array" ref="J2267">SUMPRODUCT(([2]OUT_FinalEnergyCons!$B$4:$B$10000="var_ncap")*1, (ISNUMBER(SEARCH("RH*-WHPLTBR",[2]OUT_FinalEnergyCons!$A$4:$A$10000)))*1,[2]OUT_FinalEnergyCons!H$4:H$10000)</f>
        <v>4.5209485079064403E-3</v>
      </c>
      <c r="K2267" s="1" cm="1">
        <f t="array" ref="K2267">SUMPRODUCT(([2]OUT_FinalEnergyCons!$B$4:$B$10000="var_ncap")*1, (ISNUMBER(SEARCH("RH*-WHPLTBR",[2]OUT_FinalEnergyCons!$A$4:$A$10000)))*1,[2]OUT_FinalEnergyCons!I$4:I$10000)</f>
        <v>4.6037147982208298E-3</v>
      </c>
      <c r="L2267" s="1" cm="1">
        <f t="array" ref="L2267">SUMPRODUCT(([2]OUT_FinalEnergyCons!$B$4:$B$10000="var_ncap")*1, (ISNUMBER(SEARCH("RH*-WHPLTBR",[2]OUT_FinalEnergyCons!$A$4:$A$10000)))*1,[2]OUT_FinalEnergyCons!J$4:J$10000)</f>
        <v>3.8964775084948198E-3</v>
      </c>
      <c r="N2267" s="1"/>
    </row>
    <row r="2268" spans="2:14" x14ac:dyDescent="0.35">
      <c r="B2268" s="5" t="str">
        <f t="shared" ref="B2268:B2294" si="2148">B2267</f>
        <v>SPS1</v>
      </c>
      <c r="C2268" s="5" t="str">
        <f t="shared" ref="C2268:C2294" si="2149">C2267</f>
        <v>CH</v>
      </c>
      <c r="D2268" t="s">
        <v>2402</v>
      </c>
      <c r="E2268" t="str">
        <f t="shared" ref="E2268:E2299" si="2150">E2267</f>
        <v>GWth/yr.</v>
      </c>
      <c r="F2268" s="1">
        <f t="shared" ref="F2268:L2268" si="2151">F2269</f>
        <v>0</v>
      </c>
      <c r="G2268" s="1">
        <f t="shared" si="2151"/>
        <v>8.2473656069182805E-2</v>
      </c>
      <c r="H2268" s="1">
        <f t="shared" si="2151"/>
        <v>3.2856019171264001E-5</v>
      </c>
      <c r="I2268" s="1">
        <f t="shared" si="2151"/>
        <v>9.2610938849064297E-5</v>
      </c>
      <c r="J2268" s="1">
        <f t="shared" si="2151"/>
        <v>0.136980645271918</v>
      </c>
      <c r="K2268" s="1">
        <f t="shared" si="2151"/>
        <v>0.13323408532741601</v>
      </c>
      <c r="L2268" s="1">
        <f t="shared" si="2151"/>
        <v>0.101981260144534</v>
      </c>
      <c r="N2268" s="1"/>
    </row>
    <row r="2269" spans="2:14" x14ac:dyDescent="0.35">
      <c r="B2269" s="5" t="str">
        <f t="shared" si="2148"/>
        <v>SPS1</v>
      </c>
      <c r="C2269" s="5" t="str">
        <f t="shared" si="2149"/>
        <v>CH</v>
      </c>
      <c r="D2269" t="s">
        <v>2403</v>
      </c>
      <c r="E2269" t="str">
        <f t="shared" si="2150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8.2473656069182805E-2</v>
      </c>
      <c r="H2269" s="1" cm="1">
        <f t="array" ref="H2269">SUMPRODUCT(([1]OUT_FinalEnergyCons!$B$4:$B$10000="var_ncap")*1, (ISNUMBER(SEARCH("RH*-WHSOLBR",[1]OUT_FinalEnergyCons!$A$4:$A$10000)))*1,[1]OUT_FinalEnergyCons!F$4:F$10000)</f>
        <v>3.2856019171264001E-5</v>
      </c>
      <c r="I2269" s="1" cm="1">
        <f t="array" ref="I2269">SUMPRODUCT(([1]OUT_FinalEnergyCons!$B$4:$B$10000="var_ncap")*1, (ISNUMBER(SEARCH("RH*-WHSOLBR",[1]OUT_FinalEnergyCons!$A$4:$A$10000)))*1,[1]OUT_FinalEnergyCons!G$4:G$10000)</f>
        <v>9.2610938849064297E-5</v>
      </c>
      <c r="J2269" s="1" cm="1">
        <f t="array" ref="J2269">SUMPRODUCT(([2]OUT_FinalEnergyCons!$B$4:$B$10000="var_ncap")*1, (ISNUMBER(SEARCH("RH*-WHSOLBR",[2]OUT_FinalEnergyCons!$A$4:$A$10000)))*1,[2]OUT_FinalEnergyCons!H$4:H$10000)</f>
        <v>0.136980645271918</v>
      </c>
      <c r="K2269" s="1" cm="1">
        <f t="array" ref="K2269">SUMPRODUCT(([2]OUT_FinalEnergyCons!$B$4:$B$10000="var_ncap")*1, (ISNUMBER(SEARCH("RH*-WHSOLBR",[2]OUT_FinalEnergyCons!$A$4:$A$10000)))*1,[2]OUT_FinalEnergyCons!I$4:I$10000)</f>
        <v>0.13323408532741601</v>
      </c>
      <c r="L2269" s="1" cm="1">
        <f t="array" ref="L2269">SUMPRODUCT(([2]OUT_FinalEnergyCons!$B$4:$B$10000="var_ncap")*1, (ISNUMBER(SEARCH("RH*-WHSOLBR",[2]OUT_FinalEnergyCons!$A$4:$A$10000)))*1,[2]OUT_FinalEnergyCons!J$4:J$10000)</f>
        <v>0.101981260144534</v>
      </c>
      <c r="N2269" s="1"/>
    </row>
    <row r="2270" spans="2:14" x14ac:dyDescent="0.35">
      <c r="B2270" s="5" t="str">
        <f t="shared" si="2148"/>
        <v>SPS1</v>
      </c>
      <c r="C2270" s="5" t="str">
        <f t="shared" si="2149"/>
        <v>CH</v>
      </c>
      <c r="D2270" t="s">
        <v>2404</v>
      </c>
      <c r="E2270" t="str">
        <f t="shared" si="2150"/>
        <v>GWth/yr.</v>
      </c>
      <c r="F2270" s="1">
        <f t="shared" ref="F2270:L2270" si="2152">F2271</f>
        <v>0</v>
      </c>
      <c r="G2270" s="1">
        <f t="shared" si="2152"/>
        <v>0</v>
      </c>
      <c r="H2270" s="1">
        <f t="shared" si="2152"/>
        <v>0</v>
      </c>
      <c r="I2270" s="1">
        <f t="shared" si="2152"/>
        <v>0</v>
      </c>
      <c r="J2270" s="1">
        <f t="shared" si="2152"/>
        <v>0</v>
      </c>
      <c r="K2270" s="1">
        <f t="shared" si="2152"/>
        <v>0</v>
      </c>
      <c r="L2270" s="1">
        <f t="shared" si="2152"/>
        <v>0</v>
      </c>
      <c r="N2270" s="1"/>
    </row>
    <row r="2271" spans="2:14" x14ac:dyDescent="0.35">
      <c r="B2271" s="5" t="str">
        <f t="shared" si="2148"/>
        <v>SPS1</v>
      </c>
      <c r="C2271" s="5" t="str">
        <f t="shared" si="2149"/>
        <v>CH</v>
      </c>
      <c r="D2271" t="s">
        <v>2405</v>
      </c>
      <c r="E2271" t="str">
        <f t="shared" si="2150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SUMPRODUCT(([2]OUT_FinalEnergyCons!$B$4:$B$10000="var_ncap")*1, (ISNUMBER(SEARCH("RH*-WHH2BR",[2]OUT_FinalEnergyCons!$A$4:$A$10000)))*1,[2]OUT_FinalEnergyCons!H$4:H$10000)</f>
        <v>0</v>
      </c>
      <c r="K2271" s="1" cm="1">
        <f t="array" ref="K2271">SUMPRODUCT(([2]OUT_FinalEnergyCons!$B$4:$B$10000="var_ncap")*1, (ISNUMBER(SEARCH("RH*-WHH2BR",[2]OUT_FinalEnergyCons!$A$4:$A$10000)))*1,[2]OUT_FinalEnergyCons!I$4:I$10000)</f>
        <v>0</v>
      </c>
      <c r="L2271" s="1" cm="1">
        <f t="array" ref="L2271">SUMPRODUCT(([2]OUT_FinalEnergyCons!$B$4:$B$10000="var_ncap")*1, (ISNUMBER(SEARCH("RH*-WHH2BR",[2]OUT_FinalEnergyCons!$A$4:$A$10000)))*1,[2]OUT_FinalEnergyCons!J$4:J$10000)</f>
        <v>0</v>
      </c>
      <c r="N2271" s="1"/>
    </row>
    <row r="2272" spans="2:14" x14ac:dyDescent="0.35">
      <c r="B2272" s="9" t="str">
        <f t="shared" si="2148"/>
        <v>SPS1</v>
      </c>
      <c r="C2272" s="9" t="str">
        <f t="shared" si="2149"/>
        <v>CH</v>
      </c>
      <c r="D2272" s="2" t="s">
        <v>2406</v>
      </c>
      <c r="E2272" s="9" t="str">
        <f t="shared" si="2150"/>
        <v>GWth/yr.</v>
      </c>
      <c r="F2272" s="17">
        <f t="shared" ref="F2272:K2272" si="2153">SUM(F2273,F2276,F2279,F2283,F2285,F2287,F2289,F2291,F2293)</f>
        <v>1.33925594243944E-2</v>
      </c>
      <c r="G2272" s="17">
        <f t="shared" si="2153"/>
        <v>0.65185538060459858</v>
      </c>
      <c r="H2272" s="17">
        <f t="shared" si="2153"/>
        <v>0.10732356713705589</v>
      </c>
      <c r="I2272" s="17">
        <f t="shared" si="2153"/>
        <v>0.49080247409825889</v>
      </c>
      <c r="J2272" s="17">
        <f t="shared" si="2153"/>
        <v>2.398965708466875</v>
      </c>
      <c r="K2272" s="17">
        <f t="shared" si="2153"/>
        <v>1.2568671239421745</v>
      </c>
      <c r="L2272" s="17">
        <f t="shared" ref="L2272" si="2154">SUM(L2273,L2276,L2279,L2283,L2285,L2287,L2289,L2291,L2293)</f>
        <v>2.1386348946840763</v>
      </c>
      <c r="N2272" s="1"/>
    </row>
    <row r="2273" spans="2:14" x14ac:dyDescent="0.35">
      <c r="B2273" s="5" t="str">
        <f t="shared" si="2148"/>
        <v>SPS1</v>
      </c>
      <c r="C2273" s="5" t="str">
        <f t="shared" si="2149"/>
        <v>CH</v>
      </c>
      <c r="D2273" t="s">
        <v>2407</v>
      </c>
      <c r="E2273" t="str">
        <f t="shared" si="2150"/>
        <v>GWth/yr.</v>
      </c>
      <c r="F2273" s="18">
        <f t="shared" ref="F2273:K2273" si="2155">SUM(F2274:F2275)</f>
        <v>0</v>
      </c>
      <c r="G2273" s="18">
        <f t="shared" si="2155"/>
        <v>0.21557846636999231</v>
      </c>
      <c r="H2273" s="18">
        <f t="shared" si="2155"/>
        <v>7.9262407946784907E-2</v>
      </c>
      <c r="I2273" s="18">
        <f t="shared" si="2155"/>
        <v>0.44848510922009399</v>
      </c>
      <c r="J2273" s="18">
        <f t="shared" si="2155"/>
        <v>0.76513853822526301</v>
      </c>
      <c r="K2273" s="18">
        <f t="shared" si="2155"/>
        <v>0.64210414418456208</v>
      </c>
      <c r="L2273" s="18">
        <f t="shared" ref="L2273" si="2156">SUM(L2274:L2275)</f>
        <v>1.412448212565097</v>
      </c>
      <c r="N2273" s="1"/>
    </row>
    <row r="2274" spans="2:14" x14ac:dyDescent="0.35">
      <c r="B2274" s="5" t="str">
        <f t="shared" si="2148"/>
        <v>SPS1</v>
      </c>
      <c r="C2274" s="5" t="str">
        <f t="shared" si="2149"/>
        <v>CH</v>
      </c>
      <c r="D2274" t="s">
        <v>2408</v>
      </c>
      <c r="E2274" t="str">
        <f t="shared" si="2150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0.195937581071362</v>
      </c>
      <c r="H2274" s="1" cm="1">
        <f t="array" ref="H2274">SUMPRODUCT(([1]OUT_FinalEnergyCons!$B$4:$B$10000="var_ncap")*1,  (ISNUMBER(SEARCH("ITOT-SWHELCBR",[1]OUT_FinalEnergyCons!$A$4:$A$10000)))*1,[1]OUT_FinalEnergyCons!F$4:F$10000)</f>
        <v>1.4658584998031E-2</v>
      </c>
      <c r="I2274" s="1" cm="1">
        <f t="array" ref="I2274">SUMPRODUCT(([1]OUT_FinalEnergyCons!$B$4:$B$10000="var_ncap")*1,  (ISNUMBER(SEARCH("ITOT-SWHELCBR",[1]OUT_FinalEnergyCons!$A$4:$A$10000)))*1,[1]OUT_FinalEnergyCons!G$4:G$10000)</f>
        <v>0.258033237202895</v>
      </c>
      <c r="J2274" s="1" cm="1">
        <f t="array" ref="J2274">SUMPRODUCT(([2]OUT_FinalEnergyCons!$B$4:$B$10000="var_ncap")*1,  (ISNUMBER(SEARCH("ITOT-SWHELCBR",[2]OUT_FinalEnergyCons!$A$4:$A$10000)))*1,[2]OUT_FinalEnergyCons!H$4:H$10000)</f>
        <v>0.71246247480262803</v>
      </c>
      <c r="K2274" s="1" cm="1">
        <f t="array" ref="K2274">SUMPRODUCT(([2]OUT_FinalEnergyCons!$B$4:$B$10000="var_ncap")*1,  (ISNUMBER(SEARCH("ITOT-SWHELCBR",[2]OUT_FinalEnergyCons!$A$4:$A$10000)))*1,[2]OUT_FinalEnergyCons!I$4:I$10000)</f>
        <v>0.36029754210210602</v>
      </c>
      <c r="L2274" s="1" cm="1">
        <f t="array" ref="L2274">SUMPRODUCT(([2]OUT_FinalEnergyCons!$B$4:$B$10000="var_ncap")*1,  (ISNUMBER(SEARCH("ITOT-SWHELCBR",[2]OUT_FinalEnergyCons!$A$4:$A$10000)))*1,[2]OUT_FinalEnergyCons!J$4:J$10000)</f>
        <v>1.0303307796146199</v>
      </c>
      <c r="N2274" s="1"/>
    </row>
    <row r="2275" spans="2:14" x14ac:dyDescent="0.35">
      <c r="B2275" s="5" t="str">
        <f t="shared" si="2148"/>
        <v>SPS1</v>
      </c>
      <c r="C2275" s="5" t="str">
        <f t="shared" si="2149"/>
        <v>CH</v>
      </c>
      <c r="D2275" t="s">
        <v>2409</v>
      </c>
      <c r="E2275" t="str">
        <f t="shared" si="2150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1.9640885298630301E-2</v>
      </c>
      <c r="H2275" s="1" cm="1">
        <f t="array" ref="H2275">SUMPRODUCT(([1]OUT_FinalEnergyCons!$B$4:$B$10000="var_ncap")*1,  (ISNUMBER(SEARCH("ITOT-SWHELCHP",[1]OUT_FinalEnergyCons!$A$4:$A$10000)))*1,[1]OUT_FinalEnergyCons!F$4:F$10000)</f>
        <v>6.46038229487539E-2</v>
      </c>
      <c r="I2275" s="1" cm="1">
        <f t="array" ref="I2275">SUMPRODUCT(([1]OUT_FinalEnergyCons!$B$4:$B$10000="var_ncap")*1,  (ISNUMBER(SEARCH("ITOT-SWHELCHP",[1]OUT_FinalEnergyCons!$A$4:$A$10000)))*1,[1]OUT_FinalEnergyCons!G$4:G$10000)</f>
        <v>0.19045187201719899</v>
      </c>
      <c r="J2275" s="1" cm="1">
        <f t="array" ref="J2275">SUMPRODUCT(([2]OUT_FinalEnergyCons!$B$4:$B$10000="var_ncap")*1,  (ISNUMBER(SEARCH("ITOT-SWHELCHP",[2]OUT_FinalEnergyCons!$A$4:$A$10000)))*1,[2]OUT_FinalEnergyCons!H$4:H$10000)</f>
        <v>5.2676063422634999E-2</v>
      </c>
      <c r="K2275" s="1" cm="1">
        <f t="array" ref="K2275">SUMPRODUCT(([2]OUT_FinalEnergyCons!$B$4:$B$10000="var_ncap")*1,  (ISNUMBER(SEARCH("ITOT-SWHELCHP",[2]OUT_FinalEnergyCons!$A$4:$A$10000)))*1,[2]OUT_FinalEnergyCons!I$4:I$10000)</f>
        <v>0.281806602082456</v>
      </c>
      <c r="L2275" s="1" cm="1">
        <f t="array" ref="L2275">SUMPRODUCT(([2]OUT_FinalEnergyCons!$B$4:$B$10000="var_ncap")*1,  (ISNUMBER(SEARCH("ITOT-SWHELCHP",[2]OUT_FinalEnergyCons!$A$4:$A$10000)))*1,[2]OUT_FinalEnergyCons!J$4:J$10000)</f>
        <v>0.38211743295047701</v>
      </c>
      <c r="N2275" s="1"/>
    </row>
    <row r="2276" spans="2:14" x14ac:dyDescent="0.35">
      <c r="B2276" s="5" t="str">
        <f t="shared" si="2148"/>
        <v>SPS1</v>
      </c>
      <c r="C2276" s="5" t="str">
        <f t="shared" si="2149"/>
        <v>CH</v>
      </c>
      <c r="D2276" t="s">
        <v>2410</v>
      </c>
      <c r="E2276" t="str">
        <f t="shared" si="2150"/>
        <v>GWth/yr.</v>
      </c>
      <c r="F2276" s="18">
        <f t="shared" ref="F2276:K2276" si="2157">SUM(F2277:F2278)</f>
        <v>1.33925594243944E-2</v>
      </c>
      <c r="G2276" s="18">
        <f t="shared" si="2157"/>
        <v>8.3656964338796116E-3</v>
      </c>
      <c r="H2276" s="18">
        <f t="shared" si="2157"/>
        <v>9.3606470188319305E-3</v>
      </c>
      <c r="I2276" s="18">
        <f t="shared" si="2157"/>
        <v>2.320259929122648E-3</v>
      </c>
      <c r="J2276" s="18">
        <f t="shared" si="2157"/>
        <v>0.17313363975111207</v>
      </c>
      <c r="K2276" s="18">
        <f t="shared" si="2157"/>
        <v>2.1852093877589227E-2</v>
      </c>
      <c r="L2276" s="18">
        <f t="shared" ref="L2276" si="2158">SUM(L2277:L2278)</f>
        <v>5.7207033420437397E-6</v>
      </c>
      <c r="N2276" s="1"/>
    </row>
    <row r="2277" spans="2:14" x14ac:dyDescent="0.35">
      <c r="B2277" s="5" t="str">
        <f t="shared" si="2148"/>
        <v>SPS1</v>
      </c>
      <c r="C2277" s="5" t="str">
        <f t="shared" si="2149"/>
        <v>CH</v>
      </c>
      <c r="D2277" t="s">
        <v>2411</v>
      </c>
      <c r="E2277" t="str">
        <f t="shared" si="2150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7.8921284084253508E-3</v>
      </c>
      <c r="H2277" s="1" cm="1">
        <f t="array" ref="H2277">SUMPRODUCT(([1]OUT_FinalEnergyCons!$B$4:$B$10000="var_ncap")*1,  (ISNUMBER(SEARCH("ITOT-SWHLFOBR",[1]OUT_FinalEnergyCons!$A$4:$A$10000)))*1,[1]OUT_FinalEnergyCons!F$4:F$10000)</f>
        <v>9.1047211546281797E-3</v>
      </c>
      <c r="I2277" s="1" cm="1">
        <f t="array" ref="I2277">SUMPRODUCT(([1]OUT_FinalEnergyCons!$B$4:$B$10000="var_ncap")*1,  (ISNUMBER(SEARCH("ITOT-SWHLFOBR",[1]OUT_FinalEnergyCons!$A$4:$A$10000)))*1,[1]OUT_FinalEnergyCons!G$4:G$10000)</f>
        <v>2.0393629661559199E-3</v>
      </c>
      <c r="J2277" s="1" cm="1">
        <f t="array" ref="J2277">SUMPRODUCT(([2]OUT_FinalEnergyCons!$B$4:$B$10000="var_ncap")*1,  (ISNUMBER(SEARCH("ITOT-SWHLFOBR",[2]OUT_FinalEnergyCons!$A$4:$A$10000)))*1,[2]OUT_FinalEnergyCons!H$4:H$10000)</f>
        <v>0.17293107052246501</v>
      </c>
      <c r="K2277" s="1" cm="1">
        <f t="array" ref="K2277">SUMPRODUCT(([2]OUT_FinalEnergyCons!$B$4:$B$10000="var_ncap")*1,  (ISNUMBER(SEARCH("ITOT-SWHLFOBR",[2]OUT_FinalEnergyCons!$A$4:$A$10000)))*1,[2]OUT_FinalEnergyCons!I$4:I$10000)</f>
        <v>2.1845164131052999E-2</v>
      </c>
      <c r="L2277" s="1" cm="1">
        <f t="array" ref="L2277">SUMPRODUCT(([2]OUT_FinalEnergyCons!$B$4:$B$10000="var_ncap")*1,  (ISNUMBER(SEARCH("ITOT-SWHLFOBR",[2]OUT_FinalEnergyCons!$A$4:$A$10000)))*1,[2]OUT_FinalEnergyCons!J$4:J$10000)</f>
        <v>3.9636363422488697E-6</v>
      </c>
      <c r="N2277" s="1"/>
    </row>
    <row r="2278" spans="2:14" x14ac:dyDescent="0.35">
      <c r="B2278" s="5" t="str">
        <f t="shared" si="2148"/>
        <v>SPS1</v>
      </c>
      <c r="C2278" s="5" t="str">
        <f t="shared" si="2149"/>
        <v>CH</v>
      </c>
      <c r="D2278" t="s">
        <v>2412</v>
      </c>
      <c r="E2278" t="str">
        <f t="shared" si="2150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1.33925594243944E-2</v>
      </c>
      <c r="G2278" s="1" cm="1">
        <f t="array" ref="G2278">SUMPRODUCT(([1]OUT_FinalEnergyCons!$B$4:$B$10000="var_ncap")*1,  (ISNUMBER(SEARCH("ITOT-SWHHFOBR",[1]OUT_FinalEnergyCons!$A$4:$A$10000)))*1,[1]OUT_FinalEnergyCons!E$4:E$10000)</f>
        <v>4.7356802545426001E-4</v>
      </c>
      <c r="H2278" s="1" cm="1">
        <f t="array" ref="H2278">SUMPRODUCT(([1]OUT_FinalEnergyCons!$B$4:$B$10000="var_ncap")*1,  (ISNUMBER(SEARCH("ITOT-SWHHFOBR",[1]OUT_FinalEnergyCons!$A$4:$A$10000)))*1,[1]OUT_FinalEnergyCons!F$4:F$10000)</f>
        <v>2.5592586420375001E-4</v>
      </c>
      <c r="I2278" s="1" cm="1">
        <f t="array" ref="I2278">SUMPRODUCT(([1]OUT_FinalEnergyCons!$B$4:$B$10000="var_ncap")*1,  (ISNUMBER(SEARCH("ITOT-SWHHFOBR",[1]OUT_FinalEnergyCons!$A$4:$A$10000)))*1,[1]OUT_FinalEnergyCons!G$4:G$10000)</f>
        <v>2.8089696296672799E-4</v>
      </c>
      <c r="J2278" s="1" cm="1">
        <f t="array" ref="J2278">SUMPRODUCT(([2]OUT_FinalEnergyCons!$B$4:$B$10000="var_ncap")*1,  (ISNUMBER(SEARCH("ITOT-SWHHFOBR",[2]OUT_FinalEnergyCons!$A$4:$A$10000)))*1,[2]OUT_FinalEnergyCons!H$4:H$10000)</f>
        <v>2.0256922864706999E-4</v>
      </c>
      <c r="K2278" s="1" cm="1">
        <f t="array" ref="K2278">SUMPRODUCT(([2]OUT_FinalEnergyCons!$B$4:$B$10000="var_ncap")*1,  (ISNUMBER(SEARCH("ITOT-SWHHFOBR",[2]OUT_FinalEnergyCons!$A$4:$A$10000)))*1,[2]OUT_FinalEnergyCons!I$4:I$10000)</f>
        <v>6.9297465362287998E-6</v>
      </c>
      <c r="L2278" s="1" cm="1">
        <f t="array" ref="L2278">SUMPRODUCT(([2]OUT_FinalEnergyCons!$B$4:$B$10000="var_ncap")*1,  (ISNUMBER(SEARCH("ITOT-SWHHFOBR",[2]OUT_FinalEnergyCons!$A$4:$A$10000)))*1,[2]OUT_FinalEnergyCons!J$4:J$10000)</f>
        <v>1.75706699979487E-6</v>
      </c>
      <c r="N2278" s="1"/>
    </row>
    <row r="2279" spans="2:14" x14ac:dyDescent="0.35">
      <c r="B2279" s="5" t="str">
        <f t="shared" si="2148"/>
        <v>SPS1</v>
      </c>
      <c r="C2279" s="5" t="str">
        <f t="shared" si="2149"/>
        <v>CH</v>
      </c>
      <c r="D2279" t="s">
        <v>2413</v>
      </c>
      <c r="E2279" t="str">
        <f t="shared" si="2150"/>
        <v>GWth/yr.</v>
      </c>
      <c r="F2279" s="18">
        <f t="shared" ref="F2279:K2279" si="2159">SUM(F2280:F2281)</f>
        <v>0</v>
      </c>
      <c r="G2279" s="18">
        <f t="shared" si="2159"/>
        <v>1.0201087212215619E-2</v>
      </c>
      <c r="H2279" s="18">
        <f t="shared" si="2159"/>
        <v>4.0995803823337942E-3</v>
      </c>
      <c r="I2279" s="18">
        <f t="shared" si="2159"/>
        <v>6.9742415511904053E-4</v>
      </c>
      <c r="J2279" s="18">
        <f t="shared" si="2159"/>
        <v>0.20520028708982255</v>
      </c>
      <c r="K2279" s="18">
        <f t="shared" si="2159"/>
        <v>7.9180194915307991E-2</v>
      </c>
      <c r="L2279" s="18">
        <f t="shared" ref="L2279" si="2160">SUM(L2280:L2281)</f>
        <v>8.9197227843687812E-6</v>
      </c>
      <c r="N2279" s="1"/>
    </row>
    <row r="2280" spans="2:14" x14ac:dyDescent="0.35">
      <c r="B2280" s="5" t="str">
        <f t="shared" si="2148"/>
        <v>SPS1</v>
      </c>
      <c r="C2280" s="5" t="str">
        <f t="shared" si="2149"/>
        <v>CH</v>
      </c>
      <c r="D2280" t="s">
        <v>2414</v>
      </c>
      <c r="E2280" t="str">
        <f t="shared" si="2150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3.9058649103080102E-3</v>
      </c>
      <c r="H2280" s="1" cm="1">
        <f t="array" ref="H2280">SUMPRODUCT(([1]OUT_FinalEnergyCons!$B$4:$B$10000="var_ncap")*1,  (ISNUMBER(SEARCH("ITOT-SWHNGA*BR",[1]OUT_FinalEnergyCons!$A$4:$A$10000)))*1,[1]OUT_FinalEnergyCons!F$4:F$10000)</f>
        <v>3.96512739436722E-3</v>
      </c>
      <c r="I2280" s="1" cm="1">
        <f t="array" ref="I2280">SUMPRODUCT(([1]OUT_FinalEnergyCons!$B$4:$B$10000="var_ncap")*1,  (ISNUMBER(SEARCH("ITOT-SWHNGA*BR",[1]OUT_FinalEnergyCons!$A$4:$A$10000)))*1,[1]OUT_FinalEnergyCons!G$4:G$10000)</f>
        <v>6.7825152563096198E-4</v>
      </c>
      <c r="J2280" s="1" cm="1">
        <f t="array" ref="J2280">SUMPRODUCT(([2]OUT_FinalEnergyCons!$B$4:$B$10000="var_ncap")*1,  (ISNUMBER(SEARCH("ITOT-SWHNGA*BR",[2]OUT_FinalEnergyCons!$A$4:$A$10000)))*1,[2]OUT_FinalEnergyCons!H$4:H$10000)</f>
        <v>0.20499236419191499</v>
      </c>
      <c r="K2280" s="1" cm="1">
        <f t="array" ref="K2280">SUMPRODUCT(([2]OUT_FinalEnergyCons!$B$4:$B$10000="var_ncap")*1,  (ISNUMBER(SEARCH("ITOT-SWHNGA*BR",[2]OUT_FinalEnergyCons!$A$4:$A$10000)))*1,[2]OUT_FinalEnergyCons!I$4:I$10000)</f>
        <v>7.9179196292118906E-2</v>
      </c>
      <c r="L2280" s="1" cm="1">
        <f t="array" ref="L2280">SUMPRODUCT(([2]OUT_FinalEnergyCons!$B$4:$B$10000="var_ncap")*1,  (ISNUMBER(SEARCH("ITOT-SWHNGA*BR",[2]OUT_FinalEnergyCons!$A$4:$A$10000)))*1,[2]OUT_FinalEnergyCons!J$4:J$10000)</f>
        <v>7.9176379977105707E-6</v>
      </c>
      <c r="N2280" s="1"/>
    </row>
    <row r="2281" spans="2:14" x14ac:dyDescent="0.35">
      <c r="B2281" s="5" t="str">
        <f t="shared" si="2148"/>
        <v>SPS1</v>
      </c>
      <c r="C2281" s="5" t="str">
        <f t="shared" si="2149"/>
        <v>CH</v>
      </c>
      <c r="D2281" t="s">
        <v>2415</v>
      </c>
      <c r="E2281" t="str">
        <f t="shared" si="2150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6.2952223019076096E-3</v>
      </c>
      <c r="H2281" s="1" cm="1">
        <f t="array" ref="H2281">SUMPRODUCT(([1]OUT_FinalEnergyCons!$B$4:$B$10000="var_ncap")*1,  (ISNUMBER(SEARCH("ITOT-SWHNGAHP",[1]OUT_FinalEnergyCons!$A$4:$A$10000)))*1,[1]OUT_FinalEnergyCons!F$4:F$10000)</f>
        <v>1.34452987966574E-4</v>
      </c>
      <c r="I2281" s="1" cm="1">
        <f t="array" ref="I2281">SUMPRODUCT(([1]OUT_FinalEnergyCons!$B$4:$B$10000="var_ncap")*1,  (ISNUMBER(SEARCH("ITOT-SWHNGAHP",[1]OUT_FinalEnergyCons!$A$4:$A$10000)))*1,[1]OUT_FinalEnergyCons!G$4:G$10000)</f>
        <v>1.91726294880785E-5</v>
      </c>
      <c r="J2281" s="1" cm="1">
        <f t="array" ref="J2281">SUMPRODUCT(([2]OUT_FinalEnergyCons!$B$4:$B$10000="var_ncap")*1,  (ISNUMBER(SEARCH("ITOT-SWHNGAHP",[2]OUT_FinalEnergyCons!$A$4:$A$10000)))*1,[2]OUT_FinalEnergyCons!H$4:H$10000)</f>
        <v>2.0792289790755699E-4</v>
      </c>
      <c r="K2281" s="1" cm="1">
        <f t="array" ref="K2281">SUMPRODUCT(([2]OUT_FinalEnergyCons!$B$4:$B$10000="var_ncap")*1,  (ISNUMBER(SEARCH("ITOT-SWHNGAHP",[2]OUT_FinalEnergyCons!$A$4:$A$10000)))*1,[2]OUT_FinalEnergyCons!I$4:I$10000)</f>
        <v>9.9862318908300394E-7</v>
      </c>
      <c r="L2281" s="1" cm="1">
        <f t="array" ref="L2281">SUMPRODUCT(([2]OUT_FinalEnergyCons!$B$4:$B$10000="var_ncap")*1,  (ISNUMBER(SEARCH("ITOT-SWHNGAHP",[2]OUT_FinalEnergyCons!$A$4:$A$10000)))*1,[2]OUT_FinalEnergyCons!J$4:J$10000)</f>
        <v>1.00208478665821E-6</v>
      </c>
      <c r="N2281" s="1"/>
    </row>
    <row r="2282" spans="2:14" x14ac:dyDescent="0.35">
      <c r="B2282" s="5" t="str">
        <f t="shared" si="2148"/>
        <v>SPS1</v>
      </c>
      <c r="C2282" s="5" t="str">
        <f t="shared" si="2149"/>
        <v>CH</v>
      </c>
      <c r="D2282" t="s">
        <v>2416</v>
      </c>
      <c r="E2282" t="str">
        <f t="shared" si="2150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1.6098035857658E-2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7.1009789241017807E-2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3.3983535961932702E-2</v>
      </c>
      <c r="J2282" s="1" cm="1">
        <f t="array" ref="J2282">SUMPRODUCT(([2]OUT_FinalEnergyCons!$B$4:$B$10000="var_ncap")*1,  (("ITOT-SWHBIOBR"=[2]OUT_FinalEnergyCons!$A$4:$A$10000)*1+("ITOT-SWHBNGABR"=[2]OUT_FinalEnergyCons!$A$4:$A$10000))*1,[2]OUT_FinalEnergyCons!H$4:H$10000)</f>
        <v>7.9517214473475595E-2</v>
      </c>
      <c r="K2282" s="1" cm="1">
        <f t="array" ref="K2282">SUMPRODUCT(([2]OUT_FinalEnergyCons!$B$4:$B$10000="var_ncap")*1,  (("ITOT-SWHBIOBR"=[2]OUT_FinalEnergyCons!$A$4:$A$10000)*1+("ITOT-SWHBNGABR"=[2]OUT_FinalEnergyCons!$A$4:$A$10000))*1,[2]OUT_FinalEnergyCons!I$4:I$10000)</f>
        <v>9.01655494859296E-2</v>
      </c>
      <c r="L2282" s="1" cm="1">
        <f t="array" ref="L2282">SUMPRODUCT(([2]OUT_FinalEnergyCons!$B$4:$B$10000="var_ncap")*1,  (("ITOT-SWHBIOBR"=[2]OUT_FinalEnergyCons!$A$4:$A$10000)*1+("ITOT-SWHBNGABR"=[2]OUT_FinalEnergyCons!$A$4:$A$10000))*1,[2]OUT_FinalEnergyCons!J$4:J$10000)</f>
        <v>0.12243790888634</v>
      </c>
      <c r="N2282" s="1"/>
    </row>
    <row r="2283" spans="2:14" x14ac:dyDescent="0.35">
      <c r="B2283" s="5" t="str">
        <f t="shared" si="2148"/>
        <v>SPS1</v>
      </c>
      <c r="C2283" s="5" t="str">
        <f t="shared" si="2149"/>
        <v>CH</v>
      </c>
      <c r="D2283" t="s">
        <v>2417</v>
      </c>
      <c r="E2283" t="str">
        <f t="shared" si="2150"/>
        <v>GWth/yr.</v>
      </c>
      <c r="F2283" s="1">
        <f t="shared" ref="F2283:L2283" si="2161">F2284</f>
        <v>0</v>
      </c>
      <c r="G2283" s="1">
        <f t="shared" si="2161"/>
        <v>1.34953670203996E-4</v>
      </c>
      <c r="H2283" s="1">
        <f t="shared" si="2161"/>
        <v>1.54695638079946E-4</v>
      </c>
      <c r="I2283" s="1">
        <f t="shared" si="2161"/>
        <v>1.7682412791727E-4</v>
      </c>
      <c r="J2283" s="1">
        <f t="shared" si="2161"/>
        <v>1.32982834876627E-4</v>
      </c>
      <c r="K2283" s="1">
        <f t="shared" si="2161"/>
        <v>2.7753857051876498E-6</v>
      </c>
      <c r="L2283" s="1">
        <f t="shared" si="2161"/>
        <v>5.4313524076060305E-7</v>
      </c>
      <c r="N2283" s="1"/>
    </row>
    <row r="2284" spans="2:14" x14ac:dyDescent="0.35">
      <c r="B2284" s="5" t="str">
        <f t="shared" si="2148"/>
        <v>SPS1</v>
      </c>
      <c r="C2284" s="5" t="str">
        <f t="shared" si="2149"/>
        <v>CH</v>
      </c>
      <c r="D2284" t="s">
        <v>2418</v>
      </c>
      <c r="E2284" t="str">
        <f t="shared" si="2150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1.34953670203996E-4</v>
      </c>
      <c r="H2284" s="1" cm="1">
        <f t="array" ref="H2284">SUMPRODUCT(([1]OUT_FinalEnergyCons!$B$4:$B$10000="var_ncap")*1,  (ISNUMBER(SEARCH("ITOT-SWHCOA*BR",[1]OUT_FinalEnergyCons!$A$4:$A$10000)))*1,[1]OUT_FinalEnergyCons!F$4:F$10000)</f>
        <v>1.54695638079946E-4</v>
      </c>
      <c r="I2284" s="1" cm="1">
        <f t="array" ref="I2284">SUMPRODUCT(([1]OUT_FinalEnergyCons!$B$4:$B$10000="var_ncap")*1,  (ISNUMBER(SEARCH("ITOT-SWHCOA*BR",[1]OUT_FinalEnergyCons!$A$4:$A$10000)))*1,[1]OUT_FinalEnergyCons!G$4:G$10000)</f>
        <v>1.7682412791727E-4</v>
      </c>
      <c r="J2284" s="1" cm="1">
        <f t="array" ref="J2284">SUMPRODUCT(([2]OUT_FinalEnergyCons!$B$4:$B$10000="var_ncap")*1,  (ISNUMBER(SEARCH("ITOT-SWHCOA*BR",[2]OUT_FinalEnergyCons!$A$4:$A$10000)))*1,[2]OUT_FinalEnergyCons!H$4:H$10000)</f>
        <v>1.32982834876627E-4</v>
      </c>
      <c r="K2284" s="1" cm="1">
        <f t="array" ref="K2284">SUMPRODUCT(([2]OUT_FinalEnergyCons!$B$4:$B$10000="var_ncap")*1,  (ISNUMBER(SEARCH("ITOT-SWHCOA*BR",[2]OUT_FinalEnergyCons!$A$4:$A$10000)))*1,[2]OUT_FinalEnergyCons!I$4:I$10000)</f>
        <v>2.7753857051876498E-6</v>
      </c>
      <c r="L2284" s="1" cm="1">
        <f t="array" ref="L2284">SUMPRODUCT(([2]OUT_FinalEnergyCons!$B$4:$B$10000="var_ncap")*1,  (ISNUMBER(SEARCH("ITOT-SWHCOA*BR",[2]OUT_FinalEnergyCons!$A$4:$A$10000)))*1,[2]OUT_FinalEnergyCons!J$4:J$10000)</f>
        <v>5.4313524076060305E-7</v>
      </c>
      <c r="N2284" s="1"/>
    </row>
    <row r="2285" spans="2:14" x14ac:dyDescent="0.35">
      <c r="B2285" s="5" t="str">
        <f t="shared" si="2148"/>
        <v>SPS1</v>
      </c>
      <c r="C2285" s="5" t="str">
        <f t="shared" si="2149"/>
        <v>CH</v>
      </c>
      <c r="D2285" t="s">
        <v>2419</v>
      </c>
      <c r="E2285" t="str">
        <f t="shared" si="2150"/>
        <v>GWth/yr.</v>
      </c>
      <c r="F2285" s="1">
        <f t="shared" ref="F2285:L2285" si="2162">F2286</f>
        <v>0</v>
      </c>
      <c r="G2285" s="1">
        <f t="shared" si="2162"/>
        <v>6.3610202414609796E-2</v>
      </c>
      <c r="H2285" s="1">
        <f t="shared" si="2162"/>
        <v>8.6345801411765594E-3</v>
      </c>
      <c r="I2285" s="1">
        <f t="shared" si="2162"/>
        <v>3.6145781269546699E-2</v>
      </c>
      <c r="J2285" s="1">
        <f t="shared" si="2162"/>
        <v>0.32357211250261902</v>
      </c>
      <c r="K2285" s="1">
        <f t="shared" si="2162"/>
        <v>0.15935915071656501</v>
      </c>
      <c r="L2285" s="1">
        <f t="shared" si="2162"/>
        <v>0.31612746778488399</v>
      </c>
      <c r="N2285" s="1"/>
    </row>
    <row r="2286" spans="2:14" x14ac:dyDescent="0.35">
      <c r="B2286" s="5" t="str">
        <f t="shared" si="2148"/>
        <v>SPS1</v>
      </c>
      <c r="C2286" s="5" t="str">
        <f t="shared" si="2149"/>
        <v>CH</v>
      </c>
      <c r="D2286" t="s">
        <v>2420</v>
      </c>
      <c r="E2286" t="str">
        <f t="shared" si="2150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6.3610202414609796E-2</v>
      </c>
      <c r="H2286" s="1" cm="1">
        <f t="array" ref="H2286">SUMPRODUCT(([1]OUT_FinalEnergyCons!$B$4:$B$10000="var_ncap")*1,  (ISNUMBER(SEARCH("ITOT-SWHWOD*BR",[1]OUT_FinalEnergyCons!$A$4:$A$10000)))*1,[1]OUT_FinalEnergyCons!F$4:F$10000)</f>
        <v>8.6345801411765594E-3</v>
      </c>
      <c r="I2286" s="1" cm="1">
        <f t="array" ref="I2286">SUMPRODUCT(([1]OUT_FinalEnergyCons!$B$4:$B$10000="var_ncap")*1,  (ISNUMBER(SEARCH("ITOT-SWHWOD*BR",[1]OUT_FinalEnergyCons!$A$4:$A$10000)))*1,[1]OUT_FinalEnergyCons!G$4:G$10000)</f>
        <v>3.6145781269546699E-2</v>
      </c>
      <c r="J2286" s="1" cm="1">
        <f t="array" ref="J2286">SUMPRODUCT(([2]OUT_FinalEnergyCons!$B$4:$B$10000="var_ncap")*1,  (ISNUMBER(SEARCH("ITOT-SWHWOD*BR",[2]OUT_FinalEnergyCons!$A$4:$A$10000)))*1,[2]OUT_FinalEnergyCons!H$4:H$10000)</f>
        <v>0.32357211250261902</v>
      </c>
      <c r="K2286" s="1" cm="1">
        <f t="array" ref="K2286">SUMPRODUCT(([2]OUT_FinalEnergyCons!$B$4:$B$10000="var_ncap")*1,  (ISNUMBER(SEARCH("ITOT-SWHWOD*BR",[2]OUT_FinalEnergyCons!$A$4:$A$10000)))*1,[2]OUT_FinalEnergyCons!I$4:I$10000)</f>
        <v>0.15935915071656501</v>
      </c>
      <c r="L2286" s="1" cm="1">
        <f t="array" ref="L2286">SUMPRODUCT(([2]OUT_FinalEnergyCons!$B$4:$B$10000="var_ncap")*1,  (ISNUMBER(SEARCH("ITOT-SWHWOD*BR",[2]OUT_FinalEnergyCons!$A$4:$A$10000)))*1,[2]OUT_FinalEnergyCons!J$4:J$10000)</f>
        <v>0.31612746778488399</v>
      </c>
      <c r="N2286" s="1"/>
    </row>
    <row r="2287" spans="2:14" x14ac:dyDescent="0.35">
      <c r="B2287" s="5" t="str">
        <f t="shared" si="2148"/>
        <v>SPS1</v>
      </c>
      <c r="C2287" s="5" t="str">
        <f t="shared" si="2149"/>
        <v>CH</v>
      </c>
      <c r="D2287" t="s">
        <v>2421</v>
      </c>
      <c r="E2287" t="str">
        <f t="shared" si="2150"/>
        <v>GWth/yr.</v>
      </c>
      <c r="F2287" s="1">
        <f t="shared" ref="F2287:L2287" si="2163">F2288</f>
        <v>0</v>
      </c>
      <c r="G2287" s="1">
        <f t="shared" si="2163"/>
        <v>1.05363524761904E-2</v>
      </c>
      <c r="H2287" s="1">
        <f t="shared" si="2163"/>
        <v>2.50728135014529E-3</v>
      </c>
      <c r="I2287" s="1">
        <f t="shared" si="2163"/>
        <v>1.87249107764758E-3</v>
      </c>
      <c r="J2287" s="1">
        <f t="shared" si="2163"/>
        <v>2.8827117758401299E-2</v>
      </c>
      <c r="K2287" s="1">
        <f t="shared" si="2163"/>
        <v>1.4031899447844999E-2</v>
      </c>
      <c r="L2287" s="1">
        <f t="shared" si="2163"/>
        <v>1.9675892829236201E-2</v>
      </c>
      <c r="N2287" s="1"/>
    </row>
    <row r="2288" spans="2:14" x14ac:dyDescent="0.35">
      <c r="B2288" s="5" t="str">
        <f t="shared" si="2148"/>
        <v>SPS1</v>
      </c>
      <c r="C2288" s="5" t="str">
        <f t="shared" si="2149"/>
        <v>CH</v>
      </c>
      <c r="D2288" t="s">
        <v>2422</v>
      </c>
      <c r="E2288" t="str">
        <f t="shared" si="2150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1.05363524761904E-2</v>
      </c>
      <c r="H2288" s="1" cm="1">
        <f t="array" ref="H2288">SUMPRODUCT(([1]OUT_FinalEnergyCons!$B$4:$B$10000="var_ncap")*1,  (ISNUMBER(SEARCH("ITOT-SWHPLT*BR",[1]OUT_FinalEnergyCons!$A$4:$A$10000)))*1,[1]OUT_FinalEnergyCons!F$4:F$10000)</f>
        <v>2.50728135014529E-3</v>
      </c>
      <c r="I2288" s="1" cm="1">
        <f t="array" ref="I2288">SUMPRODUCT(([1]OUT_FinalEnergyCons!$B$4:$B$10000="var_ncap")*1,  (ISNUMBER(SEARCH("ITOT-SWHPLT*BR",[1]OUT_FinalEnergyCons!$A$4:$A$10000)))*1,[1]OUT_FinalEnergyCons!G$4:G$10000)</f>
        <v>1.87249107764758E-3</v>
      </c>
      <c r="J2288" s="1" cm="1">
        <f t="array" ref="J2288">SUMPRODUCT(([2]OUT_FinalEnergyCons!$B$4:$B$10000="var_ncap")*1,  (ISNUMBER(SEARCH("ITOT-SWHPLT*BR",[2]OUT_FinalEnergyCons!$A$4:$A$10000)))*1,[2]OUT_FinalEnergyCons!H$4:H$10000)</f>
        <v>2.8827117758401299E-2</v>
      </c>
      <c r="K2288" s="1" cm="1">
        <f t="array" ref="K2288">SUMPRODUCT(([2]OUT_FinalEnergyCons!$B$4:$B$10000="var_ncap")*1,  (ISNUMBER(SEARCH("ITOT-SWHPLT*BR",[2]OUT_FinalEnergyCons!$A$4:$A$10000)))*1,[2]OUT_FinalEnergyCons!I$4:I$10000)</f>
        <v>1.4031899447844999E-2</v>
      </c>
      <c r="L2288" s="1" cm="1">
        <f t="array" ref="L2288">SUMPRODUCT(([2]OUT_FinalEnergyCons!$B$4:$B$10000="var_ncap")*1,  (ISNUMBER(SEARCH("ITOT-SWHPLT*BR",[2]OUT_FinalEnergyCons!$A$4:$A$10000)))*1,[2]OUT_FinalEnergyCons!J$4:J$10000)</f>
        <v>1.9675892829236201E-2</v>
      </c>
      <c r="N2288" s="1"/>
    </row>
    <row r="2289" spans="2:14" x14ac:dyDescent="0.35">
      <c r="B2289" s="5" t="str">
        <f t="shared" si="2148"/>
        <v>SPS1</v>
      </c>
      <c r="C2289" s="5" t="str">
        <f t="shared" si="2149"/>
        <v>CH</v>
      </c>
      <c r="D2289" t="s">
        <v>2423</v>
      </c>
      <c r="E2289" t="str">
        <f t="shared" si="2150"/>
        <v>GWth/yr.</v>
      </c>
      <c r="F2289" s="1">
        <f t="shared" ref="F2289:L2289" si="2164">F2290</f>
        <v>0</v>
      </c>
      <c r="G2289" s="1">
        <f t="shared" si="2164"/>
        <v>2.9534702156191198E-4</v>
      </c>
      <c r="H2289" s="1">
        <f t="shared" si="2164"/>
        <v>3.3034897794502402E-3</v>
      </c>
      <c r="I2289" s="1">
        <f t="shared" si="2164"/>
        <v>1.1035311799147401E-3</v>
      </c>
      <c r="J2289" s="1">
        <f t="shared" si="2164"/>
        <v>0.24121025076257799</v>
      </c>
      <c r="K2289" s="1">
        <f t="shared" si="2164"/>
        <v>0.14510602054935301</v>
      </c>
      <c r="L2289" s="1">
        <f t="shared" si="2164"/>
        <v>1.9757525795340101E-2</v>
      </c>
      <c r="N2289" s="1"/>
    </row>
    <row r="2290" spans="2:14" x14ac:dyDescent="0.35">
      <c r="B2290" s="5" t="str">
        <f t="shared" si="2148"/>
        <v>SPS1</v>
      </c>
      <c r="C2290" s="5" t="str">
        <f t="shared" si="2149"/>
        <v>CH</v>
      </c>
      <c r="D2290" t="s">
        <v>2424</v>
      </c>
      <c r="E2290" t="str">
        <f t="shared" si="2150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2.9534702156191198E-4</v>
      </c>
      <c r="H2290" s="1" cm="1">
        <f t="array" ref="H2290">SUMPRODUCT(([1]OUT_FinalEnergyCons!$B$4:$B$10000="var_ncap")*1,  (ISNUMBER(SEARCH("ITOT-SWHWST*BR",[1]OUT_FinalEnergyCons!$A$4:$A$10000)))*1,[1]OUT_FinalEnergyCons!F$4:F$10000)</f>
        <v>3.3034897794502402E-3</v>
      </c>
      <c r="I2290" s="1" cm="1">
        <f t="array" ref="I2290">SUMPRODUCT(([1]OUT_FinalEnergyCons!$B$4:$B$10000="var_ncap")*1,  (ISNUMBER(SEARCH("ITOT-SWHWST*BR",[1]OUT_FinalEnergyCons!$A$4:$A$10000)))*1,[1]OUT_FinalEnergyCons!G$4:G$10000)</f>
        <v>1.1035311799147401E-3</v>
      </c>
      <c r="J2290" s="1" cm="1">
        <f t="array" ref="J2290">SUMPRODUCT(([2]OUT_FinalEnergyCons!$B$4:$B$10000="var_ncap")*1,  (ISNUMBER(SEARCH("ITOT-SWHWST*BR",[2]OUT_FinalEnergyCons!$A$4:$A$10000)))*1,[2]OUT_FinalEnergyCons!H$4:H$10000)</f>
        <v>0.24121025076257799</v>
      </c>
      <c r="K2290" s="1" cm="1">
        <f t="array" ref="K2290">SUMPRODUCT(([2]OUT_FinalEnergyCons!$B$4:$B$10000="var_ncap")*1,  (ISNUMBER(SEARCH("ITOT-SWHWST*BR",[2]OUT_FinalEnergyCons!$A$4:$A$10000)))*1,[2]OUT_FinalEnergyCons!I$4:I$10000)</f>
        <v>0.14510602054935301</v>
      </c>
      <c r="L2290" s="1" cm="1">
        <f t="array" ref="L2290">SUMPRODUCT(([2]OUT_FinalEnergyCons!$B$4:$B$10000="var_ncap")*1,  (ISNUMBER(SEARCH("ITOT-SWHWST*BR",[2]OUT_FinalEnergyCons!$A$4:$A$10000)))*1,[2]OUT_FinalEnergyCons!J$4:J$10000)</f>
        <v>1.9757525795340101E-2</v>
      </c>
      <c r="N2290" s="1"/>
    </row>
    <row r="2291" spans="2:14" x14ac:dyDescent="0.35">
      <c r="B2291" s="5" t="str">
        <f t="shared" si="2148"/>
        <v>SPS1</v>
      </c>
      <c r="C2291" s="5" t="str">
        <f t="shared" si="2149"/>
        <v>CH</v>
      </c>
      <c r="D2291" t="s">
        <v>2425</v>
      </c>
      <c r="E2291" t="str">
        <f t="shared" si="2150"/>
        <v>GWth/yr.</v>
      </c>
      <c r="F2291" s="1">
        <f t="shared" ref="F2291:L2291" si="2165">F2292</f>
        <v>0</v>
      </c>
      <c r="G2291" s="1">
        <f t="shared" si="2165"/>
        <v>0.34313327500594498</v>
      </c>
      <c r="H2291" s="1">
        <f t="shared" si="2165"/>
        <v>8.8488025322031299E-7</v>
      </c>
      <c r="I2291" s="1">
        <f t="shared" si="2165"/>
        <v>1.0531388969334801E-6</v>
      </c>
      <c r="J2291" s="1">
        <f t="shared" si="2165"/>
        <v>2.05586942832875E-2</v>
      </c>
      <c r="K2291" s="1">
        <f t="shared" si="2165"/>
        <v>1.6503990476463001E-2</v>
      </c>
      <c r="L2291" s="1">
        <f t="shared" si="2165"/>
        <v>1.63957153690007E-2</v>
      </c>
      <c r="N2291" s="1"/>
    </row>
    <row r="2292" spans="2:14" x14ac:dyDescent="0.35">
      <c r="B2292" s="5" t="str">
        <f t="shared" si="2148"/>
        <v>SPS1</v>
      </c>
      <c r="C2292" s="5" t="str">
        <f t="shared" si="2149"/>
        <v>CH</v>
      </c>
      <c r="D2292" t="s">
        <v>2426</v>
      </c>
      <c r="E2292" t="str">
        <f t="shared" si="2150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0.34313327500594498</v>
      </c>
      <c r="H2292" s="1" cm="1">
        <f t="array" ref="H2292">SUMPRODUCT(([1]OUT_FinalEnergyCons!$B$4:$B$10000="var_ncap")*1, (ISNUMBER(SEARCH("ITOT-SWHSOLBR",[1]OUT_FinalEnergyCons!$A$4:$A$10000)))*1,[1]OUT_FinalEnergyCons!F$4:F$10000)</f>
        <v>8.8488025322031299E-7</v>
      </c>
      <c r="I2292" s="1" cm="1">
        <f t="array" ref="I2292">SUMPRODUCT(([1]OUT_FinalEnergyCons!$B$4:$B$10000="var_ncap")*1, (ISNUMBER(SEARCH("ITOT-SWHSOLBR",[1]OUT_FinalEnergyCons!$A$4:$A$10000)))*1,[1]OUT_FinalEnergyCons!G$4:G$10000)</f>
        <v>1.0531388969334801E-6</v>
      </c>
      <c r="J2292" s="1" cm="1">
        <f t="array" ref="J2292">SUMPRODUCT(([2]OUT_FinalEnergyCons!$B$4:$B$10000="var_ncap")*1, (ISNUMBER(SEARCH("ITOT-SWHSOLBR",[2]OUT_FinalEnergyCons!$A$4:$A$10000)))*1,[2]OUT_FinalEnergyCons!H$4:H$10000)</f>
        <v>2.05586942832875E-2</v>
      </c>
      <c r="K2292" s="1" cm="1">
        <f t="array" ref="K2292">SUMPRODUCT(([2]OUT_FinalEnergyCons!$B$4:$B$10000="var_ncap")*1, (ISNUMBER(SEARCH("ITOT-SWHSOLBR",[2]OUT_FinalEnergyCons!$A$4:$A$10000)))*1,[2]OUT_FinalEnergyCons!I$4:I$10000)</f>
        <v>1.6503990476463001E-2</v>
      </c>
      <c r="L2292" s="1" cm="1">
        <f t="array" ref="L2292">SUMPRODUCT(([2]OUT_FinalEnergyCons!$B$4:$B$10000="var_ncap")*1, (ISNUMBER(SEARCH("ITOT-SWHSOLBR",[2]OUT_FinalEnergyCons!$A$4:$A$10000)))*1,[2]OUT_FinalEnergyCons!J$4:J$10000)</f>
        <v>1.63957153690007E-2</v>
      </c>
      <c r="N2292" s="1"/>
    </row>
    <row r="2293" spans="2:14" x14ac:dyDescent="0.35">
      <c r="B2293" s="5" t="str">
        <f t="shared" si="2148"/>
        <v>SPS1</v>
      </c>
      <c r="C2293" s="5" t="str">
        <f t="shared" si="2149"/>
        <v>CH</v>
      </c>
      <c r="D2293" t="s">
        <v>2427</v>
      </c>
      <c r="E2293" t="str">
        <f t="shared" si="2150"/>
        <v>GWth/yr.</v>
      </c>
      <c r="F2293" s="1">
        <f t="shared" ref="F2293:L2293" si="2166">F2294</f>
        <v>0</v>
      </c>
      <c r="G2293" s="1">
        <f t="shared" si="2166"/>
        <v>0</v>
      </c>
      <c r="H2293" s="1">
        <f t="shared" si="2166"/>
        <v>0</v>
      </c>
      <c r="I2293" s="1">
        <f t="shared" si="2166"/>
        <v>0</v>
      </c>
      <c r="J2293" s="1">
        <f t="shared" si="2166"/>
        <v>0.64119208525891502</v>
      </c>
      <c r="K2293" s="1">
        <f t="shared" si="2166"/>
        <v>0.178726854388784</v>
      </c>
      <c r="L2293" s="1">
        <f t="shared" si="2166"/>
        <v>0.35421489677915102</v>
      </c>
      <c r="N2293" s="1"/>
    </row>
    <row r="2294" spans="2:14" x14ac:dyDescent="0.35">
      <c r="B2294" s="5" t="str">
        <f t="shared" si="2148"/>
        <v>SPS1</v>
      </c>
      <c r="C2294" s="5" t="str">
        <f t="shared" si="2149"/>
        <v>CH</v>
      </c>
      <c r="D2294" t="s">
        <v>2428</v>
      </c>
      <c r="E2294" t="str">
        <f t="shared" si="2150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0</v>
      </c>
      <c r="J2294" s="1" cm="1">
        <f t="array" ref="J2294">SUMPRODUCT(([2]OUT_FinalEnergyCons!$B$4:$B$10000="var_ncap")*1, (ISNUMBER(SEARCH("ITOT-SWHH2BR",[2]OUT_FinalEnergyCons!$A$4:$A$10000)))*1,[2]OUT_FinalEnergyCons!H$4:H$10000)</f>
        <v>0.64119208525891502</v>
      </c>
      <c r="K2294" s="1" cm="1">
        <f t="array" ref="K2294">SUMPRODUCT(([2]OUT_FinalEnergyCons!$B$4:$B$10000="var_ncap")*1, (ISNUMBER(SEARCH("ITOT-SWHH2BR",[2]OUT_FinalEnergyCons!$A$4:$A$10000)))*1,[2]OUT_FinalEnergyCons!I$4:I$10000)</f>
        <v>0.178726854388784</v>
      </c>
      <c r="L2294" s="1" cm="1">
        <f t="array" ref="L2294">SUMPRODUCT(([2]OUT_FinalEnergyCons!$B$4:$B$10000="var_ncap")*1, (ISNUMBER(SEARCH("ITOT-SWHH2BR",[2]OUT_FinalEnergyCons!$A$4:$A$10000)))*1,[2]OUT_FinalEnergyCons!J$4:J$10000)</f>
        <v>0.35421489677915102</v>
      </c>
      <c r="N2294" s="1"/>
    </row>
    <row r="2295" spans="2:14" x14ac:dyDescent="0.35">
      <c r="B2295" s="9" t="str">
        <f>SPS2_NUC_Low!B1813</f>
        <v>SPS1</v>
      </c>
      <c r="C2295" s="9" t="str">
        <f>SPS2_NUC_Low!C1813</f>
        <v>CH</v>
      </c>
      <c r="D2295" s="2" t="s">
        <v>2429</v>
      </c>
      <c r="E2295" s="9" t="str">
        <f t="shared" si="2150"/>
        <v>GWth/yr.</v>
      </c>
      <c r="F2295" s="17">
        <f t="shared" ref="F2295:K2295" si="2167">SUM(F2296,F2299,F2301,F2305,F2307,F2309,F2311)</f>
        <v>4.8980211999556471E-4</v>
      </c>
      <c r="G2295" s="17">
        <f t="shared" si="2167"/>
        <v>3.7260120304049134E-2</v>
      </c>
      <c r="H2295" s="17">
        <f t="shared" si="2167"/>
        <v>0.23205991024202649</v>
      </c>
      <c r="I2295" s="17">
        <f t="shared" si="2167"/>
        <v>0.52992845017190382</v>
      </c>
      <c r="J2295" s="17">
        <f t="shared" si="2167"/>
        <v>2.3057876896808107</v>
      </c>
      <c r="K2295" s="17">
        <f t="shared" si="2167"/>
        <v>1.859660914183221</v>
      </c>
      <c r="L2295" s="17">
        <f t="shared" ref="L2295" si="2168">SUM(L2296,L2299,L2301,L2305,L2307,L2309,L2311)</f>
        <v>1.9466710418359006</v>
      </c>
      <c r="N2295" s="1"/>
    </row>
    <row r="2296" spans="2:14" x14ac:dyDescent="0.35">
      <c r="B2296" s="5" t="str">
        <f t="shared" ref="B2296:B2312" si="2169">B2295</f>
        <v>SPS1</v>
      </c>
      <c r="C2296" s="5" t="str">
        <f t="shared" ref="C2296:C2312" si="2170">C2295</f>
        <v>CH</v>
      </c>
      <c r="D2296" t="s">
        <v>2430</v>
      </c>
      <c r="E2296" t="str">
        <f t="shared" si="2150"/>
        <v>GWth/yr.</v>
      </c>
      <c r="F2296" s="1">
        <f t="shared" ref="F2296:K2296" si="2171">SUM(F2297:F2298)</f>
        <v>1.0347839723323307E-4</v>
      </c>
      <c r="G2296" s="1">
        <f t="shared" si="2171"/>
        <v>4.0149637190773802E-5</v>
      </c>
      <c r="H2296" s="1">
        <f t="shared" si="2171"/>
        <v>7.4870150508725796E-5</v>
      </c>
      <c r="I2296" s="1">
        <f t="shared" si="2171"/>
        <v>0.20199201278873816</v>
      </c>
      <c r="J2296" s="1">
        <f t="shared" si="2171"/>
        <v>0.59477336525197644</v>
      </c>
      <c r="K2296" s="1">
        <f t="shared" si="2171"/>
        <v>0.51746023014479037</v>
      </c>
      <c r="L2296" s="1">
        <f t="shared" ref="L2296" si="2172">SUM(L2297:L2298)</f>
        <v>0.82465800907594977</v>
      </c>
      <c r="N2296" s="1"/>
    </row>
    <row r="2297" spans="2:14" x14ac:dyDescent="0.35">
      <c r="B2297" s="5" t="str">
        <f t="shared" si="2169"/>
        <v>SPS1</v>
      </c>
      <c r="C2297" s="5" t="str">
        <f t="shared" si="2170"/>
        <v>CH</v>
      </c>
      <c r="D2297" t="s">
        <v>2431</v>
      </c>
      <c r="E2297" t="str">
        <f t="shared" si="2150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9.6829738756829003E-5</v>
      </c>
      <c r="G2297" s="1" cm="1">
        <f t="array" ref="G2297">SUMPRODUCT(([1]OUT_FinalEnergyCons!$B$4:$B$10000="var_ncap")*1, (ISNUMBER(SEARCH("SCOM-SHELCBR",[1]OUT_FinalEnergyCons!$A$4:$A$10000)))*1,[1]OUT_FinalEnergyCons!E$4:E$10000)</f>
        <v>2.5009649616002901E-5</v>
      </c>
      <c r="H2297" s="1" cm="1">
        <f t="array" ref="H2297">SUMPRODUCT(([1]OUT_FinalEnergyCons!$B$4:$B$10000="var_ncap")*1, (ISNUMBER(SEARCH("SCOM-SHELCBR",[1]OUT_FinalEnergyCons!$A$4:$A$10000)))*1,[1]OUT_FinalEnergyCons!F$4:F$10000)</f>
        <v>2.6864813303570699E-5</v>
      </c>
      <c r="I2297" s="1" cm="1">
        <f t="array" ref="I2297">SUMPRODUCT(([1]OUT_FinalEnergyCons!$B$4:$B$10000="var_ncap")*1, (ISNUMBER(SEARCH("SCOM-SHELCBR",[1]OUT_FinalEnergyCons!$A$4:$A$10000)))*1,[1]OUT_FinalEnergyCons!G$4:G$10000)</f>
        <v>3.9002855856142701E-5</v>
      </c>
      <c r="J2297" s="1" cm="1">
        <f t="array" ref="J2297">SUMPRODUCT(([2]OUT_FinalEnergyCons!$B$4:$B$10000="var_ncap")*1, (ISNUMBER(SEARCH("SCOM-SHELCBR",[2]OUT_FinalEnergyCons!$A$4:$A$10000)))*1,[2]OUT_FinalEnergyCons!H$4:H$10000)</f>
        <v>1.23489533070185E-2</v>
      </c>
      <c r="K2297" s="1" cm="1">
        <f t="array" ref="K2297">SUMPRODUCT(([2]OUT_FinalEnergyCons!$B$4:$B$10000="var_ncap")*1, (ISNUMBER(SEARCH("SCOM-SHELCBR",[2]OUT_FinalEnergyCons!$A$4:$A$10000)))*1,[2]OUT_FinalEnergyCons!I$4:I$10000)</f>
        <v>1.03992571485174E-2</v>
      </c>
      <c r="L2297" s="1" cm="1">
        <f t="array" ref="L2297">SUMPRODUCT(([2]OUT_FinalEnergyCons!$B$4:$B$10000="var_ncap")*1, (ISNUMBER(SEARCH("SCOM-SHELCBR",[2]OUT_FinalEnergyCons!$A$4:$A$10000)))*1,[2]OUT_FinalEnergyCons!J$4:J$10000)</f>
        <v>3.68361992677981E-3</v>
      </c>
      <c r="N2297" s="1"/>
    </row>
    <row r="2298" spans="2:14" x14ac:dyDescent="0.35">
      <c r="B2298" s="5" t="str">
        <f t="shared" si="2169"/>
        <v>SPS1</v>
      </c>
      <c r="C2298" s="5" t="str">
        <f t="shared" si="2170"/>
        <v>CH</v>
      </c>
      <c r="D2298" t="s">
        <v>2432</v>
      </c>
      <c r="E2298" t="str">
        <f t="shared" si="2150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6.6486584764040704E-6</v>
      </c>
      <c r="G2298" s="1" cm="1">
        <f t="array" ref="G2298">SUMPRODUCT(([1]OUT_FinalEnergyCons!$B$4:$B$10000="var_ncap")*1, (ISNUMBER(SEARCH("SCOM-SHELCHP",[1]OUT_FinalEnergyCons!$A$4:$A$10000)))*1,[1]OUT_FinalEnergyCons!E$4:E$10000)</f>
        <v>1.51399875747709E-5</v>
      </c>
      <c r="H2298" s="1" cm="1">
        <f t="array" ref="H2298">SUMPRODUCT(([1]OUT_FinalEnergyCons!$B$4:$B$10000="var_ncap")*1, (ISNUMBER(SEARCH("SCOM-SHELCHP",[1]OUT_FinalEnergyCons!$A$4:$A$10000)))*1,[1]OUT_FinalEnergyCons!F$4:F$10000)</f>
        <v>4.8005337205155101E-5</v>
      </c>
      <c r="I2298" s="1" cm="1">
        <f t="array" ref="I2298">SUMPRODUCT(([1]OUT_FinalEnergyCons!$B$4:$B$10000="var_ncap")*1, (ISNUMBER(SEARCH("SCOM-SHELCHP",[1]OUT_FinalEnergyCons!$A$4:$A$10000)))*1,[1]OUT_FinalEnergyCons!G$4:G$10000)</f>
        <v>0.20195300993288201</v>
      </c>
      <c r="J2298" s="1" cm="1">
        <f t="array" ref="J2298">SUMPRODUCT(([2]OUT_FinalEnergyCons!$B$4:$B$10000="var_ncap")*1, (ISNUMBER(SEARCH("SCOM-SHELCHP",[2]OUT_FinalEnergyCons!$A$4:$A$10000)))*1,[2]OUT_FinalEnergyCons!H$4:H$10000)</f>
        <v>0.58242441194495798</v>
      </c>
      <c r="K2298" s="1" cm="1">
        <f t="array" ref="K2298">SUMPRODUCT(([2]OUT_FinalEnergyCons!$B$4:$B$10000="var_ncap")*1, (ISNUMBER(SEARCH("SCOM-SHELCHP",[2]OUT_FinalEnergyCons!$A$4:$A$10000)))*1,[2]OUT_FinalEnergyCons!I$4:I$10000)</f>
        <v>0.50706097299627295</v>
      </c>
      <c r="L2298" s="1" cm="1">
        <f t="array" ref="L2298">SUMPRODUCT(([2]OUT_FinalEnergyCons!$B$4:$B$10000="var_ncap")*1, (ISNUMBER(SEARCH("SCOM-SHELCHP",[2]OUT_FinalEnergyCons!$A$4:$A$10000)))*1,[2]OUT_FinalEnergyCons!J$4:J$10000)</f>
        <v>0.82097438914916998</v>
      </c>
      <c r="N2298" s="1"/>
    </row>
    <row r="2299" spans="2:14" x14ac:dyDescent="0.35">
      <c r="B2299" s="5" t="str">
        <f t="shared" si="2169"/>
        <v>SPS1</v>
      </c>
      <c r="C2299" s="5" t="str">
        <f t="shared" si="2170"/>
        <v>CH</v>
      </c>
      <c r="D2299" t="s">
        <v>2433</v>
      </c>
      <c r="E2299" t="str">
        <f t="shared" si="2150"/>
        <v>GWth/yr.</v>
      </c>
      <c r="F2299" s="1">
        <f t="shared" ref="F2299:L2299" si="2173">F2300</f>
        <v>4.4530037536301503E-5</v>
      </c>
      <c r="G2299" s="1">
        <f t="shared" si="2173"/>
        <v>2.17210904719528E-5</v>
      </c>
      <c r="H2299" s="1">
        <f t="shared" si="2173"/>
        <v>1.42338276648176E-5</v>
      </c>
      <c r="I2299" s="1">
        <f t="shared" si="2173"/>
        <v>1.9722071206102001E-5</v>
      </c>
      <c r="J2299" s="1">
        <f t="shared" si="2173"/>
        <v>0.34548850562128403</v>
      </c>
      <c r="K2299" s="1">
        <f t="shared" si="2173"/>
        <v>3.5583412206961602E-6</v>
      </c>
      <c r="L2299" s="1">
        <f t="shared" si="2173"/>
        <v>1.92008243862008E-7</v>
      </c>
      <c r="N2299" s="1"/>
    </row>
    <row r="2300" spans="2:14" x14ac:dyDescent="0.35">
      <c r="B2300" s="5" t="str">
        <f t="shared" si="2169"/>
        <v>SPS1</v>
      </c>
      <c r="C2300" s="5" t="str">
        <f t="shared" si="2170"/>
        <v>CH</v>
      </c>
      <c r="D2300" t="s">
        <v>2434</v>
      </c>
      <c r="E2300" t="str">
        <f t="shared" ref="E2300:E2312" si="2174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4.4530037536301503E-5</v>
      </c>
      <c r="G2300" s="1" cm="1">
        <f t="array" ref="G2300">SUMPRODUCT(([1]OUT_FinalEnergyCons!$B$4:$B$10000="var_ncap")*1,(ISNUMBER(SEARCH("SCOM-SHLFOBR",[1]OUT_FinalEnergyCons!$A$4:$A$10000)))*1,[1]OUT_FinalEnergyCons!E$4:E$10000)</f>
        <v>2.17210904719528E-5</v>
      </c>
      <c r="H2300" s="1" cm="1">
        <f t="array" ref="H2300">SUMPRODUCT(([1]OUT_FinalEnergyCons!$B$4:$B$10000="var_ncap")*1,(ISNUMBER(SEARCH("SCOM-SHLFOBR",[1]OUT_FinalEnergyCons!$A$4:$A$10000)))*1,[1]OUT_FinalEnergyCons!F$4:F$10000)</f>
        <v>1.42338276648176E-5</v>
      </c>
      <c r="I2300" s="1" cm="1">
        <f t="array" ref="I2300">SUMPRODUCT(([1]OUT_FinalEnergyCons!$B$4:$B$10000="var_ncap")*1,(ISNUMBER(SEARCH("SCOM-SHLFOBR",[1]OUT_FinalEnergyCons!$A$4:$A$10000)))*1,[1]OUT_FinalEnergyCons!G$4:G$10000)</f>
        <v>1.9722071206102001E-5</v>
      </c>
      <c r="J2300" s="1" cm="1">
        <f t="array" ref="J2300">SUMPRODUCT(([2]OUT_FinalEnergyCons!$B$4:$B$10000="var_ncap")*1,(ISNUMBER(SEARCH("SCOM-SHLFOBR",[2]OUT_FinalEnergyCons!$A$4:$A$10000)))*1,[2]OUT_FinalEnergyCons!H$4:H$10000)</f>
        <v>0.34548850562128403</v>
      </c>
      <c r="K2300" s="1" cm="1">
        <f t="array" ref="K2300">SUMPRODUCT(([2]OUT_FinalEnergyCons!$B$4:$B$10000="var_ncap")*1,(ISNUMBER(SEARCH("SCOM-SHLFOBR",[2]OUT_FinalEnergyCons!$A$4:$A$10000)))*1,[2]OUT_FinalEnergyCons!I$4:I$10000)</f>
        <v>3.5583412206961602E-6</v>
      </c>
      <c r="L2300" s="1" cm="1">
        <f t="array" ref="L2300">SUMPRODUCT(([2]OUT_FinalEnergyCons!$B$4:$B$10000="var_ncap")*1,(ISNUMBER(SEARCH("SCOM-SHLFOBR",[2]OUT_FinalEnergyCons!$A$4:$A$10000)))*1,[2]OUT_FinalEnergyCons!J$4:J$10000)</f>
        <v>1.92008243862008E-7</v>
      </c>
      <c r="N2300" s="1"/>
    </row>
    <row r="2301" spans="2:14" x14ac:dyDescent="0.35">
      <c r="B2301" s="5" t="str">
        <f t="shared" si="2169"/>
        <v>SPS1</v>
      </c>
      <c r="C2301" s="5" t="str">
        <f t="shared" si="2170"/>
        <v>CH</v>
      </c>
      <c r="D2301" t="s">
        <v>2435</v>
      </c>
      <c r="E2301" t="str">
        <f t="shared" si="2174"/>
        <v>GWth/yr.</v>
      </c>
      <c r="F2301" s="1">
        <f t="shared" ref="F2301:K2301" si="2175">SUM(F2302:F2304)</f>
        <v>2.6978472306389553E-5</v>
      </c>
      <c r="G2301" s="1">
        <f t="shared" si="2175"/>
        <v>1.4017178527661815E-3</v>
      </c>
      <c r="H2301" s="1">
        <f t="shared" si="2175"/>
        <v>0.18412199009369512</v>
      </c>
      <c r="I2301" s="1">
        <f t="shared" si="2175"/>
        <v>0.32765249202328534</v>
      </c>
      <c r="J2301" s="1">
        <f t="shared" si="2175"/>
        <v>0.64432854762128056</v>
      </c>
      <c r="K2301" s="1">
        <f t="shared" si="2175"/>
        <v>0.47462134858205646</v>
      </c>
      <c r="L2301" s="1">
        <f t="shared" ref="L2301" si="2176">SUM(L2302:L2304)</f>
        <v>0.49352309780841408</v>
      </c>
      <c r="N2301" s="1"/>
    </row>
    <row r="2302" spans="2:14" x14ac:dyDescent="0.35">
      <c r="B2302" s="5" t="str">
        <f t="shared" si="2169"/>
        <v>SPS1</v>
      </c>
      <c r="C2302" s="5" t="str">
        <f t="shared" si="2170"/>
        <v>CH</v>
      </c>
      <c r="D2302" t="s">
        <v>2436</v>
      </c>
      <c r="E2302" t="str">
        <f t="shared" si="2174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2.9012457790720198E-6</v>
      </c>
      <c r="G2302" s="1" cm="1">
        <f t="array" ref="G2302">SUMPRODUCT(([1]OUT_FinalEnergyCons!$B$4:$B$10000="var_ncap")*1, (ISNUMBER(SEARCH("SCOM-SHNGABR",[1]OUT_FinalEnergyCons!$A$4:$A$10000)))*1,[1]OUT_FinalEnergyCons!E$4:E$10000)</f>
        <v>1.64373638095966E-5</v>
      </c>
      <c r="H2302" s="1" cm="1">
        <f t="array" ref="H2302">SUMPRODUCT(([1]OUT_FinalEnergyCons!$B$4:$B$10000="var_ncap")*1, (ISNUMBER(SEARCH("SCOM-SHNGABR",[1]OUT_FinalEnergyCons!$A$4:$A$10000)))*1,[1]OUT_FinalEnergyCons!F$4:F$10000)</f>
        <v>1.5256804537481399E-5</v>
      </c>
      <c r="I2302" s="1" cm="1">
        <f t="array" ref="I2302">SUMPRODUCT(([1]OUT_FinalEnergyCons!$B$4:$B$10000="var_ncap")*1, (ISNUMBER(SEARCH("SCOM-SHNGABR",[1]OUT_FinalEnergyCons!$A$4:$A$10000)))*1,[1]OUT_FinalEnergyCons!G$4:G$10000)</f>
        <v>2.4841632924722501E-5</v>
      </c>
      <c r="J2302" s="1" cm="1">
        <f t="array" ref="J2302">SUMPRODUCT(([2]OUT_FinalEnergyCons!$B$4:$B$10000="var_ncap")*1, (ISNUMBER(SEARCH("SCOM-SHNGABR",[2]OUT_FinalEnergyCons!$A$4:$A$10000)))*1,[2]OUT_FinalEnergyCons!H$4:H$10000)</f>
        <v>0.48875996432409402</v>
      </c>
      <c r="K2302" s="1" cm="1">
        <f t="array" ref="K2302">SUMPRODUCT(([2]OUT_FinalEnergyCons!$B$4:$B$10000="var_ncap")*1, (ISNUMBER(SEARCH("SCOM-SHNGABR",[2]OUT_FinalEnergyCons!$A$4:$A$10000)))*1,[2]OUT_FinalEnergyCons!I$4:I$10000)</f>
        <v>2.77641730202574E-2</v>
      </c>
      <c r="L2302" s="1" cm="1">
        <f t="array" ref="L2302">SUMPRODUCT(([2]OUT_FinalEnergyCons!$B$4:$B$10000="var_ncap")*1, (ISNUMBER(SEARCH("SCOM-SHNGABR",[2]OUT_FinalEnergyCons!$A$4:$A$10000)))*1,[2]OUT_FinalEnergyCons!J$4:J$10000)</f>
        <v>5.17448315538204E-6</v>
      </c>
      <c r="N2302" s="1"/>
    </row>
    <row r="2303" spans="2:14" x14ac:dyDescent="0.35">
      <c r="B2303" s="5" t="str">
        <f t="shared" si="2169"/>
        <v>SPS1</v>
      </c>
      <c r="C2303" s="5" t="str">
        <f t="shared" si="2170"/>
        <v>CH</v>
      </c>
      <c r="D2303" t="s">
        <v>2437</v>
      </c>
      <c r="E2303" t="str">
        <f t="shared" si="2174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7.2945082589676304E-6</v>
      </c>
      <c r="G2303" s="1" cm="1">
        <f t="array" ref="G2303">SUMPRODUCT(([1]OUT_FinalEnergyCons!$B$4:$B$10000="var_ncap")*1, (ISNUMBER(SEARCH("SCOM-SHngahp",[1]OUT_FinalEnergyCons!$A$4:$A$10000)))*1,[1]OUT_FinalEnergyCons!E$4:E$10000)</f>
        <v>1.1004426603172699E-3</v>
      </c>
      <c r="H2303" s="1" cm="1">
        <f t="array" ref="H2303">SUMPRODUCT(([1]OUT_FinalEnergyCons!$B$4:$B$10000="var_ncap")*1, (ISNUMBER(SEARCH("SCOM-SHngahp",[1]OUT_FinalEnergyCons!$A$4:$A$10000)))*1,[1]OUT_FinalEnergyCons!F$4:F$10000)</f>
        <v>0.184093500600783</v>
      </c>
      <c r="I2303" s="1" cm="1">
        <f t="array" ref="I2303">SUMPRODUCT(([1]OUT_FinalEnergyCons!$B$4:$B$10000="var_ncap")*1, (ISNUMBER(SEARCH("SCOM-SHngahp",[1]OUT_FinalEnergyCons!$A$4:$A$10000)))*1,[1]OUT_FinalEnergyCons!G$4:G$10000)</f>
        <v>0.327606639103666</v>
      </c>
      <c r="J2303" s="1" cm="1">
        <f t="array" ref="J2303">SUMPRODUCT(([2]OUT_FinalEnergyCons!$B$4:$B$10000="var_ncap")*1, (ISNUMBER(SEARCH("SCOM-SHngahp",[2]OUT_FinalEnergyCons!$A$4:$A$10000)))*1,[2]OUT_FinalEnergyCons!H$4:H$10000)</f>
        <v>0.15554521479212</v>
      </c>
      <c r="K2303" s="1" cm="1">
        <f t="array" ref="K2303">SUMPRODUCT(([2]OUT_FinalEnergyCons!$B$4:$B$10000="var_ncap")*1, (ISNUMBER(SEARCH("SCOM-SHngahp",[2]OUT_FinalEnergyCons!$A$4:$A$10000)))*1,[2]OUT_FinalEnergyCons!I$4:I$10000)</f>
        <v>0.44682332642521</v>
      </c>
      <c r="L2303" s="1" cm="1">
        <f t="array" ref="L2303">SUMPRODUCT(([2]OUT_FinalEnergyCons!$B$4:$B$10000="var_ncap")*1, (ISNUMBER(SEARCH("SCOM-SHngahp",[2]OUT_FinalEnergyCons!$A$4:$A$10000)))*1,[2]OUT_FinalEnergyCons!J$4:J$10000)</f>
        <v>0.49350145900043302</v>
      </c>
      <c r="N2303" s="1"/>
    </row>
    <row r="2304" spans="2:14" x14ac:dyDescent="0.35">
      <c r="B2304" s="5" t="str">
        <f t="shared" si="2169"/>
        <v>SPS1</v>
      </c>
      <c r="C2304" s="5" t="str">
        <f t="shared" si="2170"/>
        <v>CH</v>
      </c>
      <c r="D2304" t="s">
        <v>2438</v>
      </c>
      <c r="E2304" t="str">
        <f t="shared" si="2174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1.6782718268349901E-5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2.8483782863931501E-4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1.3232688374630299E-5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2.1011286694650001E-5</v>
      </c>
      <c r="J2304" s="1" cm="1">
        <f t="array" ref="J2304">SUMPRODUCT(([2]OUT_FinalEnergyCons!$B$4:$B$10000="var_ncap")*1, (("SCOM-SHBIOBR"=[2]OUT_FinalEnergyCons!$A$4:$A$10000)*1+("SCOM-SHBNGABR"=[2]OUT_FinalEnergyCons!$A$4:$A$10000)*1),[2]OUT_FinalEnergyCons!H$4:H$10000)</f>
        <v>2.33685050666206E-5</v>
      </c>
      <c r="K2304" s="1" cm="1">
        <f t="array" ref="K2304">SUMPRODUCT(([2]OUT_FinalEnergyCons!$B$4:$B$10000="var_ncap")*1, (("SCOM-SHBIOBR"=[2]OUT_FinalEnergyCons!$A$4:$A$10000)*1+("SCOM-SHBNGABR"=[2]OUT_FinalEnergyCons!$A$4:$A$10000)*1),[2]OUT_FinalEnergyCons!I$4:I$10000)</f>
        <v>3.3849136589046301E-5</v>
      </c>
      <c r="L2304" s="1" cm="1">
        <f t="array" ref="L2304">SUMPRODUCT(([2]OUT_FinalEnergyCons!$B$4:$B$10000="var_ncap")*1, (("SCOM-SHBIOBR"=[2]OUT_FinalEnergyCons!$A$4:$A$10000)*1+("SCOM-SHBNGABR"=[2]OUT_FinalEnergyCons!$A$4:$A$10000)*1),[2]OUT_FinalEnergyCons!J$4:J$10000)</f>
        <v>1.6464324825634201E-5</v>
      </c>
      <c r="N2304" s="1"/>
    </row>
    <row r="2305" spans="2:14" x14ac:dyDescent="0.35">
      <c r="B2305" s="5" t="str">
        <f t="shared" si="2169"/>
        <v>SPS1</v>
      </c>
      <c r="C2305" s="5" t="str">
        <f t="shared" si="2170"/>
        <v>CH</v>
      </c>
      <c r="D2305" t="s">
        <v>2439</v>
      </c>
      <c r="E2305" t="str">
        <f t="shared" si="2174"/>
        <v>GWth/yr.</v>
      </c>
      <c r="F2305" s="1">
        <f t="shared" ref="F2305:L2305" si="2177">F2306</f>
        <v>1.3126125075240799E-4</v>
      </c>
      <c r="G2305" s="1">
        <f t="shared" si="2177"/>
        <v>1.00361653279643E-4</v>
      </c>
      <c r="H2305" s="1">
        <f t="shared" si="2177"/>
        <v>4.7798161312985803E-2</v>
      </c>
      <c r="I2305" s="1">
        <f t="shared" si="2177"/>
        <v>3.6075211316188E-5</v>
      </c>
      <c r="J2305" s="1">
        <f t="shared" si="2177"/>
        <v>0.27197692566063097</v>
      </c>
      <c r="K2305" s="1">
        <f t="shared" si="2177"/>
        <v>9.8036579508256103E-2</v>
      </c>
      <c r="L2305" s="1">
        <f t="shared" si="2177"/>
        <v>8.1279613533291703E-2</v>
      </c>
      <c r="N2305" s="1"/>
    </row>
    <row r="2306" spans="2:14" x14ac:dyDescent="0.35">
      <c r="B2306" s="5" t="str">
        <f t="shared" si="2169"/>
        <v>SPS1</v>
      </c>
      <c r="C2306" s="5" t="str">
        <f t="shared" si="2170"/>
        <v>CH</v>
      </c>
      <c r="D2306" t="s">
        <v>2440</v>
      </c>
      <c r="E2306" t="str">
        <f t="shared" si="2174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1.3126125075240799E-4</v>
      </c>
      <c r="G2306" s="1" cm="1">
        <f t="array" ref="G2306">SUMPRODUCT(([1]OUT_FinalEnergyCons!$B$4:$B$10000="var_ncap")*1, (ISNUMBER(SEARCH("SCOM-SHWODBR",[1]OUT_FinalEnergyCons!$A$4:$A$10000)))*1,[1]OUT_FinalEnergyCons!E$4:E$10000)</f>
        <v>1.00361653279643E-4</v>
      </c>
      <c r="H2306" s="1" cm="1">
        <f t="array" ref="H2306">SUMPRODUCT(([1]OUT_FinalEnergyCons!$B$4:$B$10000="var_ncap")*1, (ISNUMBER(SEARCH("SCOM-SHWODBR",[1]OUT_FinalEnergyCons!$A$4:$A$10000)))*1,[1]OUT_FinalEnergyCons!F$4:F$10000)</f>
        <v>4.7798161312985803E-2</v>
      </c>
      <c r="I2306" s="1" cm="1">
        <f t="array" ref="I2306">SUMPRODUCT(([1]OUT_FinalEnergyCons!$B$4:$B$10000="var_ncap")*1, (ISNUMBER(SEARCH("SCOM-SHWODBR",[1]OUT_FinalEnergyCons!$A$4:$A$10000)))*1,[1]OUT_FinalEnergyCons!G$4:G$10000)</f>
        <v>3.6075211316188E-5</v>
      </c>
      <c r="J2306" s="1" cm="1">
        <f t="array" ref="J2306">SUMPRODUCT(([2]OUT_FinalEnergyCons!$B$4:$B$10000="var_ncap")*1, (ISNUMBER(SEARCH("SCOM-SHWODBR",[2]OUT_FinalEnergyCons!$A$4:$A$10000)))*1,[2]OUT_FinalEnergyCons!H$4:H$10000)</f>
        <v>0.27197692566063097</v>
      </c>
      <c r="K2306" s="1" cm="1">
        <f t="array" ref="K2306">SUMPRODUCT(([2]OUT_FinalEnergyCons!$B$4:$B$10000="var_ncap")*1, (ISNUMBER(SEARCH("SCOM-SHWODBR",[2]OUT_FinalEnergyCons!$A$4:$A$10000)))*1,[2]OUT_FinalEnergyCons!I$4:I$10000)</f>
        <v>9.8036579508256103E-2</v>
      </c>
      <c r="L2306" s="1" cm="1">
        <f t="array" ref="L2306">SUMPRODUCT(([2]OUT_FinalEnergyCons!$B$4:$B$10000="var_ncap")*1, (ISNUMBER(SEARCH("SCOM-SHWODBR",[2]OUT_FinalEnergyCons!$A$4:$A$10000)))*1,[2]OUT_FinalEnergyCons!J$4:J$10000)</f>
        <v>8.1279613533291703E-2</v>
      </c>
      <c r="N2306" s="1"/>
    </row>
    <row r="2307" spans="2:14" x14ac:dyDescent="0.35">
      <c r="B2307" s="5" t="str">
        <f t="shared" si="2169"/>
        <v>SPS1</v>
      </c>
      <c r="C2307" s="5" t="str">
        <f t="shared" si="2170"/>
        <v>CH</v>
      </c>
      <c r="D2307" t="s">
        <v>2441</v>
      </c>
      <c r="E2307" t="str">
        <f t="shared" si="2174"/>
        <v>GWth/yr.</v>
      </c>
      <c r="F2307" s="1">
        <f t="shared" ref="F2307:L2307" si="2178">F2308</f>
        <v>2.42001420874426E-5</v>
      </c>
      <c r="G2307" s="1">
        <f t="shared" si="2178"/>
        <v>2.6296532478893402E-2</v>
      </c>
      <c r="H2307" s="1">
        <f t="shared" si="2178"/>
        <v>7.1920069004541697E-6</v>
      </c>
      <c r="I2307" s="1">
        <f t="shared" si="2178"/>
        <v>1.2354847035082E-4</v>
      </c>
      <c r="J2307" s="1">
        <f t="shared" si="2178"/>
        <v>2.3079117036483899E-2</v>
      </c>
      <c r="K2307" s="1">
        <f t="shared" si="2178"/>
        <v>3.56818743469541E-2</v>
      </c>
      <c r="L2307" s="1">
        <f t="shared" si="2178"/>
        <v>2.5839156419412399E-2</v>
      </c>
      <c r="N2307" s="1"/>
    </row>
    <row r="2308" spans="2:14" x14ac:dyDescent="0.35">
      <c r="B2308" s="5" t="str">
        <f t="shared" si="2169"/>
        <v>SPS1</v>
      </c>
      <c r="C2308" s="5" t="str">
        <f t="shared" si="2170"/>
        <v>CH</v>
      </c>
      <c r="D2308" t="s">
        <v>2442</v>
      </c>
      <c r="E2308" t="str">
        <f t="shared" si="2174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2.42001420874426E-5</v>
      </c>
      <c r="G2308" s="1" cm="1">
        <f t="array" ref="G2308">SUMPRODUCT(([1]OUT_FinalEnergyCons!$B$4:$B$10000="var_ncap")*1,(ISNUMBER(SEARCH("SCOM-SHPLTBR",[1]OUT_FinalEnergyCons!$A$4:$A$10000)))*1,[1]OUT_FinalEnergyCons!E$4:E$10000)</f>
        <v>2.6296532478893402E-2</v>
      </c>
      <c r="H2308" s="1" cm="1">
        <f t="array" ref="H2308">SUMPRODUCT(([1]OUT_FinalEnergyCons!$B$4:$B$10000="var_ncap")*1,(ISNUMBER(SEARCH("SCOM-SHPLTBR",[1]OUT_FinalEnergyCons!$A$4:$A$10000)))*1,[1]OUT_FinalEnergyCons!F$4:F$10000)</f>
        <v>7.1920069004541697E-6</v>
      </c>
      <c r="I2308" s="1" cm="1">
        <f t="array" ref="I2308">SUMPRODUCT(([1]OUT_FinalEnergyCons!$B$4:$B$10000="var_ncap")*1,(ISNUMBER(SEARCH("SCOM-SHPLTBR",[1]OUT_FinalEnergyCons!$A$4:$A$10000)))*1,[1]OUT_FinalEnergyCons!G$4:G$10000)</f>
        <v>1.2354847035082E-4</v>
      </c>
      <c r="J2308" s="1" cm="1">
        <f t="array" ref="J2308">SUMPRODUCT(([2]OUT_FinalEnergyCons!$B$4:$B$10000="var_ncap")*1,(ISNUMBER(SEARCH("SCOM-SHPLTBR",[2]OUT_FinalEnergyCons!$A$4:$A$10000)))*1,[2]OUT_FinalEnergyCons!H$4:H$10000)</f>
        <v>2.3079117036483899E-2</v>
      </c>
      <c r="K2308" s="1" cm="1">
        <f t="array" ref="K2308">SUMPRODUCT(([2]OUT_FinalEnergyCons!$B$4:$B$10000="var_ncap")*1,(ISNUMBER(SEARCH("SCOM-SHPLTBR",[2]OUT_FinalEnergyCons!$A$4:$A$10000)))*1,[2]OUT_FinalEnergyCons!I$4:I$10000)</f>
        <v>3.56818743469541E-2</v>
      </c>
      <c r="L2308" s="1" cm="1">
        <f t="array" ref="L2308">SUMPRODUCT(([2]OUT_FinalEnergyCons!$B$4:$B$10000="var_ncap")*1,(ISNUMBER(SEARCH("SCOM-SHPLTBR",[2]OUT_FinalEnergyCons!$A$4:$A$10000)))*1,[2]OUT_FinalEnergyCons!J$4:J$10000)</f>
        <v>2.5839156419412399E-2</v>
      </c>
      <c r="N2308" s="1"/>
    </row>
    <row r="2309" spans="2:14" x14ac:dyDescent="0.35">
      <c r="B2309" s="5" t="str">
        <f t="shared" si="2169"/>
        <v>SPS1</v>
      </c>
      <c r="C2309" s="5" t="str">
        <f t="shared" si="2170"/>
        <v>CH</v>
      </c>
      <c r="D2309" t="s">
        <v>2443</v>
      </c>
      <c r="E2309" t="str">
        <f t="shared" si="2174"/>
        <v>GWth/yr.</v>
      </c>
      <c r="F2309" s="1">
        <f t="shared" ref="F2309:L2309" si="2179">F2310</f>
        <v>1.5935382007979001E-4</v>
      </c>
      <c r="G2309" s="1">
        <f t="shared" si="2179"/>
        <v>9.39963759144718E-3</v>
      </c>
      <c r="H2309" s="1">
        <f t="shared" si="2179"/>
        <v>4.34628502715629E-5</v>
      </c>
      <c r="I2309" s="1">
        <f t="shared" si="2179"/>
        <v>8.9556565707593706E-5</v>
      </c>
      <c r="J2309" s="1">
        <f t="shared" si="2179"/>
        <v>6.7861968315478596E-2</v>
      </c>
      <c r="K2309" s="1">
        <f t="shared" si="2179"/>
        <v>4.2195404035875697E-2</v>
      </c>
      <c r="L2309" s="1">
        <f t="shared" si="2179"/>
        <v>6.3136582806379807E-2</v>
      </c>
      <c r="N2309" s="1"/>
    </row>
    <row r="2310" spans="2:14" x14ac:dyDescent="0.35">
      <c r="B2310" s="5" t="str">
        <f t="shared" si="2169"/>
        <v>SPS1</v>
      </c>
      <c r="C2310" s="5" t="str">
        <f t="shared" si="2170"/>
        <v>CH</v>
      </c>
      <c r="D2310" t="s">
        <v>2444</v>
      </c>
      <c r="E2310" t="str">
        <f t="shared" si="2174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1.5935382007979001E-4</v>
      </c>
      <c r="G2310" s="1" cm="1">
        <f t="array" ref="G2310">SUMPRODUCT(([1]OUT_FinalEnergyCons!$B$4:$B$10000="var_ncap")*1, (ISNUMBER(SEARCH("SCOM-SHSOLBR",[1]OUT_FinalEnergyCons!$A$4:$A$10000)))*1,[1]OUT_FinalEnergyCons!E$4:E$10000)</f>
        <v>9.39963759144718E-3</v>
      </c>
      <c r="H2310" s="1" cm="1">
        <f t="array" ref="H2310">SUMPRODUCT(([1]OUT_FinalEnergyCons!$B$4:$B$10000="var_ncap")*1, (ISNUMBER(SEARCH("SCOM-SHSOLBR",[1]OUT_FinalEnergyCons!$A$4:$A$10000)))*1,[1]OUT_FinalEnergyCons!F$4:F$10000)</f>
        <v>4.34628502715629E-5</v>
      </c>
      <c r="I2310" s="1" cm="1">
        <f t="array" ref="I2310">SUMPRODUCT(([1]OUT_FinalEnergyCons!$B$4:$B$10000="var_ncap")*1, (ISNUMBER(SEARCH("SCOM-SHSOLBR",[1]OUT_FinalEnergyCons!$A$4:$A$10000)))*1,[1]OUT_FinalEnergyCons!G$4:G$10000)</f>
        <v>8.9556565707593706E-5</v>
      </c>
      <c r="J2310" s="1" cm="1">
        <f t="array" ref="J2310">SUMPRODUCT(([2]OUT_FinalEnergyCons!$B$4:$B$10000="var_ncap")*1, (ISNUMBER(SEARCH("SCOM-SHSOLBR",[2]OUT_FinalEnergyCons!$A$4:$A$10000)))*1,[2]OUT_FinalEnergyCons!H$4:H$10000)</f>
        <v>6.7861968315478596E-2</v>
      </c>
      <c r="K2310" s="1" cm="1">
        <f t="array" ref="K2310">SUMPRODUCT(([2]OUT_FinalEnergyCons!$B$4:$B$10000="var_ncap")*1, (ISNUMBER(SEARCH("SCOM-SHSOLBR",[2]OUT_FinalEnergyCons!$A$4:$A$10000)))*1,[2]OUT_FinalEnergyCons!I$4:I$10000)</f>
        <v>4.2195404035875697E-2</v>
      </c>
      <c r="L2310" s="1" cm="1">
        <f t="array" ref="L2310">SUMPRODUCT(([2]OUT_FinalEnergyCons!$B$4:$B$10000="var_ncap")*1, (ISNUMBER(SEARCH("SCOM-SHSOLBR",[2]OUT_FinalEnergyCons!$A$4:$A$10000)))*1,[2]OUT_FinalEnergyCons!J$4:J$10000)</f>
        <v>6.3136582806379807E-2</v>
      </c>
      <c r="N2310" s="1"/>
    </row>
    <row r="2311" spans="2:14" x14ac:dyDescent="0.35">
      <c r="B2311" s="5" t="str">
        <f t="shared" si="2169"/>
        <v>SPS1</v>
      </c>
      <c r="C2311" s="5" t="str">
        <f t="shared" si="2170"/>
        <v>CH</v>
      </c>
      <c r="D2311" t="s">
        <v>2445</v>
      </c>
      <c r="E2311" t="str">
        <f t="shared" si="2174"/>
        <v>GWth/yr.</v>
      </c>
      <c r="F2311" s="1">
        <f t="shared" ref="F2311:L2311" si="2180">F2312</f>
        <v>0</v>
      </c>
      <c r="G2311" s="1">
        <f t="shared" si="2180"/>
        <v>0</v>
      </c>
      <c r="H2311" s="1">
        <f t="shared" si="2180"/>
        <v>0</v>
      </c>
      <c r="I2311" s="1">
        <f t="shared" si="2180"/>
        <v>1.50430412996553E-5</v>
      </c>
      <c r="J2311" s="1">
        <f t="shared" si="2180"/>
        <v>0.35827926017367601</v>
      </c>
      <c r="K2311" s="1">
        <f t="shared" si="2180"/>
        <v>0.69166191922406794</v>
      </c>
      <c r="L2311" s="1">
        <f t="shared" si="2180"/>
        <v>0.45823439018420897</v>
      </c>
      <c r="N2311" s="1"/>
    </row>
    <row r="2312" spans="2:14" x14ac:dyDescent="0.35">
      <c r="B2312" s="5" t="str">
        <f t="shared" si="2169"/>
        <v>SPS1</v>
      </c>
      <c r="C2312" s="5" t="str">
        <f t="shared" si="2170"/>
        <v>CH</v>
      </c>
      <c r="D2312" t="s">
        <v>2446</v>
      </c>
      <c r="E2312" t="str">
        <f t="shared" si="2174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1.50430412996553E-5</v>
      </c>
      <c r="J2312" s="1" cm="1">
        <f t="array" ref="J2312">SUMPRODUCT(([2]OUT_FinalEnergyCons!$B$4:$B$10000="var_ncap")*1, (ISNUMBER(SEARCH("SCOM-SHH2BR",[2]OUT_FinalEnergyCons!$A$4:$A$10000)))*1,[2]OUT_FinalEnergyCons!H$4:H$10000)</f>
        <v>0.35827926017367601</v>
      </c>
      <c r="K2312" s="1" cm="1">
        <f t="array" ref="K2312">SUMPRODUCT(([2]OUT_FinalEnergyCons!$B$4:$B$10000="var_ncap")*1, (ISNUMBER(SEARCH("SCOM-SHH2BR",[2]OUT_FinalEnergyCons!$A$4:$A$10000)))*1,[2]OUT_FinalEnergyCons!I$4:I$10000)</f>
        <v>0.69166191922406794</v>
      </c>
      <c r="L2312" s="1" cm="1">
        <f t="array" ref="L2312">SUMPRODUCT(([2]OUT_FinalEnergyCons!$B$4:$B$10000="var_ncap")*1, (ISNUMBER(SEARCH("SCOM-SHH2BR",[2]OUT_FinalEnergyCons!$A$4:$A$10000)))*1,[2]OUT_FinalEnergyCons!J$4:J$10000)</f>
        <v>0.45823439018420897</v>
      </c>
      <c r="N2312" s="1"/>
    </row>
    <row r="2313" spans="2:14" x14ac:dyDescent="0.35">
      <c r="B2313" s="5" t="str">
        <f>SPS2_NUC_Low!B2021</f>
        <v>SPS1</v>
      </c>
      <c r="C2313" s="5" t="str">
        <f>SPS2_NUC_Low!C2021</f>
        <v>CH</v>
      </c>
      <c r="D2313" s="2" t="s">
        <v>2448</v>
      </c>
      <c r="E2313" s="2" t="s">
        <v>2154</v>
      </c>
      <c r="F2313" s="3">
        <f t="shared" ref="F2313:K2313" si="2181">SUM(F2314,F2318,F2321)</f>
        <v>2.6353821030730001E-3</v>
      </c>
      <c r="G2313" s="3">
        <f t="shared" si="2181"/>
        <v>6.5646331272761299E-5</v>
      </c>
      <c r="H2313" s="3">
        <f t="shared" si="2181"/>
        <v>1.3748325669458501E-4</v>
      </c>
      <c r="I2313" s="3">
        <f t="shared" si="2181"/>
        <v>4.8715950564662373E-3</v>
      </c>
      <c r="J2313" s="3">
        <f t="shared" si="2181"/>
        <v>0.36943418151333374</v>
      </c>
      <c r="K2313" s="3">
        <f t="shared" si="2181"/>
        <v>4.4977883864220338</v>
      </c>
      <c r="L2313" s="3">
        <f t="shared" ref="L2313" si="2182">SUM(L2314,L2318,L2321)</f>
        <v>0.79844942383184214</v>
      </c>
      <c r="N2313" s="1"/>
    </row>
    <row r="2314" spans="2:14" x14ac:dyDescent="0.35">
      <c r="B2314" s="5" t="str">
        <f t="shared" ref="B2314:B2340" si="2183">B2313</f>
        <v>SPS1</v>
      </c>
      <c r="C2314" s="5" t="str">
        <f t="shared" ref="C2314:C2340" si="2184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2.6353821030730001E-3</v>
      </c>
      <c r="G2314" s="1" cm="1">
        <f t="array" ref="G2314">SUMPRODUCT(ISNUMBER(SEARCH("SUP_ELCH2*",[1]OUT_SyntheticFuels!$C$4:$C$1000))*1,("var_ncap"=[1]OUT_SyntheticFuels!$B$4:$B$1000)*1,[1]OUT_SyntheticFuels!F$4:F$1000)</f>
        <v>6.5646331272761299E-5</v>
      </c>
      <c r="H2314" s="1" cm="1">
        <f t="array" ref="H2314">SUMPRODUCT(ISNUMBER(SEARCH("SUP_ELCH2*",[1]OUT_SyntheticFuels!$C$4:$C$1000))*1,("var_ncap"=[1]OUT_SyntheticFuels!$B$4:$B$1000)*1,[1]OUT_SyntheticFuels!G$4:G$1000)</f>
        <v>1.3748325669458501E-4</v>
      </c>
      <c r="I2314" s="1" cm="1">
        <f t="array" ref="I2314">SUMPRODUCT(ISNUMBER(SEARCH("SUP_ELCH2*",[1]OUT_SyntheticFuels!$C$4:$C$1000))*1,("var_ncap"=[1]OUT_SyntheticFuels!$B$4:$B$1000)*1,[1]OUT_SyntheticFuels!H$4:H$1000)</f>
        <v>3.9758858956961338E-3</v>
      </c>
      <c r="J2314" s="1" cm="1">
        <f t="array" ref="J2314">SUMPRODUCT(ISNUMBER(SEARCH("SUP_ELCH2*",[2]OUT_SyntheticFuels!$C$4:$C$1000))*1,("var_ncap"=[2]OUT_SyntheticFuels!$B$4:$B$1000)*1,[2]OUT_SyntheticFuels!I$4:I$1000)</f>
        <v>0.33644594703668929</v>
      </c>
      <c r="K2314" s="1" cm="1">
        <f t="array" ref="K2314">SUMPRODUCT(ISNUMBER(SEARCH("SUP_ELCH2*",[2]OUT_SyntheticFuels!$C$4:$C$1000))*1,("var_ncap"=[2]OUT_SyntheticFuels!$B$4:$B$1000)*1,[2]OUT_SyntheticFuels!J$4:J$1000)</f>
        <v>4.4591728661739589</v>
      </c>
      <c r="L2314" s="1" cm="1">
        <f t="array" ref="L2314">SUMPRODUCT(ISNUMBER(SEARCH("SUP_ELCH2*",[2]OUT_SyntheticFuels!$C$4:$C$1000))*1,("var_ncap"=[2]OUT_SyntheticFuels!$B$4:$B$1000)*1,[2]OUT_SyntheticFuels!K$4:K$1000)</f>
        <v>0.79719002638274072</v>
      </c>
      <c r="N2314" s="1"/>
    </row>
    <row r="2315" spans="2:14" x14ac:dyDescent="0.35">
      <c r="B2315" s="5" t="str">
        <f t="shared" si="2183"/>
        <v>SPS1</v>
      </c>
      <c r="C2315" s="5" t="str">
        <f t="shared" si="2184"/>
        <v>CH</v>
      </c>
      <c r="D2315" t="s">
        <v>2450</v>
      </c>
      <c r="E2315" t="s">
        <v>2154</v>
      </c>
      <c r="F2315" s="1">
        <f t="shared" ref="F2315:K2315" si="2185">F2314-F2316-F2317</f>
        <v>2.6353821030730001E-3</v>
      </c>
      <c r="G2315" s="1">
        <f t="shared" si="2185"/>
        <v>6.5646331272761299E-5</v>
      </c>
      <c r="H2315" s="1">
        <f t="shared" si="2185"/>
        <v>1.3748325669458501E-4</v>
      </c>
      <c r="I2315" s="1">
        <f t="shared" si="2185"/>
        <v>3.8335980500460898E-3</v>
      </c>
      <c r="J2315" s="1">
        <f t="shared" si="2185"/>
        <v>0.336442481401313</v>
      </c>
      <c r="K2315" s="1">
        <f t="shared" si="2185"/>
        <v>2.09322646240232</v>
      </c>
      <c r="L2315" s="1">
        <f t="shared" ref="L2315" si="2186">L2314-L2316-L2317</f>
        <v>0.659276715598754</v>
      </c>
      <c r="N2315" s="1"/>
    </row>
    <row r="2316" spans="2:14" x14ac:dyDescent="0.35">
      <c r="B2316" s="5" t="str">
        <f t="shared" si="2183"/>
        <v>SPS1</v>
      </c>
      <c r="C2316" s="5" t="str">
        <f t="shared" si="2184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1.42287845650044E-4</v>
      </c>
      <c r="J2316" s="1" cm="1">
        <f t="array" ref="J2316">SUMPRODUCT(ISNUMBER(SEARCH("SUP_ELCH2*D",[2]OUT_SyntheticFuels!$C$4:$C$1000))*1,("var_ncap"=[2]OUT_SyntheticFuels!$B$4:$B$1000)*1,[2]OUT_SyntheticFuels!I$4:I$1000)</f>
        <v>3.4656353762867599E-6</v>
      </c>
      <c r="K2316" s="1" cm="1">
        <f t="array" ref="K2316">SUMPRODUCT(ISNUMBER(SEARCH("SUP_ELCH2*D",[2]OUT_SyntheticFuels!$C$4:$C$1000))*1,("var_ncap"=[2]OUT_SyntheticFuels!$B$4:$B$1000)*1,[2]OUT_SyntheticFuels!J$4:J$1000)</f>
        <v>2.36531859750438</v>
      </c>
      <c r="L2316" s="1" cm="1">
        <f t="array" ref="L2316">SUMPRODUCT(ISNUMBER(SEARCH("SUP_ELCH2*D",[2]OUT_SyntheticFuels!$C$4:$C$1000))*1,("var_ncap"=[2]OUT_SyntheticFuels!$B$4:$B$1000)*1,[2]OUT_SyntheticFuels!K$4:K$1000)</f>
        <v>0.137380573600034</v>
      </c>
      <c r="N2316" s="1"/>
    </row>
    <row r="2317" spans="2:14" x14ac:dyDescent="0.35">
      <c r="B2317" s="5" t="str">
        <f t="shared" si="2183"/>
        <v>SPS1</v>
      </c>
      <c r="C2317" s="5" t="str">
        <f t="shared" si="2184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SUMPRODUCT(ISNUMBER(SEARCH("SUP_ELCH2*SOEC*",[2]OUT_SyntheticFuels!$C$4:$C$1000))*1,("var_ncap"=[2]OUT_SyntheticFuels!$B$4:$B$1000)*1,[2]OUT_SyntheticFuels!I$4:I$1000)</f>
        <v>0</v>
      </c>
      <c r="K2317" s="1" cm="1">
        <f t="array" ref="K2317">SUMPRODUCT(ISNUMBER(SEARCH("SUP_ELCH2*SOEC*",[2]OUT_SyntheticFuels!$C$4:$C$1000))*1,("var_ncap"=[2]OUT_SyntheticFuels!$B$4:$B$1000)*1,[2]OUT_SyntheticFuels!J$4:J$1000)</f>
        <v>6.2780626725909502E-4</v>
      </c>
      <c r="L2317" s="1" cm="1">
        <f t="array" ref="L2317">SUMPRODUCT(ISNUMBER(SEARCH("SUP_ELCH2*SOEC*",[2]OUT_SyntheticFuels!$C$4:$C$1000))*1,("var_ncap"=[2]OUT_SyntheticFuels!$B$4:$B$1000)*1,[2]OUT_SyntheticFuels!K$4:K$1000)</f>
        <v>5.3273718395278197E-4</v>
      </c>
      <c r="N2317" s="1"/>
    </row>
    <row r="2318" spans="2:14" x14ac:dyDescent="0.35">
      <c r="B2318" s="5" t="str">
        <f t="shared" si="2183"/>
        <v>SPS1</v>
      </c>
      <c r="C2318" s="5" t="str">
        <f t="shared" si="2184"/>
        <v>CH</v>
      </c>
      <c r="D2318" t="s">
        <v>2453</v>
      </c>
      <c r="E2318" t="s">
        <v>2154</v>
      </c>
      <c r="F2318" s="1">
        <f t="shared" ref="F2318:K2318" si="2187">SUM(F2319:F2320)</f>
        <v>0</v>
      </c>
      <c r="G2318" s="1">
        <f t="shared" si="2187"/>
        <v>0</v>
      </c>
      <c r="H2318" s="1">
        <f t="shared" si="2187"/>
        <v>0</v>
      </c>
      <c r="I2318" s="1">
        <f t="shared" si="2187"/>
        <v>8.3647918781319503E-6</v>
      </c>
      <c r="J2318" s="1">
        <f t="shared" si="2187"/>
        <v>7.7541492114400496E-7</v>
      </c>
      <c r="K2318" s="1">
        <f t="shared" si="2187"/>
        <v>1.0673072434864689E-6</v>
      </c>
      <c r="L2318" s="1">
        <f t="shared" ref="L2318" si="2188">SUM(L2319:L2320)</f>
        <v>1.042593219453097E-4</v>
      </c>
      <c r="N2318" s="1"/>
    </row>
    <row r="2319" spans="2:14" x14ac:dyDescent="0.35">
      <c r="B2319" s="5" t="str">
        <f t="shared" si="2183"/>
        <v>SPS1</v>
      </c>
      <c r="C2319" s="5" t="str">
        <f t="shared" si="2184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8.3647918781319503E-6</v>
      </c>
      <c r="J2319" s="1" cm="1">
        <f t="array" ref="J2319">SUMPRODUCT(ISNUMBER(SEARCH("SUP_NGAH2",[2]OUT_SyntheticFuels!$C$4:$C$1000))*1,("var_ncap"=[2]OUT_SyntheticFuels!$B$4:$B$1000)*1,[2]OUT_SyntheticFuels!I$4:I$1000)-J2320</f>
        <v>7.7541492114400496E-7</v>
      </c>
      <c r="K2319" s="1" cm="1">
        <f t="array" ref="K2319">SUMPRODUCT(ISNUMBER(SEARCH("SUP_NGAH2",[2]OUT_SyntheticFuels!$C$4:$C$1000))*1,("var_ncap"=[2]OUT_SyntheticFuels!$B$4:$B$1000)*1,[2]OUT_SyntheticFuels!J$4:J$1000)-K2320</f>
        <v>8.3070668794422485E-7</v>
      </c>
      <c r="L2319" s="1" cm="1">
        <f t="array" ref="L2319">SUMPRODUCT(ISNUMBER(SEARCH("SUP_NGAH2",[2]OUT_SyntheticFuels!$C$4:$C$1000))*1,("var_ncap"=[2]OUT_SyntheticFuels!$B$4:$B$1000)*1,[2]OUT_SyntheticFuels!K$4:K$1000)-L2320</f>
        <v>7.1531254549918406E-5</v>
      </c>
      <c r="N2319" s="1"/>
    </row>
    <row r="2320" spans="2:14" x14ac:dyDescent="0.35">
      <c r="B2320" s="5" t="str">
        <f t="shared" si="2183"/>
        <v>SPS1</v>
      </c>
      <c r="C2320" s="5" t="str">
        <f t="shared" si="2184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SUMPRODUCT(ISNUMBER(SEARCH("SUP_NGAH2CCS",[2]OUT_SyntheticFuels!$C$4:$C$1000))*1,("var_ncap"=[2]OUT_SyntheticFuels!$B$4:$B$1000)*1,[2]OUT_SyntheticFuels!I$4:I$1000)</f>
        <v>0</v>
      </c>
      <c r="K2320" s="1" cm="1">
        <f t="array" ref="K2320">SUMPRODUCT(ISNUMBER(SEARCH("SUP_NGAH2CCS",[2]OUT_SyntheticFuels!$C$4:$C$1000))*1,("var_ncap"=[2]OUT_SyntheticFuels!$B$4:$B$1000)*1,[2]OUT_SyntheticFuels!J$4:J$1000)</f>
        <v>2.3660055554224401E-7</v>
      </c>
      <c r="L2320" s="1" cm="1">
        <f t="array" ref="L2320">SUMPRODUCT(ISNUMBER(SEARCH("SUP_NGAH2CCS",[2]OUT_SyntheticFuels!$C$4:$C$1000))*1,("var_ncap"=[2]OUT_SyntheticFuels!$B$4:$B$1000)*1,[2]OUT_SyntheticFuels!K$4:K$1000)</f>
        <v>3.2728067395391299E-5</v>
      </c>
      <c r="N2320" s="1"/>
    </row>
    <row r="2321" spans="2:14" x14ac:dyDescent="0.35">
      <c r="B2321" s="5" t="str">
        <f t="shared" si="2183"/>
        <v>SPS1</v>
      </c>
      <c r="C2321" s="5" t="str">
        <f t="shared" si="2184"/>
        <v>CH</v>
      </c>
      <c r="D2321" t="s">
        <v>2456</v>
      </c>
      <c r="E2321" t="s">
        <v>2154</v>
      </c>
      <c r="F2321" s="1">
        <f t="shared" ref="F2321:K2321" si="2189">SUM(F2322:F2323)</f>
        <v>0</v>
      </c>
      <c r="G2321" s="1">
        <f t="shared" si="2189"/>
        <v>0</v>
      </c>
      <c r="H2321" s="1">
        <f t="shared" si="2189"/>
        <v>0</v>
      </c>
      <c r="I2321" s="1">
        <f t="shared" si="2189"/>
        <v>8.8734436889197196E-4</v>
      </c>
      <c r="J2321" s="1">
        <f t="shared" si="2189"/>
        <v>3.2987459061723297E-2</v>
      </c>
      <c r="K2321" s="1">
        <f t="shared" si="2189"/>
        <v>3.8614452940831802E-2</v>
      </c>
      <c r="L2321" s="1">
        <f t="shared" ref="L2321" si="2190">SUM(L2322:L2323)</f>
        <v>1.1551381271561101E-3</v>
      </c>
      <c r="N2321" s="1"/>
    </row>
    <row r="2322" spans="2:14" x14ac:dyDescent="0.35">
      <c r="B2322" s="5" t="str">
        <f t="shared" si="2183"/>
        <v>SPS1</v>
      </c>
      <c r="C2322" s="5" t="str">
        <f t="shared" si="2184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8.8734436889197196E-4</v>
      </c>
      <c r="J2322" s="1" cm="1">
        <f t="array" ref="J2322">SUMPRODUCT(ISNUMBER(SEARCH("SUP_WODH2",[2]OUT_SyntheticFuels!$C$4:$C$1000))*1,("var_ncap"=[2]OUT_SyntheticFuels!$B$4:$B$1000)*1,[2]OUT_SyntheticFuels!I$4:I$1000)-J2323</f>
        <v>3.2987459061723297E-2</v>
      </c>
      <c r="K2322" s="1" cm="1">
        <f t="array" ref="K2322">SUMPRODUCT(ISNUMBER(SEARCH("SUP_WODH2",[2]OUT_SyntheticFuels!$C$4:$C$1000))*1,("var_ncap"=[2]OUT_SyntheticFuels!$B$4:$B$1000)*1,[2]OUT_SyntheticFuels!J$4:J$1000)-K2323</f>
        <v>3.8614452940831802E-2</v>
      </c>
      <c r="L2322" s="1" cm="1">
        <f t="array" ref="L2322">SUMPRODUCT(ISNUMBER(SEARCH("SUP_WODH2",[2]OUT_SyntheticFuels!$C$4:$C$1000))*1,("var_ncap"=[2]OUT_SyntheticFuels!$B$4:$B$1000)*1,[2]OUT_SyntheticFuels!K$4:K$1000)-L2323</f>
        <v>1.1551381271561101E-3</v>
      </c>
      <c r="N2322" s="1"/>
    </row>
    <row r="2323" spans="2:14" x14ac:dyDescent="0.35">
      <c r="B2323" s="5" t="str">
        <f t="shared" si="2183"/>
        <v>SPS1</v>
      </c>
      <c r="C2323" s="5" t="str">
        <f t="shared" si="2184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SUMPRODUCT(ISNUMBER(SEARCH("SUP_WODH2CCS",[2]OUT_SyntheticFuels!$C$4:$C$1000))*1,("var_ncap"=[2]OUT_SyntheticFuels!$B$4:$B$1000)*1,[2]OUT_SyntheticFuels!I$4:I$1000)</f>
        <v>0</v>
      </c>
      <c r="K2323" s="1" cm="1">
        <f t="array" ref="K2323">SUMPRODUCT(ISNUMBER(SEARCH("SUP_WODH2CCS",[2]OUT_SyntheticFuels!$C$4:$C$1000))*1,("var_ncap"=[2]OUT_SyntheticFuels!$B$4:$B$1000)*1,[2]OUT_SyntheticFuels!J$4:J$1000)</f>
        <v>0</v>
      </c>
      <c r="L2323" s="1" cm="1">
        <f t="array" ref="L2323">SUMPRODUCT(ISNUMBER(SEARCH("SUP_WODH2CCS",[2]OUT_SyntheticFuels!$C$4:$C$1000))*1,("var_ncap"=[2]OUT_SyntheticFuels!$B$4:$B$1000)*1,[2]OUT_SyntheticFuels!K$4:K$1000)</f>
        <v>0</v>
      </c>
      <c r="N2323" s="1"/>
    </row>
    <row r="2324" spans="2:14" x14ac:dyDescent="0.35">
      <c r="B2324" s="5" t="str">
        <f t="shared" si="2183"/>
        <v>SPS1</v>
      </c>
      <c r="C2324" s="5" t="str">
        <f t="shared" si="2184"/>
        <v>CH</v>
      </c>
      <c r="D2324" s="2" t="s">
        <v>2459</v>
      </c>
      <c r="E2324" s="2" t="s">
        <v>2156</v>
      </c>
      <c r="F2324" s="26"/>
      <c r="G2324" s="26"/>
      <c r="H2324" s="26"/>
      <c r="I2324" s="26"/>
      <c r="J2324" s="26"/>
      <c r="K2324" s="26"/>
      <c r="L2324" s="26"/>
      <c r="N2324" s="1"/>
    </row>
    <row r="2325" spans="2:14" x14ac:dyDescent="0.35">
      <c r="B2325" s="5" t="str">
        <f t="shared" si="2183"/>
        <v>SPS1</v>
      </c>
      <c r="C2325" s="5" t="str">
        <f t="shared" si="2184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1.5317256403648201E-5</v>
      </c>
      <c r="G2325" s="7" cm="1">
        <f t="array" ref="G2325">SUMPRODUCT(("CT_CWODBDS"=[1]OUT_SyntheticFuels!$C$4:$C$1000)*1,("var_ncap"=[1]OUT_SyntheticFuels!$B$4:$B$1000)*1,[1]OUT_SyntheticFuels!F$4:F$1000)</f>
        <v>4.8524294647227398E-6</v>
      </c>
      <c r="H2325" s="7" cm="1">
        <f t="array" ref="H2325">SUMPRODUCT(("CT_CWODBDS"=[1]OUT_SyntheticFuels!$C$4:$C$1000)*1,("var_ncap"=[1]OUT_SyntheticFuels!$B$4:$B$1000)*1,[1]OUT_SyntheticFuels!G$4:G$1000)</f>
        <v>2.0768275224184099E-5</v>
      </c>
      <c r="I2325" s="7" cm="1">
        <f t="array" ref="I2325">SUMPRODUCT(("CT_CWODBDS"=[1]OUT_SyntheticFuels!$C$4:$C$1000)*1,("var_ncap"=[1]OUT_SyntheticFuels!$B$4:$B$1000)*1,[1]OUT_SyntheticFuels!H$4:H$1000)</f>
        <v>7.6793403797711493E-6</v>
      </c>
      <c r="J2325" s="7" cm="1">
        <f t="array" ref="J2325">SUMPRODUCT(("CT_CWODBDS"=[2]OUT_SyntheticFuels!$C$4:$C$1000)*1,("var_ncap"=[2]OUT_SyntheticFuels!$B$4:$B$1000)*1,[2]OUT_SyntheticFuels!I$4:I$1000)</f>
        <v>7.5227310608593401E-5</v>
      </c>
      <c r="K2325" s="7" cm="1">
        <f t="array" ref="K2325">SUMPRODUCT(("CT_CWODBDS"=[2]OUT_SyntheticFuels!$C$4:$C$1000)*1,("var_ncap"=[2]OUT_SyntheticFuels!$B$4:$B$1000)*1,[2]OUT_SyntheticFuels!J$4:J$1000)</f>
        <v>7.4474385496893405E-4</v>
      </c>
      <c r="L2325" s="7" cm="1">
        <f t="array" ref="L2325">SUMPRODUCT(("CT_CWODBDS"=[2]OUT_SyntheticFuels!$C$4:$C$1000)*1,("var_ncap"=[2]OUT_SyntheticFuels!$B$4:$B$1000)*1,[2]OUT_SyntheticFuels!K$4:K$1000)</f>
        <v>2.4245317867465898E-7</v>
      </c>
      <c r="N2325" s="1"/>
    </row>
    <row r="2326" spans="2:14" x14ac:dyDescent="0.35">
      <c r="B2326" s="5" t="str">
        <f t="shared" si="2183"/>
        <v>SPS1</v>
      </c>
      <c r="C2326" s="5" t="str">
        <f t="shared" si="2184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SUMPRODUCT(("CT_CWODBDSCCS"=[2]OUT_SyntheticFuels!$C$4:$C$1000)*1,("var_ncap"=[2]OUT_SyntheticFuels!$B$4:$B$1000)*1,[2]OUT_SyntheticFuels!I$4:I$1000)</f>
        <v>0</v>
      </c>
      <c r="K2326" s="7" cm="1">
        <f t="array" ref="K2326">SUMPRODUCT(("CT_CWODBDSCCS"=[2]OUT_SyntheticFuels!$C$4:$C$1000)*1,("var_ncap"=[2]OUT_SyntheticFuels!$B$4:$B$1000)*1,[2]OUT_SyntheticFuels!J$4:J$1000)</f>
        <v>0</v>
      </c>
      <c r="L2326" s="7" cm="1">
        <f t="array" ref="L2326">SUMPRODUCT(("CT_CWODBDSCCS"=[2]OUT_SyntheticFuels!$C$4:$C$1000)*1,("var_ncap"=[2]OUT_SyntheticFuels!$B$4:$B$1000)*1,[2]OUT_SyntheticFuels!K$4:K$1000)</f>
        <v>0</v>
      </c>
      <c r="N2326" s="1"/>
    </row>
    <row r="2327" spans="2:14" x14ac:dyDescent="0.35">
      <c r="B2327" s="5" t="str">
        <f t="shared" si="2183"/>
        <v>SPS1</v>
      </c>
      <c r="C2327" s="5" t="str">
        <f t="shared" si="2184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5.7310982874705603E-2</v>
      </c>
      <c r="G2327" s="7" cm="1">
        <f t="array" ref="G2327">SUMPRODUCT(("CT_CWODETH"=[1]OUT_SyntheticFuels!$C$4:$C$1000)*1,("var_ncap"=[1]OUT_SyntheticFuels!$B$4:$B$1000)*1,[1]OUT_SyntheticFuels!F$4:F$1000)</f>
        <v>9.8684992321100103E-6</v>
      </c>
      <c r="H2327" s="7" cm="1">
        <f t="array" ref="H2327">SUMPRODUCT(("CT_CWODETH"=[1]OUT_SyntheticFuels!$C$4:$C$1000)*1,("var_ncap"=[1]OUT_SyntheticFuels!$B$4:$B$1000)*1,[1]OUT_SyntheticFuels!G$4:G$1000)</f>
        <v>3.5562804649126702E-3</v>
      </c>
      <c r="I2327" s="7" cm="1">
        <f t="array" ref="I2327">SUMPRODUCT(("CT_CWODETH"=[1]OUT_SyntheticFuels!$C$4:$C$1000)*1,("var_ncap"=[1]OUT_SyntheticFuels!$B$4:$B$1000)*1,[1]OUT_SyntheticFuels!H$4:H$1000)</f>
        <v>1.5126942843208599E-2</v>
      </c>
      <c r="J2327" s="7" cm="1">
        <f t="array" ref="J2327">SUMPRODUCT(("CT_CWODETH"=[2]OUT_SyntheticFuels!$C$4:$C$1000)*1,("var_ncap"=[2]OUT_SyntheticFuels!$B$4:$B$1000)*1,[2]OUT_SyntheticFuels!I$4:I$1000)</f>
        <v>2.4662369748026698E-7</v>
      </c>
      <c r="K2327" s="7" cm="1">
        <f t="array" ref="K2327">SUMPRODUCT(("CT_CWODETH"=[2]OUT_SyntheticFuels!$C$4:$C$1000)*1,("var_ncap"=[2]OUT_SyntheticFuels!$B$4:$B$1000)*1,[2]OUT_SyntheticFuels!J$4:J$1000)</f>
        <v>4.40056253579931E-7</v>
      </c>
      <c r="L2327" s="7" cm="1">
        <f t="array" ref="L2327">SUMPRODUCT(("CT_CWODETH"=[2]OUT_SyntheticFuels!$C$4:$C$1000)*1,("var_ncap"=[2]OUT_SyntheticFuels!$B$4:$B$1000)*1,[2]OUT_SyntheticFuels!K$4:K$1000)</f>
        <v>1.46760351041868E-5</v>
      </c>
      <c r="N2327" s="1"/>
    </row>
    <row r="2328" spans="2:14" x14ac:dyDescent="0.35">
      <c r="B2328" s="5" t="str">
        <f t="shared" si="2183"/>
        <v>SPS1</v>
      </c>
      <c r="C2328" s="5" t="str">
        <f t="shared" si="2184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SUMPRODUCT(("CT_CWODETHCCS"=[2]OUT_SyntheticFuels!$C$4:$C$1000)*1,("var_ncap"=[2]OUT_SyntheticFuels!$B$4:$B$1000)*1,[2]OUT_SyntheticFuels!I$4:I$1000)</f>
        <v>0</v>
      </c>
      <c r="K2328" s="7" cm="1">
        <f t="array" ref="K2328">SUMPRODUCT(("CT_CWODETHCCS"=[2]OUT_SyntheticFuels!$C$4:$C$1000)*1,("var_ncap"=[2]OUT_SyntheticFuels!$B$4:$B$1000)*1,[2]OUT_SyntheticFuels!J$4:J$1000)</f>
        <v>0</v>
      </c>
      <c r="L2328" s="7" cm="1">
        <f t="array" ref="L2328">SUMPRODUCT(("CT_CWODETHCCS"=[2]OUT_SyntheticFuels!$C$4:$C$1000)*1,("var_ncap"=[2]OUT_SyntheticFuels!$B$4:$B$1000)*1,[2]OUT_SyntheticFuels!K$4:K$1000)</f>
        <v>0</v>
      </c>
      <c r="N2328" s="1"/>
    </row>
    <row r="2329" spans="2:14" x14ac:dyDescent="0.35">
      <c r="B2329" s="5" t="str">
        <f t="shared" si="2183"/>
        <v>SPS1</v>
      </c>
      <c r="C2329" s="5" t="str">
        <f t="shared" si="2184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6.8337729709203501E-2</v>
      </c>
      <c r="G2329" s="7" cm="1">
        <f t="array" ref="G2329">SUMPRODUCT(("SUP_MNRBIO"=[1]OUT_SyntheticFuels!$C$4:$C$1000)*1,("var_ncap"=[1]OUT_SyntheticFuels!$B$4:$B$1000)*1,[1]OUT_SyntheticFuels!F$4:F$1000)</f>
        <v>9.4216443464120697E-2</v>
      </c>
      <c r="H2329" s="7" cm="1">
        <f t="array" ref="H2329">SUMPRODUCT(("SUP_MNRBIO"=[1]OUT_SyntheticFuels!$C$4:$C$1000)*1,("var_ncap"=[1]OUT_SyntheticFuels!$B$4:$B$1000)*1,[1]OUT_SyntheticFuels!G$4:G$1000)</f>
        <v>3.9088497292194297E-5</v>
      </c>
      <c r="I2329" s="7" cm="1">
        <f t="array" ref="I2329">SUMPRODUCT(("SUP_MNRBIO"=[1]OUT_SyntheticFuels!$C$4:$C$1000)*1,("var_ncap"=[1]OUT_SyntheticFuels!$B$4:$B$1000)*1,[1]OUT_SyntheticFuels!H$4:H$1000)</f>
        <v>3.8923052237943097E-5</v>
      </c>
      <c r="J2329" s="7" cm="1">
        <f t="array" ref="J2329">SUMPRODUCT(("SUP_MNRBIO"=[2]OUT_SyntheticFuels!$C$4:$C$1000)*1,("var_ncap"=[2]OUT_SyntheticFuels!$B$4:$B$1000)*1,[2]OUT_SyntheticFuels!I$4:I$1000)</f>
        <v>3.7497021029981001E-6</v>
      </c>
      <c r="K2329" s="7" cm="1">
        <f t="array" ref="K2329">SUMPRODUCT(("SUP_MNRBIO"=[2]OUT_SyntheticFuels!$C$4:$C$1000)*1,("var_ncap"=[2]OUT_SyntheticFuels!$B$4:$B$1000)*1,[2]OUT_SyntheticFuels!J$4:J$1000)</f>
        <v>0.113649906431273</v>
      </c>
      <c r="L2329" s="7" cm="1">
        <f t="array" ref="L2329">SUMPRODUCT(("SUP_MNRBIO"=[2]OUT_SyntheticFuels!$C$4:$C$1000)*1,("var_ncap"=[2]OUT_SyntheticFuels!$B$4:$B$1000)*1,[2]OUT_SyntheticFuels!K$4:K$1000)</f>
        <v>7.5839571685806295E-2</v>
      </c>
      <c r="N2329" s="1"/>
    </row>
    <row r="2330" spans="2:14" x14ac:dyDescent="0.35">
      <c r="B2330" s="5" t="str">
        <f t="shared" si="2183"/>
        <v>SPS1</v>
      </c>
      <c r="C2330" s="5" t="str">
        <f t="shared" si="2184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4.2345694322355604E-3</v>
      </c>
      <c r="G2330" s="7" cm="1">
        <f t="array" ref="G2330">SUMPRODUCT(("SUP_WSTBIO"=[1]OUT_SyntheticFuels!$C$4:$C$1000)*1,("var_ncap"=[1]OUT_SyntheticFuels!$B$4:$B$1000)*1,[1]OUT_SyntheticFuels!F$4:F$1000)</f>
        <v>2.8718115930272198E-2</v>
      </c>
      <c r="H2330" s="7" cm="1">
        <f t="array" ref="H2330">SUMPRODUCT(("SUP_WSTBIO"=[1]OUT_SyntheticFuels!$C$4:$C$1000)*1,("var_ncap"=[1]OUT_SyntheticFuels!$B$4:$B$1000)*1,[1]OUT_SyntheticFuels!G$4:G$1000)</f>
        <v>1.7068234364491501E-5</v>
      </c>
      <c r="I2330" s="7" cm="1">
        <f t="array" ref="I2330">SUMPRODUCT(("SUP_WSTBIO"=[1]OUT_SyntheticFuels!$C$4:$C$1000)*1,("var_ncap"=[1]OUT_SyntheticFuels!$B$4:$B$1000)*1,[1]OUT_SyntheticFuels!H$4:H$1000)</f>
        <v>9.3584151915205499E-2</v>
      </c>
      <c r="J2330" s="7" cm="1">
        <f t="array" ref="J2330">SUMPRODUCT(("SUP_WSTBIO"=[2]OUT_SyntheticFuels!$C$4:$C$1000)*1,("var_ncap"=[2]OUT_SyntheticFuels!$B$4:$B$1000)*1,[2]OUT_SyntheticFuels!I$4:I$1000)</f>
        <v>0.145149061196964</v>
      </c>
      <c r="K2330" s="7" cm="1">
        <f t="array" ref="K2330">SUMPRODUCT(("SUP_WSTBIO"=[2]OUT_SyntheticFuels!$C$4:$C$1000)*1,("var_ncap"=[2]OUT_SyntheticFuels!$B$4:$B$1000)*1,[2]OUT_SyntheticFuels!J$4:J$1000)</f>
        <v>6.01367309992299E-2</v>
      </c>
      <c r="L2330" s="7" cm="1">
        <f t="array" ref="L2330">SUMPRODUCT(("SUP_WSTBIO"=[2]OUT_SyntheticFuels!$C$4:$C$1000)*1,("var_ncap"=[2]OUT_SyntheticFuels!$B$4:$B$1000)*1,[2]OUT_SyntheticFuels!K$4:K$1000)</f>
        <v>0.17047878567642</v>
      </c>
      <c r="N2330" s="1"/>
    </row>
    <row r="2331" spans="2:14" x14ac:dyDescent="0.35">
      <c r="B2331" s="5" t="str">
        <f t="shared" si="2183"/>
        <v>SPS1</v>
      </c>
      <c r="C2331" s="5" t="str">
        <f t="shared" si="2184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SUMPRODUCT(("SUP_WSTBIOCCS"=[2]OUT_SyntheticFuels!$C$4:$C$1000)*1,("var_ncap"=[2]OUT_SyntheticFuels!$B$4:$B$1000)*1,[2]OUT_SyntheticFuels!I$4:I$1000)</f>
        <v>0</v>
      </c>
      <c r="K2331" s="7" cm="1">
        <f t="array" ref="K2331">SUMPRODUCT(("SUP_WSTBIOCCS"=[2]OUT_SyntheticFuels!$C$4:$C$1000)*1,("var_ncap"=[2]OUT_SyntheticFuels!$B$4:$B$1000)*1,[2]OUT_SyntheticFuels!J$4:J$1000)</f>
        <v>0</v>
      </c>
      <c r="L2331" s="7" cm="1">
        <f t="array" ref="L2331">SUMPRODUCT(("SUP_WSTBIOCCS"=[2]OUT_SyntheticFuels!$C$4:$C$1000)*1,("var_ncap"=[2]OUT_SyntheticFuels!$B$4:$B$1000)*1,[2]OUT_SyntheticFuels!K$4:K$1000)</f>
        <v>0</v>
      </c>
      <c r="N2331" s="1"/>
    </row>
    <row r="2332" spans="2:14" x14ac:dyDescent="0.35">
      <c r="B2332" s="5" t="str">
        <f t="shared" si="2183"/>
        <v>SPS1</v>
      </c>
      <c r="C2332" s="5" t="str">
        <f t="shared" si="2184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SUMPRODUCT(("SUP_WSTHTGBIO"=[2]OUT_SyntheticFuels!$C$4:$C$1000)*1,("var_ncap"=[2]OUT_SyntheticFuels!$B$4:$B$1000)*1,[2]OUT_SyntheticFuels!I$4:I$1000)</f>
        <v>0</v>
      </c>
      <c r="K2332" s="7" cm="1">
        <f t="array" ref="K2332">SUMPRODUCT(("SUP_WSTHTGBIO"=[2]OUT_SyntheticFuels!$C$4:$C$1000)*1,("var_ncap"=[2]OUT_SyntheticFuels!$B$4:$B$1000)*1,[2]OUT_SyntheticFuels!J$4:J$1000)</f>
        <v>3.73176286755829E-3</v>
      </c>
      <c r="L2332" s="7" cm="1">
        <f t="array" ref="L2332">SUMPRODUCT(("SUP_WSTHTGBIO"=[2]OUT_SyntheticFuels!$C$4:$C$1000)*1,("var_ncap"=[2]OUT_SyntheticFuels!$B$4:$B$1000)*1,[2]OUT_SyntheticFuels!K$4:K$1000)</f>
        <v>6.3688976198217405E-4</v>
      </c>
      <c r="N2332" s="1"/>
    </row>
    <row r="2333" spans="2:14" x14ac:dyDescent="0.35">
      <c r="B2333" s="5" t="str">
        <f t="shared" si="2183"/>
        <v>SPS1</v>
      </c>
      <c r="C2333" s="5" t="str">
        <f t="shared" si="2184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SUMPRODUCT(("SUP_WSTHTGBIOCCS"=[2]OUT_SyntheticFuels!$C$4:$C$1000)*1,("var_ncap"=[2]OUT_SyntheticFuels!$B$4:$B$1000)*1,[2]OUT_SyntheticFuels!I$4:I$1000)</f>
        <v>0</v>
      </c>
      <c r="K2333" s="7" cm="1">
        <f t="array" ref="K2333">SUMPRODUCT(("SUP_WSTHTGBIOCCS"=[2]OUT_SyntheticFuels!$C$4:$C$1000)*1,("var_ncap"=[2]OUT_SyntheticFuels!$B$4:$B$1000)*1,[2]OUT_SyntheticFuels!J$4:J$1000)</f>
        <v>0</v>
      </c>
      <c r="L2333" s="7" cm="1">
        <f t="array" ref="L2333">SUMPRODUCT(("SUP_WSTHTGBIOCCS"=[2]OUT_SyntheticFuels!$C$4:$C$1000)*1,("var_ncap"=[2]OUT_SyntheticFuels!$B$4:$B$1000)*1,[2]OUT_SyntheticFuels!K$4:K$1000)</f>
        <v>0</v>
      </c>
      <c r="N2333" s="1"/>
    </row>
    <row r="2334" spans="2:14" x14ac:dyDescent="0.35">
      <c r="B2334" s="5" t="str">
        <f t="shared" si="2183"/>
        <v>SPS1</v>
      </c>
      <c r="C2334" s="5" t="str">
        <f t="shared" si="2184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1.6210554757487498E-5</v>
      </c>
      <c r="G2334" s="7" cm="1">
        <f t="array" ref="G2334">SUMPRODUCT(("SUP_WODBIO"=[1]OUT_SyntheticFuels!$C$4:$C$1000)*1,("var_ncap"=[1]OUT_SyntheticFuels!$B$4:$B$1000)*1,[1]OUT_SyntheticFuels!F$4:F$1000)</f>
        <v>6.2400521432721696E-4</v>
      </c>
      <c r="H2334" s="7" cm="1">
        <f t="array" ref="H2334">SUMPRODUCT(("SUP_WODBIO"=[1]OUT_SyntheticFuels!$C$4:$C$1000)*1,("var_ncap"=[1]OUT_SyntheticFuels!$B$4:$B$1000)*1,[1]OUT_SyntheticFuels!G$4:G$1000)</f>
        <v>2.9688482860222198E-5</v>
      </c>
      <c r="I2334" s="7" cm="1">
        <f t="array" ref="I2334">SUMPRODUCT(("SUP_WODBIO"=[1]OUT_SyntheticFuels!$C$4:$C$1000)*1,("var_ncap"=[1]OUT_SyntheticFuels!$B$4:$B$1000)*1,[1]OUT_SyntheticFuels!H$4:H$1000)</f>
        <v>1.06869260853491E-5</v>
      </c>
      <c r="J2334" s="7" cm="1">
        <f t="array" ref="J2334">SUMPRODUCT(("SUP_WODBIO"=[2]OUT_SyntheticFuels!$C$4:$C$1000)*1,("var_ncap"=[2]OUT_SyntheticFuels!$B$4:$B$1000)*1,[2]OUT_SyntheticFuels!I$4:I$1000)</f>
        <v>8.7519600737498297E-6</v>
      </c>
      <c r="K2334" s="7" cm="1">
        <f t="array" ref="K2334">SUMPRODUCT(("SUP_WODBIO"=[2]OUT_SyntheticFuels!$C$4:$C$1000)*1,("var_ncap"=[2]OUT_SyntheticFuels!$B$4:$B$1000)*1,[2]OUT_SyntheticFuels!J$4:J$1000)</f>
        <v>3.3539792686367397E-5</v>
      </c>
      <c r="L2334" s="7" cm="1">
        <f t="array" ref="L2334">SUMPRODUCT(("SUP_WODBIO"=[2]OUT_SyntheticFuels!$C$4:$C$1000)*1,("var_ncap"=[2]OUT_SyntheticFuels!$B$4:$B$1000)*1,[2]OUT_SyntheticFuels!K$4:K$1000)</f>
        <v>8.2277046241019496E-6</v>
      </c>
      <c r="N2334" s="1"/>
    </row>
    <row r="2335" spans="2:14" x14ac:dyDescent="0.35">
      <c r="B2335" s="5" t="str">
        <f t="shared" si="2183"/>
        <v>SPS1</v>
      </c>
      <c r="C2335" s="5" t="str">
        <f t="shared" si="2184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SUMPRODUCT(("SUP_WODBIOCCS"=[2]OUT_SyntheticFuels!$C$4:$C$1000)*1,("var_ncap"=[2]OUT_SyntheticFuels!$B$4:$B$1000)*1,[2]OUT_SyntheticFuels!I$4:I$1000)</f>
        <v>0</v>
      </c>
      <c r="K2335" s="7" cm="1">
        <f t="array" ref="K2335">SUMPRODUCT(("SUP_WODBIOCCS"=[2]OUT_SyntheticFuels!$C$4:$C$1000)*1,("var_ncap"=[2]OUT_SyntheticFuels!$B$4:$B$1000)*1,[2]OUT_SyntheticFuels!J$4:J$1000)</f>
        <v>0</v>
      </c>
      <c r="L2335" s="7" cm="1">
        <f t="array" ref="L2335">SUMPRODUCT(("SUP_WODBIOCCS"=[2]OUT_SyntheticFuels!$C$4:$C$1000)*1,("var_ncap"=[2]OUT_SyntheticFuels!$B$4:$B$1000)*1,[2]OUT_SyntheticFuels!K$4:K$1000)</f>
        <v>0</v>
      </c>
      <c r="N2335" s="1"/>
    </row>
    <row r="2336" spans="2:14" x14ac:dyDescent="0.35">
      <c r="B2336" s="5" t="str">
        <f t="shared" si="2183"/>
        <v>SPS1</v>
      </c>
      <c r="C2336" s="5" t="str">
        <f t="shared" si="2184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1.55135122727915E-2</v>
      </c>
      <c r="G2336" s="7" cm="1">
        <f t="array" ref="G2336">SUMPRODUCT(("SUP_BIONGA"=[1]OUT_SyntheticFuels!$C$4:$C$1000)*1,("var_ncap"=[1]OUT_SyntheticFuels!$B$4:$B$1000)*1,[1]OUT_SyntheticFuels!F$4:F$1000)</f>
        <v>9.2654934134051806E-2</v>
      </c>
      <c r="H2336" s="7" cm="1">
        <f t="array" ref="H2336">SUMPRODUCT(("SUP_BIONGA"=[1]OUT_SyntheticFuels!$C$4:$C$1000)*1,("var_ncap"=[1]OUT_SyntheticFuels!$B$4:$B$1000)*1,[1]OUT_SyntheticFuels!G$4:G$1000)</f>
        <v>1.7814719694600799E-5</v>
      </c>
      <c r="I2336" s="7" cm="1">
        <f t="array" ref="I2336">SUMPRODUCT(("SUP_BIONGA"=[1]OUT_SyntheticFuels!$C$4:$C$1000)*1,("var_ncap"=[1]OUT_SyntheticFuels!$B$4:$B$1000)*1,[1]OUT_SyntheticFuels!H$4:H$1000)</f>
        <v>1.92791468681406E-3</v>
      </c>
      <c r="J2336" s="7" cm="1">
        <f t="array" ref="J2336">SUMPRODUCT(("SUP_BIONGA"=[2]OUT_SyntheticFuels!$C$4:$C$1000)*1,("var_ncap"=[2]OUT_SyntheticFuels!$B$4:$B$1000)*1,[2]OUT_SyntheticFuels!I$4:I$1000)</f>
        <v>1.8678376042252299E-2</v>
      </c>
      <c r="K2336" s="7" cm="1">
        <f t="array" ref="K2336">SUMPRODUCT(("SUP_BIONGA"=[2]OUT_SyntheticFuels!$C$4:$C$1000)*1,("var_ncap"=[2]OUT_SyntheticFuels!$B$4:$B$1000)*1,[2]OUT_SyntheticFuels!J$4:J$1000)</f>
        <v>0.108431552931135</v>
      </c>
      <c r="L2336" s="7" cm="1">
        <f t="array" ref="L2336">SUMPRODUCT(("SUP_BIONGA"=[2]OUT_SyntheticFuels!$C$4:$C$1000)*1,("var_ncap"=[2]OUT_SyntheticFuels!$B$4:$B$1000)*1,[2]OUT_SyntheticFuels!K$4:K$1000)</f>
        <v>0.105615016748335</v>
      </c>
      <c r="N2336" s="1"/>
    </row>
    <row r="2337" spans="2:14" x14ac:dyDescent="0.35">
      <c r="B2337" s="5" t="str">
        <f t="shared" si="2183"/>
        <v>SPS1</v>
      </c>
      <c r="C2337" s="5" t="str">
        <f t="shared" si="2184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0.164056371354176</v>
      </c>
      <c r="G2337" s="7" cm="1">
        <f t="array" ref="G2337">SUMPRODUCT(("CT_CWODPLT"=[1]OUT_SyntheticFuels!$C$4:$C$1000)*1,("var_ncap"=[1]OUT_SyntheticFuels!$B$4:$B$1000)*1,[1]OUT_SyntheticFuels!F$4:F$1000)</f>
        <v>4.1231146890597301E-2</v>
      </c>
      <c r="H2337" s="7" cm="1">
        <f t="array" ref="H2337">SUMPRODUCT(("CT_CWODPLT"=[1]OUT_SyntheticFuels!$C$4:$C$1000)*1,("var_ncap"=[1]OUT_SyntheticFuels!$B$4:$B$1000)*1,[1]OUT_SyntheticFuels!G$4:G$1000)</f>
        <v>2.6291447664021801E-5</v>
      </c>
      <c r="I2337" s="7" cm="1">
        <f t="array" ref="I2337">SUMPRODUCT(("CT_CWODPLT"=[1]OUT_SyntheticFuels!$C$4:$C$1000)*1,("var_ncap"=[1]OUT_SyntheticFuels!$B$4:$B$1000)*1,[1]OUT_SyntheticFuels!H$4:H$1000)</f>
        <v>2.9887101404790401E-5</v>
      </c>
      <c r="J2337" s="7" cm="1">
        <f t="array" ref="J2337">SUMPRODUCT(("CT_CWODPLT"=[2]OUT_SyntheticFuels!$C$4:$C$1000)*1,("var_ncap"=[2]OUT_SyntheticFuels!$B$4:$B$1000)*1,[2]OUT_SyntheticFuels!I$4:I$1000)</f>
        <v>3.8744936335743603E-6</v>
      </c>
      <c r="K2337" s="7" cm="1">
        <f t="array" ref="K2337">SUMPRODUCT(("CT_CWODPLT"=[2]OUT_SyntheticFuels!$C$4:$C$1000)*1,("var_ncap"=[2]OUT_SyntheticFuels!$B$4:$B$1000)*1,[2]OUT_SyntheticFuels!J$4:J$1000)</f>
        <v>8.3777109367537697E-2</v>
      </c>
      <c r="L2337" s="7" cm="1">
        <f t="array" ref="L2337">SUMPRODUCT(("CT_CWODPLT"=[2]OUT_SyntheticFuels!$C$4:$C$1000)*1,("var_ncap"=[2]OUT_SyntheticFuels!$B$4:$B$1000)*1,[2]OUT_SyntheticFuels!K$4:K$1000)</f>
        <v>4.3765409518704002E-2</v>
      </c>
      <c r="N2337" s="1"/>
    </row>
    <row r="2338" spans="2:14" x14ac:dyDescent="0.35">
      <c r="B2338" s="5" t="str">
        <f t="shared" si="2183"/>
        <v>SPS1</v>
      </c>
      <c r="C2338" s="5" t="str">
        <f t="shared" si="2184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1.4756301969204599E-5</v>
      </c>
      <c r="J2338" s="7" cm="1">
        <f t="array" ref="J2338">SUMPRODUCT(("SUP_H2NGA"=[2]OUT_SyntheticFuels!$C$4:$C$1000)*1,("var_ncap"=[2]OUT_SyntheticFuels!$B$4:$B$1000)*1,[2]OUT_SyntheticFuels!I$4:I$1000)</f>
        <v>1.65099349077456E-6</v>
      </c>
      <c r="K2338" s="7" cm="1">
        <f t="array" ref="K2338">SUMPRODUCT(("SUP_H2NGA"=[2]OUT_SyntheticFuels!$C$4:$C$1000)*1,("var_ncap"=[2]OUT_SyntheticFuels!$B$4:$B$1000)*1,[2]OUT_SyntheticFuels!J$4:J$1000)</f>
        <v>1.83458455601362</v>
      </c>
      <c r="L2338" s="7" cm="1">
        <f t="array" ref="L2338">SUMPRODUCT(("SUP_H2NGA"=[2]OUT_SyntheticFuels!$C$4:$C$1000)*1,("var_ncap"=[2]OUT_SyntheticFuels!$B$4:$B$1000)*1,[2]OUT_SyntheticFuels!K$4:K$1000)</f>
        <v>0.5452095646724</v>
      </c>
      <c r="N2338" s="1"/>
    </row>
    <row r="2339" spans="2:14" x14ac:dyDescent="0.35">
      <c r="B2339" s="5" t="str">
        <f t="shared" si="2183"/>
        <v>SPS1</v>
      </c>
      <c r="C2339" s="5" t="str">
        <f t="shared" si="2184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3.63733123604139E-5</v>
      </c>
      <c r="J2339" s="7" cm="1">
        <f t="array" ref="J2339">SUMPRODUCT(("SUP_H2DSL"=[2]OUT_SyntheticFuels!$C$4:$C$1000)*1,("var_ncap"=[2]OUT_SyntheticFuels!$B$4:$B$1000)*1,[2]OUT_SyntheticFuels!I$4:I$1000)</f>
        <v>2.4757449386334299E-6</v>
      </c>
      <c r="K2339" s="7" cm="1">
        <f t="array" ref="K2339">SUMPRODUCT(("SUP_H2DSL"=[2]OUT_SyntheticFuels!$C$4:$C$1000)*1,("var_ncap"=[2]OUT_SyntheticFuels!$B$4:$B$1000)*1,[2]OUT_SyntheticFuels!J$4:J$1000)</f>
        <v>9.49458271033113E-2</v>
      </c>
      <c r="L2339" s="7" cm="1">
        <f t="array" ref="L2339">SUMPRODUCT(("SUP_H2DSL"=[2]OUT_SyntheticFuels!$C$4:$C$1000)*1,("var_ncap"=[2]OUT_SyntheticFuels!$B$4:$B$1000)*1,[2]OUT_SyntheticFuels!K$4:K$1000)</f>
        <v>6.4254718428418997E-2</v>
      </c>
      <c r="N2339" s="1"/>
    </row>
    <row r="2340" spans="2:14" x14ac:dyDescent="0.35">
      <c r="B2340" s="5" t="str">
        <f t="shared" si="2183"/>
        <v>SPS1</v>
      </c>
      <c r="C2340" s="5" t="str">
        <f t="shared" si="2184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4.2022697970547602E-5</v>
      </c>
      <c r="J2340" s="7" cm="1">
        <f t="array" ref="J2340">SUMPRODUCT(("SUP_H2GSL"=[2]OUT_SyntheticFuels!$C$4:$C$1000)*1,("var_ncap"=[2]OUT_SyntheticFuels!$B$4:$B$1000)*1,[2]OUT_SyntheticFuels!I$4:I$1000)</f>
        <v>4.6937016038383801E-6</v>
      </c>
      <c r="K2340" s="7" cm="1">
        <f t="array" ref="K2340">SUMPRODUCT(("SUP_H2GSL"=[2]OUT_SyntheticFuels!$C$4:$C$1000)*1,("var_ncap"=[2]OUT_SyntheticFuels!$B$4:$B$1000)*1,[2]OUT_SyntheticFuels!J$4:J$1000)</f>
        <v>0.124307905991099</v>
      </c>
      <c r="L2340" s="7" cm="1">
        <f t="array" ref="L2340">SUMPRODUCT(("SUP_H2GSL"=[2]OUT_SyntheticFuels!$C$4:$C$1000)*1,("var_ncap"=[2]OUT_SyntheticFuels!$B$4:$B$1000)*1,[2]OUT_SyntheticFuels!K$4:K$1000)</f>
        <v>3.7310250259630701E-7</v>
      </c>
      <c r="N2340" s="1"/>
    </row>
  </sheetData>
  <autoFilter ref="A1:K2232" xr:uid="{15C46DEA-5C06-F647-8B36-DFFD23D6C197}"/>
  <sortState xmlns:xlrd2="http://schemas.microsoft.com/office/spreadsheetml/2017/richdata2" ref="D1574:D1576">
    <sortCondition ref="D1574:D1576"/>
  </sortState>
  <phoneticPr fontId="3" type="noConversion"/>
  <conditionalFormatting sqref="F908:G908">
    <cfRule type="cellIs" dxfId="2" priority="3" operator="lessThan">
      <formula>0</formula>
    </cfRule>
  </conditionalFormatting>
  <conditionalFormatting sqref="F1158:K1158">
    <cfRule type="cellIs" dxfId="1" priority="5" operator="lessThan">
      <formula>0</formula>
    </cfRule>
  </conditionalFormatting>
  <conditionalFormatting sqref="H1:L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5" x14ac:dyDescent="0.35"/>
  <cols>
    <col min="2" max="2" width="36.58203125" bestFit="1" customWidth="1"/>
    <col min="3" max="3" width="9.4140625" bestFit="1" customWidth="1"/>
  </cols>
  <sheetData>
    <row r="2" spans="2:8" x14ac:dyDescent="0.3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35">
      <c r="B3" s="2" t="s">
        <v>1719</v>
      </c>
      <c r="C3" s="3">
        <f>SUM(C4:C7)</f>
        <v>717.2675910987108</v>
      </c>
      <c r="D3" s="3">
        <f t="shared" ref="D3:H3" si="0">SUM(D4:D7)</f>
        <v>704.05237718568969</v>
      </c>
      <c r="E3" s="3">
        <f t="shared" si="0"/>
        <v>688.6842960626102</v>
      </c>
      <c r="F3" s="3">
        <f t="shared" si="0"/>
        <v>612.7545775380629</v>
      </c>
      <c r="G3" s="3">
        <f t="shared" si="0"/>
        <v>564.98957139556626</v>
      </c>
      <c r="H3" s="3">
        <f t="shared" si="0"/>
        <v>528.86622294213964</v>
      </c>
    </row>
    <row r="4" spans="2:8" x14ac:dyDescent="0.35">
      <c r="B4" s="25" t="s">
        <v>1727</v>
      </c>
      <c r="C4" s="1">
        <f>SPS2_NUC_Low!F763</f>
        <v>142.22068285386743</v>
      </c>
      <c r="D4" s="1">
        <f>SPS2_NUC_Low!G763</f>
        <v>142.43487060158498</v>
      </c>
      <c r="E4" s="1">
        <f>SPS2_NUC_Low!H763</f>
        <v>147.51305415580941</v>
      </c>
      <c r="F4" s="1">
        <f>SPS2_NUC_Low!I763</f>
        <v>148.41977227486933</v>
      </c>
      <c r="G4" s="1">
        <f>SPS2_NUC_Low!J763</f>
        <v>150.21937563077697</v>
      </c>
      <c r="H4" s="1">
        <f>SPS2_NUC_Low!K763</f>
        <v>145.04924512535564</v>
      </c>
    </row>
    <row r="5" spans="2:8" x14ac:dyDescent="0.35">
      <c r="B5" s="25" t="s">
        <v>1728</v>
      </c>
      <c r="C5" s="1">
        <f>SPS2_NUC_Low!F882</f>
        <v>140.10259811175644</v>
      </c>
      <c r="D5" s="1">
        <f>SPS2_NUC_Low!G882</f>
        <v>136.76646895044979</v>
      </c>
      <c r="E5" s="1">
        <f>SPS2_NUC_Low!H882</f>
        <v>132.76306201141824</v>
      </c>
      <c r="F5" s="1">
        <f>SPS2_NUC_Low!I882</f>
        <v>121.47084718927252</v>
      </c>
      <c r="G5" s="1">
        <f>SPS2_NUC_Low!J882</f>
        <v>115.16723124958439</v>
      </c>
      <c r="H5" s="1">
        <f>SPS2_NUC_Low!K882</f>
        <v>108.55453113660793</v>
      </c>
    </row>
    <row r="6" spans="2:8" x14ac:dyDescent="0.35">
      <c r="B6" s="25" t="s">
        <v>1729</v>
      </c>
      <c r="C6" s="1">
        <f>SPS2_NUC_Low!F972</f>
        <v>219.63038989360444</v>
      </c>
      <c r="D6" s="1">
        <f>SPS2_NUC_Low!G972</f>
        <v>218.95224995715466</v>
      </c>
      <c r="E6" s="1">
        <f>SPS2_NUC_Low!H972</f>
        <v>219.68116153295054</v>
      </c>
      <c r="F6" s="1">
        <f>SPS2_NUC_Low!I972</f>
        <v>200.42837558919013</v>
      </c>
      <c r="G6" s="1">
        <f>SPS2_NUC_Low!J972</f>
        <v>190.67208449627424</v>
      </c>
      <c r="H6" s="1">
        <f>SPS2_NUC_Low!K972</f>
        <v>181.89066268049254</v>
      </c>
    </row>
    <row r="7" spans="2:8" x14ac:dyDescent="0.35">
      <c r="B7" s="25" t="s">
        <v>1730</v>
      </c>
      <c r="C7" s="1">
        <f>SPS2_NUC_Low!F1136+SPS2_NUC_Low!F1315+SPS2_NUC_Low!F1399+SPS2_NUC_Low!F1483+SPS2_NUC_Low!F1490+SPS2_NUC_Low!F1497+SPS2_NUC_Low!F1546+SPS2_NUC_Low!F1593+SPS2_NUC_Low!F1640</f>
        <v>215.31392023948246</v>
      </c>
      <c r="D7" s="1">
        <f>SPS2_NUC_Low!G1136+SPS2_NUC_Low!G1315+SPS2_NUC_Low!G1399+SPS2_NUC_Low!G1483+SPS2_NUC_Low!G1490+SPS2_NUC_Low!G1497+SPS2_NUC_Low!G1546+SPS2_NUC_Low!G1593+SPS2_NUC_Low!G1640</f>
        <v>205.89878767650029</v>
      </c>
      <c r="E7" s="1">
        <f>SPS2_NUC_Low!H1136+SPS2_NUC_Low!H1315+SPS2_NUC_Low!H1399+SPS2_NUC_Low!H1483+SPS2_NUC_Low!H1490+SPS2_NUC_Low!H1497+SPS2_NUC_Low!H1546+SPS2_NUC_Low!H1593+SPS2_NUC_Low!H1640</f>
        <v>188.72701836243198</v>
      </c>
      <c r="F7" s="1">
        <f>SPS2_NUC_Low!I1136+SPS2_NUC_Low!I1315+SPS2_NUC_Low!I1399+SPS2_NUC_Low!I1483+SPS2_NUC_Low!I1490+SPS2_NUC_Low!I1497+SPS2_NUC_Low!I1546+SPS2_NUC_Low!I1593+SPS2_NUC_Low!I1640</f>
        <v>142.43558248473093</v>
      </c>
      <c r="G7" s="1">
        <f>SPS2_NUC_Low!J1136+SPS2_NUC_Low!J1315+SPS2_NUC_Low!J1399+SPS2_NUC_Low!J1483+SPS2_NUC_Low!J1490+SPS2_NUC_Low!J1497+SPS2_NUC_Low!J1546+SPS2_NUC_Low!J1593+SPS2_NUC_Low!J1640</f>
        <v>108.93088001893068</v>
      </c>
      <c r="H7" s="1">
        <f>SPS2_NUC_Low!K1136+SPS2_NUC_Low!K1315+SPS2_NUC_Low!K1399+SPS2_NUC_Low!K1483+SPS2_NUC_Low!K1490+SPS2_NUC_Low!K1497+SPS2_NUC_Low!K1546+SPS2_NUC_Low!K1593+SPS2_NUC_Low!K1640</f>
        <v>93.371783999683501</v>
      </c>
    </row>
    <row r="8" spans="2:8" x14ac:dyDescent="0.35">
      <c r="B8" s="2" t="s">
        <v>1735</v>
      </c>
      <c r="C8" s="3">
        <f>SUM(C9:C12)</f>
        <v>515.11896904073433</v>
      </c>
      <c r="D8" s="3">
        <f t="shared" ref="D8:H8" si="1">SUM(D9:D12)</f>
        <v>504.6128741068365</v>
      </c>
      <c r="E8" s="3">
        <f t="shared" si="1"/>
        <v>515.96567653241584</v>
      </c>
      <c r="F8" s="3">
        <f t="shared" si="1"/>
        <v>576.5063256427934</v>
      </c>
      <c r="G8" s="3">
        <f t="shared" si="1"/>
        <v>531.12684236628047</v>
      </c>
      <c r="H8" s="3">
        <f t="shared" si="1"/>
        <v>644.5754436000235</v>
      </c>
    </row>
    <row r="9" spans="2:8" x14ac:dyDescent="0.35">
      <c r="B9" s="25" t="s">
        <v>1732</v>
      </c>
      <c r="C9" s="1">
        <f>SPS2_NUC_Low!F291+SPS2_NUC_Low!F409</f>
        <v>495.64127737409598</v>
      </c>
      <c r="D9" s="1">
        <f>SPS2_NUC_Low!G291+SPS2_NUC_Low!G409</f>
        <v>476.27630960831152</v>
      </c>
      <c r="E9" s="1">
        <f>SPS2_NUC_Low!H291+SPS2_NUC_Low!H409</f>
        <v>483.96899197505763</v>
      </c>
      <c r="F9" s="1">
        <f>SPS2_NUC_Low!I291+SPS2_NUC_Low!I409</f>
        <v>544.45136584650788</v>
      </c>
      <c r="G9" s="1">
        <f>SPS2_NUC_Low!J291+SPS2_NUC_Low!J409</f>
        <v>492.14416339865107</v>
      </c>
      <c r="H9" s="1">
        <f>SPS2_NUC_Low!K291+SPS2_NUC_Low!K409</f>
        <v>566.54806882970615</v>
      </c>
    </row>
    <row r="10" spans="2:8" x14ac:dyDescent="0.35">
      <c r="B10" s="25" t="s">
        <v>1733</v>
      </c>
      <c r="C10" s="1">
        <f>SPS2_NUC_Low!F590+SPS2_NUC_Low!F604+SPS2_NUC_Low!F644</f>
        <v>19.470356694638745</v>
      </c>
      <c r="D10" s="1">
        <f>SPS2_NUC_Low!G590+SPS2_NUC_Low!G604+SPS2_NUC_Low!G644</f>
        <v>28.307015976839406</v>
      </c>
      <c r="E10" s="1">
        <f>SPS2_NUC_Low!H590+SPS2_NUC_Low!H604+SPS2_NUC_Low!H644</f>
        <v>31.966590453546335</v>
      </c>
      <c r="F10" s="1">
        <f>SPS2_NUC_Low!I590+SPS2_NUC_Low!I604+SPS2_NUC_Low!I644</f>
        <v>31.916279769575141</v>
      </c>
      <c r="G10" s="1">
        <f>SPS2_NUC_Low!J590+SPS2_NUC_Low!J604+SPS2_NUC_Low!J644</f>
        <v>25.714825554885685</v>
      </c>
      <c r="H10" s="1">
        <f>SPS2_NUC_Low!K590+SPS2_NUC_Low!K604+SPS2_NUC_Low!K644</f>
        <v>29.282655271989171</v>
      </c>
    </row>
    <row r="11" spans="2:8" x14ac:dyDescent="0.35">
      <c r="B11" s="25" t="s">
        <v>1731</v>
      </c>
      <c r="C11" s="1">
        <f>SPS2_NUC_Low!F679</f>
        <v>7.3349719996056804E-3</v>
      </c>
      <c r="D11" s="1">
        <f>SPS2_NUC_Low!G679</f>
        <v>2.9548521685575584E-2</v>
      </c>
      <c r="E11" s="1">
        <f>SPS2_NUC_Low!H679</f>
        <v>3.0094103811861984E-2</v>
      </c>
      <c r="F11" s="1">
        <f>SPS2_NUC_Low!I679</f>
        <v>0.13868002671038823</v>
      </c>
      <c r="G11" s="1">
        <f>SPS2_NUC_Low!J679</f>
        <v>13.267853412743817</v>
      </c>
      <c r="H11" s="1">
        <f>SPS2_NUC_Low!K679</f>
        <v>48.7446931281875</v>
      </c>
    </row>
    <row r="12" spans="2:8" x14ac:dyDescent="0.35">
      <c r="B12" s="25" t="s">
        <v>1734</v>
      </c>
      <c r="C12" s="1">
        <f>SPS2_NUC_Low!F1707</f>
        <v>0</v>
      </c>
      <c r="D12" s="1">
        <f>SPS2_NUC_Low!G1707</f>
        <v>0</v>
      </c>
      <c r="E12" s="1">
        <f>SPS2_NUC_Low!H1707</f>
        <v>0</v>
      </c>
      <c r="F12" s="1">
        <f>SPS2_NUC_Low!I1707</f>
        <v>0</v>
      </c>
      <c r="G12" s="1">
        <f>SPS2_NUC_Low!J1707</f>
        <v>0</v>
      </c>
      <c r="H12" s="1">
        <f>SPS2_NUC_Low!K1707</f>
        <v>2.6370140778159373E-5</v>
      </c>
    </row>
    <row r="13" spans="2:8" x14ac:dyDescent="0.35">
      <c r="B13" s="2" t="s">
        <v>1736</v>
      </c>
      <c r="C13" s="3">
        <f>SPS2_NUC_Low!F2+SPS2_NUC_Low!F20-SPS2_NUC_Low!F57</f>
        <v>966.1586105473898</v>
      </c>
      <c r="D13" s="3">
        <f>SPS2_NUC_Low!G2+SPS2_NUC_Low!G20-SPS2_NUC_Low!G57</f>
        <v>964.34809762371572</v>
      </c>
      <c r="E13" s="3">
        <f>SPS2_NUC_Low!H2+SPS2_NUC_Low!H20-SPS2_NUC_Low!H57</f>
        <v>916.44483351942233</v>
      </c>
      <c r="F13" s="3">
        <f>SPS2_NUC_Low!I2+SPS2_NUC_Low!I20-SPS2_NUC_Low!I57</f>
        <v>892.21411499393776</v>
      </c>
      <c r="G13" s="3">
        <f>SPS2_NUC_Low!J2+SPS2_NUC_Low!J20-SPS2_NUC_Low!J57</f>
        <v>786.50638153375621</v>
      </c>
      <c r="H13" s="3">
        <f>SPS2_NUC_Low!K2+SPS2_NUC_Low!K20-SPS2_NUC_Low!K57</f>
        <v>779.93774531562019</v>
      </c>
    </row>
    <row r="14" spans="2:8" x14ac:dyDescent="0.35">
      <c r="B14" s="25" t="s">
        <v>1737</v>
      </c>
      <c r="C14" s="1">
        <f>SPS2_NUC_Low!F2</f>
        <v>301.55156848449508</v>
      </c>
      <c r="D14" s="1">
        <f>SPS2_NUC_Low!G2</f>
        <v>298.76897526775628</v>
      </c>
      <c r="E14" s="1">
        <f>SPS2_NUC_Low!H2</f>
        <v>338.20472514871244</v>
      </c>
      <c r="F14" s="1">
        <f>SPS2_NUC_Low!I2</f>
        <v>444.85985993495387</v>
      </c>
      <c r="G14" s="1">
        <f>SPS2_NUC_Low!J2</f>
        <v>418.46769736924313</v>
      </c>
      <c r="H14" s="1">
        <f>SPS2_NUC_Low!K2</f>
        <v>509.37796111783268</v>
      </c>
    </row>
    <row r="15" spans="2:8" x14ac:dyDescent="0.35">
      <c r="B15" s="25" t="s">
        <v>19</v>
      </c>
      <c r="C15" s="1">
        <f>SPS2_NUC_Low!F20</f>
        <v>781.77729874866941</v>
      </c>
      <c r="D15" s="1">
        <f>SPS2_NUC_Low!G20</f>
        <v>700.48164129084591</v>
      </c>
      <c r="E15" s="1">
        <f>SPS2_NUC_Low!H20</f>
        <v>650.19265407962757</v>
      </c>
      <c r="F15" s="1">
        <f>SPS2_NUC_Low!I20</f>
        <v>500.05516870101371</v>
      </c>
      <c r="G15" s="1">
        <f>SPS2_NUC_Low!J20</f>
        <v>404.63869680962364</v>
      </c>
      <c r="H15" s="1">
        <f>SPS2_NUC_Low!K20</f>
        <v>297.53567265294998</v>
      </c>
    </row>
    <row r="16" spans="2:8" x14ac:dyDescent="0.35">
      <c r="B16" s="25" t="s">
        <v>24</v>
      </c>
      <c r="C16" s="1">
        <f>SPS2_NUC_Low!F57</f>
        <v>117.17025668577485</v>
      </c>
      <c r="D16" s="1">
        <f>SPS2_NUC_Low!G57</f>
        <v>34.90251893488643</v>
      </c>
      <c r="E16" s="1">
        <f>SPS2_NUC_Low!H57</f>
        <v>71.952545708917654</v>
      </c>
      <c r="F16" s="1">
        <f>SPS2_NUC_Low!I57</f>
        <v>52.700913642029796</v>
      </c>
      <c r="G16" s="1">
        <f>SPS2_NUC_Low!J57</f>
        <v>36.600012645110617</v>
      </c>
      <c r="H16" s="1">
        <f>SPS2_NUC_Low!K57</f>
        <v>26.975888455162465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3C8C03ABD37349B85E16C79D0BC86D" ma:contentTypeVersion="15" ma:contentTypeDescription="Ein neues Dokument erstellen." ma:contentTypeScope="" ma:versionID="47a4ffe1049e84a5ad4e51147e82b5c7">
  <xsd:schema xmlns:xsd="http://www.w3.org/2001/XMLSchema" xmlns:xs="http://www.w3.org/2001/XMLSchema" xmlns:p="http://schemas.microsoft.com/office/2006/metadata/properties" xmlns:ns2="e295f8eb-68fd-485a-b496-2dea93c33955" xmlns:ns3="87741f5d-aecd-4848-a292-3dd6d2ed684b" targetNamespace="http://schemas.microsoft.com/office/2006/metadata/properties" ma:root="true" ma:fieldsID="3c111b7ba98eddcb4a70470de68e349c" ns2:_="" ns3:_="">
    <xsd:import namespace="e295f8eb-68fd-485a-b496-2dea93c33955"/>
    <xsd:import namespace="87741f5d-aecd-4848-a292-3dd6d2ed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5f8eb-68fd-485a-b496-2dea93c3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5e74db9c-dc52-4677-9c7e-908c2cd61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1f5d-aecd-4848-a292-3dd6d2ed68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5f5e8e-ac30-471d-9cc1-863a960338b4}" ma:internalName="TaxCatchAll" ma:showField="CatchAllData" ma:web="87741f5d-aecd-4848-a292-3dd6d2ed6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5f8eb-68fd-485a-b496-2dea93c33955">
      <Terms xmlns="http://schemas.microsoft.com/office/infopath/2007/PartnerControls"/>
    </lcf76f155ced4ddcb4097134ff3c332f>
    <TaxCatchAll xmlns="87741f5d-aecd-4848-a292-3dd6d2ed684b" xsi:nil="true"/>
  </documentManagement>
</p:properties>
</file>

<file path=customXml/itemProps1.xml><?xml version="1.0" encoding="utf-8"?>
<ds:datastoreItem xmlns:ds="http://schemas.openxmlformats.org/officeDocument/2006/customXml" ds:itemID="{342C741B-273A-4BDC-85E6-EF0516C168D7}"/>
</file>

<file path=customXml/itemProps2.xml><?xml version="1.0" encoding="utf-8"?>
<ds:datastoreItem xmlns:ds="http://schemas.openxmlformats.org/officeDocument/2006/customXml" ds:itemID="{A17AE84C-A2C8-4082-9557-0C029A476E87}"/>
</file>

<file path=customXml/itemProps3.xml><?xml version="1.0" encoding="utf-8"?>
<ds:datastoreItem xmlns:ds="http://schemas.openxmlformats.org/officeDocument/2006/customXml" ds:itemID="{8944BF35-A06B-404D-9E36-39A65EAAAE1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SPS2_NUC_Low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Panos, Evangelos</cp:lastModifiedBy>
  <dcterms:created xsi:type="dcterms:W3CDTF">2023-01-16T15:31:56Z</dcterms:created>
  <dcterms:modified xsi:type="dcterms:W3CDTF">2026-03-09T08:46:59Z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0x010100E43C8C03ABD37349B85E16C79D0BC86D</vt:lpwstr>
  </property>
</Properties>
</file>