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9881DF9A-8109-4FB8-9DE1-C4F479603858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NU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SPS2_NUC_Mid!$A$1:$K$2232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F2320" i="1" a="1"/>
  <c r="F2320" i="1" s="1"/>
  <c r="F2319" i="1" s="1" a="1"/>
  <c r="F2319" i="1" s="1"/>
  <c r="G2319" i="1" a="1"/>
  <c r="G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G2230" i="1" a="1"/>
  <c r="G2230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H925" i="1" s="1"/>
  <c r="H924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I786" i="1" s="1"/>
  <c r="I787" i="1" s="1"/>
  <c r="H780" i="1" a="1"/>
  <c r="H780" i="1" s="1"/>
  <c r="H779" i="1" s="1"/>
  <c r="G780" i="1" a="1"/>
  <c r="G780" i="1" s="1"/>
  <c r="G779" i="1" s="1"/>
  <c r="G786" i="1" s="1"/>
  <c r="G787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I322" i="1" s="1"/>
  <c r="I477" i="1" s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I317" i="1" s="1"/>
  <c r="I47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G199" i="1" a="1"/>
  <c r="G199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H384" i="1" s="1"/>
  <c r="H515" i="1" s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G97" i="1"/>
  <c r="G129" i="1" s="1"/>
  <c r="F97" i="1"/>
  <c r="F129" i="1" s="1"/>
  <c r="I96" i="1"/>
  <c r="H96" i="1"/>
  <c r="H128" i="1" s="1"/>
  <c r="G96" i="1"/>
  <c r="F96" i="1"/>
  <c r="F128" i="1" s="1"/>
  <c r="I95" i="1"/>
  <c r="H95" i="1"/>
  <c r="G95" i="1"/>
  <c r="F95" i="1"/>
  <c r="I94" i="1"/>
  <c r="I126" i="1" s="1"/>
  <c r="H94" i="1"/>
  <c r="G94" i="1"/>
  <c r="G126" i="1" s="1"/>
  <c r="F94" i="1"/>
  <c r="F126" i="1" s="1"/>
  <c r="I93" i="1"/>
  <c r="I125" i="1" s="1"/>
  <c r="H93" i="1"/>
  <c r="G93" i="1"/>
  <c r="F93" i="1"/>
  <c r="I92" i="1"/>
  <c r="I124" i="1" s="1"/>
  <c r="H92" i="1"/>
  <c r="G92" i="1"/>
  <c r="F92" i="1"/>
  <c r="F124" i="1" s="1"/>
  <c r="I91" i="1"/>
  <c r="H91" i="1"/>
  <c r="H123" i="1" s="1"/>
  <c r="G91" i="1"/>
  <c r="G123" i="1" s="1"/>
  <c r="F91" i="1"/>
  <c r="F123" i="1" s="1"/>
  <c r="I90" i="1"/>
  <c r="H90" i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F121" i="1" s="1"/>
  <c r="I88" i="1"/>
  <c r="I120" i="1" s="1"/>
  <c r="H88" i="1"/>
  <c r="G88" i="1"/>
  <c r="G120" i="1" s="1"/>
  <c r="F88" i="1"/>
  <c r="I87" i="1"/>
  <c r="I119" i="1" s="1"/>
  <c r="H87" i="1"/>
  <c r="H315" i="1" s="1"/>
  <c r="H420" i="1" s="1"/>
  <c r="G87" i="1"/>
  <c r="F87" i="1"/>
  <c r="I86" i="1"/>
  <c r="I118" i="1" s="1"/>
  <c r="H86" i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H30" i="1" a="1"/>
  <c r="H30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G300" i="1"/>
  <c r="G413" i="1" s="1"/>
  <c r="F315" i="1"/>
  <c r="F420" i="1" s="1"/>
  <c r="I474" i="1"/>
  <c r="H301" i="1"/>
  <c r="H465" i="1" s="1"/>
  <c r="I321" i="1"/>
  <c r="I476" i="1" s="1"/>
  <c r="H386" i="1"/>
  <c r="H517" i="1" s="1"/>
  <c r="I315" i="1"/>
  <c r="I420" i="1" s="1"/>
  <c r="I361" i="1"/>
  <c r="I428" i="1" s="1"/>
  <c r="G320" i="1"/>
  <c r="G475" i="1" s="1"/>
  <c r="H320" i="1"/>
  <c r="H475" i="1" s="1"/>
  <c r="H325" i="1"/>
  <c r="H480" i="1" s="1"/>
  <c r="G317" i="1"/>
  <c r="G472" i="1" s="1"/>
  <c r="F384" i="1"/>
  <c r="F515" i="1" s="1"/>
  <c r="H385" i="1"/>
  <c r="H516" i="1" s="1"/>
  <c r="G315" i="1"/>
  <c r="G420" i="1" s="1"/>
  <c r="I380" i="1"/>
  <c r="I437" i="1" s="1"/>
  <c r="I385" i="1"/>
  <c r="I516" i="1" s="1"/>
  <c r="I399" i="1"/>
  <c r="I519" i="1" s="1"/>
  <c r="F364" i="1"/>
  <c r="F386" i="1"/>
  <c r="F517" i="1" s="1"/>
  <c r="G301" i="1"/>
  <c r="G465" i="1" s="1"/>
  <c r="I301" i="1"/>
  <c r="I465" i="1" s="1"/>
  <c r="F363" i="1"/>
  <c r="F504" i="1" s="1"/>
  <c r="F383" i="1"/>
  <c r="F514" i="1" s="1"/>
  <c r="F321" i="1"/>
  <c r="F476" i="1" s="1"/>
  <c r="H323" i="1"/>
  <c r="H478" i="1" s="1"/>
  <c r="G384" i="1"/>
  <c r="G515" i="1" s="1"/>
  <c r="F380" i="1"/>
  <c r="F437" i="1" s="1"/>
  <c r="F399" i="1"/>
  <c r="F519" i="1" s="1"/>
  <c r="G399" i="1"/>
  <c r="G519" i="1" s="1"/>
  <c r="H399" i="1"/>
  <c r="H519" i="1" s="1"/>
  <c r="F382" i="1"/>
  <c r="F513" i="1" s="1"/>
  <c r="G362" i="1"/>
  <c r="G429" i="1" s="1"/>
  <c r="F301" i="1"/>
  <c r="F465" i="1" s="1"/>
  <c r="I320" i="1"/>
  <c r="I475" i="1" s="1"/>
  <c r="I325" i="1"/>
  <c r="I480" i="1" s="1"/>
  <c r="I902" i="1"/>
  <c r="H321" i="1"/>
  <c r="H476" i="1" s="1"/>
  <c r="H362" i="1"/>
  <c r="H429" i="1" s="1"/>
  <c r="G322" i="1"/>
  <c r="G477" i="1" s="1"/>
  <c r="I742" i="1" a="1"/>
  <c r="I742" i="1" s="1"/>
  <c r="I744" i="1" s="1" a="1"/>
  <c r="I744" i="1" s="1"/>
  <c r="I364" i="1"/>
  <c r="G323" i="1"/>
  <c r="G478" i="1" s="1"/>
  <c r="H398" i="1"/>
  <c r="H439" i="1" s="1"/>
  <c r="F323" i="1"/>
  <c r="F478" i="1" s="1"/>
  <c r="I318" i="1"/>
  <c r="I473" i="1" s="1"/>
  <c r="I323" i="1"/>
  <c r="I478" i="1" s="1"/>
  <c r="G380" i="1"/>
  <c r="G437" i="1" s="1"/>
  <c r="F362" i="1"/>
  <c r="F429" i="1" s="1"/>
  <c r="F198" i="1"/>
  <c r="F361" i="1" s="1"/>
  <c r="F428" i="1" s="1"/>
  <c r="F119" i="1"/>
  <c r="I386" i="1"/>
  <c r="I517" i="1" s="1"/>
  <c r="G119" i="1"/>
  <c r="H129" i="1"/>
  <c r="G386" i="1"/>
  <c r="G517" i="1" s="1"/>
  <c r="G400" i="1"/>
  <c r="G520" i="1" s="1"/>
  <c r="G325" i="1"/>
  <c r="G480" i="1" s="1"/>
  <c r="F300" i="1"/>
  <c r="F413" i="1" s="1"/>
  <c r="H119" i="1"/>
  <c r="G382" i="1"/>
  <c r="G513" i="1" s="1"/>
  <c r="G198" i="1"/>
  <c r="G361" i="1" s="1"/>
  <c r="G428" i="1" s="1"/>
  <c r="F385" i="1"/>
  <c r="F516" i="1" s="1"/>
  <c r="G363" i="1"/>
  <c r="G504" i="1" s="1"/>
  <c r="H198" i="1"/>
  <c r="H361" i="1" s="1"/>
  <c r="H428" i="1" s="1"/>
  <c r="H300" i="1"/>
  <c r="H413" i="1" s="1"/>
  <c r="H322" i="1"/>
  <c r="H477" i="1" s="1"/>
  <c r="F120" i="1"/>
  <c r="I382" i="1"/>
  <c r="I513" i="1" s="1"/>
  <c r="G321" i="1"/>
  <c r="G476" i="1" s="1"/>
  <c r="G364" i="1"/>
  <c r="H400" i="1"/>
  <c r="H520" i="1" s="1"/>
  <c r="F318" i="1"/>
  <c r="F473" i="1" s="1"/>
  <c r="G383" i="1"/>
  <c r="G514" i="1" s="1"/>
  <c r="H902" i="1"/>
  <c r="H318" i="1"/>
  <c r="H473" i="1" s="1"/>
  <c r="H122" i="1"/>
  <c r="I122" i="1"/>
  <c r="G124" i="1"/>
  <c r="G324" i="1"/>
  <c r="G479" i="1" s="1"/>
  <c r="I363" i="1"/>
  <c r="I504" i="1" s="1"/>
  <c r="I899" i="1"/>
  <c r="F241" i="1"/>
  <c r="F316" i="1" s="1"/>
  <c r="F471" i="1" s="1"/>
  <c r="H314" i="1"/>
  <c r="H419" i="1" s="1"/>
  <c r="F125" i="1"/>
  <c r="I384" i="1"/>
  <c r="I515" i="1" s="1"/>
  <c r="I398" i="1"/>
  <c r="I439" i="1" s="1"/>
  <c r="G125" i="1"/>
  <c r="F400" i="1"/>
  <c r="F520" i="1" s="1"/>
  <c r="F783" i="1"/>
  <c r="F786" i="1"/>
  <c r="F787" i="1" s="1"/>
  <c r="F895" i="1"/>
  <c r="F925" i="1"/>
  <c r="F924" i="1" s="1"/>
  <c r="G925" i="1"/>
  <c r="G924" i="1" s="1"/>
  <c r="G903" i="1"/>
  <c r="H274" i="1"/>
  <c r="H363" i="1" s="1"/>
  <c r="H504" i="1" s="1"/>
  <c r="H364" i="1"/>
  <c r="H783" i="1"/>
  <c r="H786" i="1"/>
  <c r="H787" i="1" s="1"/>
  <c r="G726" i="1" a="1"/>
  <c r="G726" i="1" s="1"/>
  <c r="G728" i="1" s="1" a="1"/>
  <c r="G728" i="1" s="1"/>
  <c r="G742" i="1" a="1"/>
  <c r="G742" i="1" s="1"/>
  <c r="G744" i="1" s="1" a="1"/>
  <c r="G744" i="1" s="1"/>
  <c r="H383" i="1"/>
  <c r="H514" i="1" s="1"/>
  <c r="H283" i="1"/>
  <c r="H382" i="1" s="1"/>
  <c r="H513" i="1" s="1"/>
  <c r="H118" i="1"/>
  <c r="H124" i="1"/>
  <c r="G398" i="1"/>
  <c r="G439" i="1" s="1"/>
  <c r="H324" i="1"/>
  <c r="H479" i="1" s="1"/>
  <c r="I383" i="1"/>
  <c r="I514" i="1" s="1"/>
  <c r="F325" i="1"/>
  <c r="F480" i="1" s="1"/>
  <c r="H899" i="1"/>
  <c r="F319" i="1"/>
  <c r="F474" i="1" s="1"/>
  <c r="H125" i="1"/>
  <c r="G385" i="1"/>
  <c r="G516" i="1" s="1"/>
  <c r="H319" i="1"/>
  <c r="H474" i="1" s="1"/>
  <c r="G319" i="1"/>
  <c r="G474" i="1" s="1"/>
  <c r="I314" i="1"/>
  <c r="I419" i="1" s="1"/>
  <c r="I324" i="1"/>
  <c r="I479" i="1" s="1"/>
  <c r="H380" i="1"/>
  <c r="H437" i="1" s="1"/>
  <c r="G241" i="1"/>
  <c r="F320" i="1"/>
  <c r="F475" i="1" s="1"/>
  <c r="H241" i="1"/>
  <c r="H316" i="1" s="1"/>
  <c r="H471" i="1" s="1"/>
  <c r="F314" i="1"/>
  <c r="F419" i="1" s="1"/>
  <c r="G902" i="1"/>
  <c r="G899" i="1"/>
  <c r="H726" i="1" a="1"/>
  <c r="H726" i="1" s="1"/>
  <c r="H728" i="1" s="1" a="1"/>
  <c r="H728" i="1" s="1"/>
  <c r="H126" i="1"/>
  <c r="I241" i="1"/>
  <c r="I316" i="1" s="1"/>
  <c r="I471" i="1" s="1"/>
  <c r="G314" i="1"/>
  <c r="G419" i="1" s="1"/>
  <c r="I726" i="1" a="1"/>
  <c r="I726" i="1" s="1"/>
  <c r="I728" i="1" s="1" a="1"/>
  <c r="I728" i="1" s="1"/>
  <c r="F742" i="1" a="1"/>
  <c r="F742" i="1" s="1"/>
  <c r="F744" i="1" s="1" a="1"/>
  <c r="F744" i="1" s="1"/>
  <c r="H120" i="1"/>
  <c r="G128" i="1"/>
  <c r="I128" i="1"/>
  <c r="I362" i="1"/>
  <c r="I429" i="1" s="1"/>
  <c r="I141" i="1" a="1"/>
  <c r="I141" i="1" s="1"/>
  <c r="F140" i="1" a="1"/>
  <c r="F140" i="1" s="1"/>
  <c r="I400" i="1"/>
  <c r="I520" i="1" s="1"/>
  <c r="F726" i="1" a="1"/>
  <c r="F726" i="1" s="1"/>
  <c r="F728" i="1" s="1" a="1"/>
  <c r="F728" i="1" s="1"/>
  <c r="H903" i="1"/>
  <c r="G316" i="1"/>
  <c r="G471" i="1" s="1"/>
  <c r="I903" i="1"/>
  <c r="I925" i="1"/>
  <c r="I924" i="1" s="1"/>
  <c r="F317" i="1"/>
  <c r="F472" i="1" s="1"/>
  <c r="F322" i="1"/>
  <c r="F477" i="1" s="1"/>
  <c r="H317" i="1"/>
  <c r="H472" i="1" s="1"/>
  <c r="I123" i="1"/>
  <c r="G783" i="1"/>
  <c r="F324" i="1"/>
  <c r="F479" i="1" s="1"/>
  <c r="G318" i="1"/>
  <c r="G473" i="1" s="1"/>
  <c r="H742" i="1" a="1"/>
  <c r="H742" i="1" s="1"/>
  <c r="H744" i="1" s="1" a="1"/>
  <c r="H744" i="1" s="1"/>
  <c r="I783" i="1"/>
  <c r="I300" i="1"/>
  <c r="I413" i="1" s="1"/>
  <c r="I310" i="1" l="1"/>
  <c r="I470" i="1"/>
  <c r="F902" i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K1693" i="1" a="1"/>
  <c r="K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177" i="1" a="1"/>
  <c r="L1177" i="1" s="1"/>
  <c r="L1175" i="1" a="1"/>
  <c r="L1175" i="1" s="1"/>
  <c r="L1178" i="1" a="1"/>
  <c r="L1178" i="1" s="1"/>
  <c r="K1178" i="1" a="1"/>
  <c r="K1178" i="1" s="1"/>
  <c r="K1177" i="1" a="1"/>
  <c r="K1177" i="1" s="1"/>
  <c r="J1175" i="1" a="1"/>
  <c r="J1175" i="1" s="1"/>
  <c r="J1174" i="1" a="1"/>
  <c r="J1174" i="1" s="1"/>
  <c r="L1174" i="1" a="1"/>
  <c r="L1174" i="1" s="1"/>
  <c r="K1174" i="1" a="1"/>
  <c r="K1174" i="1" s="1"/>
  <c r="K1176" i="1" a="1"/>
  <c r="K1176" i="1" s="1"/>
  <c r="J1176" i="1" a="1"/>
  <c r="J1176" i="1" s="1"/>
  <c r="K1175" i="1" a="1"/>
  <c r="K1175" i="1" s="1"/>
  <c r="L1179" i="1" a="1"/>
  <c r="L1179" i="1" s="1"/>
  <c r="J1177" i="1" a="1"/>
  <c r="J1177" i="1" s="1"/>
  <c r="K1179" i="1" a="1"/>
  <c r="K1179" i="1" s="1"/>
  <c r="J1179" i="1" a="1"/>
  <c r="J1179" i="1" s="1"/>
  <c r="L1176" i="1" a="1"/>
  <c r="L1176" i="1" s="1"/>
  <c r="J1178" i="1" a="1"/>
  <c r="J1178" i="1" s="1"/>
  <c r="K1168" i="1" a="1"/>
  <c r="K1168" i="1" s="1"/>
  <c r="L1169" i="1" a="1"/>
  <c r="L1169" i="1" s="1"/>
  <c r="J1173" i="1" a="1"/>
  <c r="J1173" i="1" s="1"/>
  <c r="K1169" i="1" a="1"/>
  <c r="K1169" i="1" s="1"/>
  <c r="J1167" i="1" a="1"/>
  <c r="J1167" i="1" s="1"/>
  <c r="J1165" i="1" a="1"/>
  <c r="J1165" i="1" s="1"/>
  <c r="L1172" i="1" a="1"/>
  <c r="L1172" i="1" s="1"/>
  <c r="K1172" i="1" a="1"/>
  <c r="K1172" i="1" s="1"/>
  <c r="L1166" i="1" a="1"/>
  <c r="L1166" i="1" s="1"/>
  <c r="J1168" i="1" a="1"/>
  <c r="J1168" i="1" s="1"/>
  <c r="K1171" i="1" a="1"/>
  <c r="K1171" i="1" s="1"/>
  <c r="L1167" i="1" a="1"/>
  <c r="L1167" i="1" s="1"/>
  <c r="J1169" i="1" a="1"/>
  <c r="J1169" i="1" s="1"/>
  <c r="J1171" i="1" a="1"/>
  <c r="J1171" i="1" s="1"/>
  <c r="L1170" i="1" a="1"/>
  <c r="L1170" i="1" s="1"/>
  <c r="K1166" i="1" a="1"/>
  <c r="K1166" i="1" s="1"/>
  <c r="L1173" i="1" a="1"/>
  <c r="L1173" i="1" s="1"/>
  <c r="K1173" i="1" a="1"/>
  <c r="K1173" i="1" s="1"/>
  <c r="J1172" i="1" a="1"/>
  <c r="J1172" i="1" s="1"/>
  <c r="L1168" i="1" a="1"/>
  <c r="L1168" i="1" s="1"/>
  <c r="J1166" i="1" a="1"/>
  <c r="J1166" i="1" s="1"/>
  <c r="L1165" i="1" a="1"/>
  <c r="L1165" i="1" s="1"/>
  <c r="K1165" i="1" a="1"/>
  <c r="K1165" i="1" s="1"/>
  <c r="K1167" i="1" a="1"/>
  <c r="K1167" i="1" s="1"/>
  <c r="L1171" i="1" a="1"/>
  <c r="L1171" i="1" s="1"/>
  <c r="K1170" i="1" a="1"/>
  <c r="K1170" i="1" s="1"/>
  <c r="J1170" i="1" a="1"/>
  <c r="J1170" i="1" s="1"/>
  <c r="K1156" i="1" a="1"/>
  <c r="K1156" i="1" s="1"/>
  <c r="J1155" i="1" a="1"/>
  <c r="J1155" i="1" s="1"/>
  <c r="L1163" i="1" a="1"/>
  <c r="L1163" i="1" s="1"/>
  <c r="J1163" i="1" a="1"/>
  <c r="J1163" i="1" s="1"/>
  <c r="J1162" i="1" a="1"/>
  <c r="J1162" i="1" s="1"/>
  <c r="L1154" i="1" a="1"/>
  <c r="L1154" i="1" s="1"/>
  <c r="L1164" i="1" a="1"/>
  <c r="L1164" i="1" s="1"/>
  <c r="L1153" i="1" a="1"/>
  <c r="L1153" i="1" s="1"/>
  <c r="K1155" i="1" a="1"/>
  <c r="K1155" i="1" s="1"/>
  <c r="K1164" i="1" a="1"/>
  <c r="K1164" i="1" s="1"/>
  <c r="J1164" i="1" a="1"/>
  <c r="J1164" i="1" s="1"/>
  <c r="L1156" i="1" a="1"/>
  <c r="L1156" i="1" s="1"/>
  <c r="L1155" i="1" a="1"/>
  <c r="L1155" i="1" s="1"/>
  <c r="K1162" i="1" a="1"/>
  <c r="K1162" i="1" s="1"/>
  <c r="J1154" i="1" a="1"/>
  <c r="J1154" i="1" s="1"/>
  <c r="J1156" i="1" a="1"/>
  <c r="J1156" i="1" s="1"/>
  <c r="L1162" i="1" a="1"/>
  <c r="L1162" i="1" s="1"/>
  <c r="K1163" i="1" a="1"/>
  <c r="K1163" i="1" s="1"/>
  <c r="K1154" i="1" a="1"/>
  <c r="K1154" i="1" s="1"/>
  <c r="L1145" i="1" a="1"/>
  <c r="L1145" i="1" s="1"/>
  <c r="L1144" i="1" a="1"/>
  <c r="L1144" i="1" s="1"/>
  <c r="L1147" i="1" a="1"/>
  <c r="L1147" i="1" s="1"/>
  <c r="L1148" i="1" a="1"/>
  <c r="L1148" i="1" s="1"/>
  <c r="K1147" i="1" a="1"/>
  <c r="K1147" i="1" s="1"/>
  <c r="J1145" i="1" a="1"/>
  <c r="J1145" i="1" s="1"/>
  <c r="J1144" i="1" a="1"/>
  <c r="J1144" i="1" s="1"/>
  <c r="L1143" i="1" a="1"/>
  <c r="L1143" i="1" s="1"/>
  <c r="K1153" i="1" a="1"/>
  <c r="K1153" i="1" s="1"/>
  <c r="K1144" i="1" a="1"/>
  <c r="K1144" i="1" s="1"/>
  <c r="J1153" i="1" a="1"/>
  <c r="J1153" i="1" s="1"/>
  <c r="K1150" i="1" a="1"/>
  <c r="K1150" i="1" s="1"/>
  <c r="J1146" i="1" a="1"/>
  <c r="J1146" i="1" s="1"/>
  <c r="J1149" i="1" a="1"/>
  <c r="J1149" i="1" s="1"/>
  <c r="L1150" i="1" a="1"/>
  <c r="L1150" i="1" s="1"/>
  <c r="J1150" i="1" a="1"/>
  <c r="J1150" i="1" s="1"/>
  <c r="J1143" i="1" a="1"/>
  <c r="J1143" i="1" s="1"/>
  <c r="K1145" i="1" a="1"/>
  <c r="K1145" i="1" s="1"/>
  <c r="K1148" i="1" a="1"/>
  <c r="K1148" i="1" s="1"/>
  <c r="J1148" i="1" a="1"/>
  <c r="J1148" i="1" s="1"/>
  <c r="K1143" i="1" a="1"/>
  <c r="K1143" i="1" s="1"/>
  <c r="L1146" i="1" a="1"/>
  <c r="L1146" i="1" s="1"/>
  <c r="K1146" i="1" a="1"/>
  <c r="K1146" i="1" s="1"/>
  <c r="L1149" i="1" a="1"/>
  <c r="L1149" i="1" s="1"/>
  <c r="K1149" i="1" a="1"/>
  <c r="K1149" i="1" s="1"/>
  <c r="J1147" i="1" a="1"/>
  <c r="J1147" i="1" s="1"/>
  <c r="K1141" i="1" a="1"/>
  <c r="K1141" i="1" s="1"/>
  <c r="J1140" i="1" a="1"/>
  <c r="J1140" i="1" s="1"/>
  <c r="K1139" i="1" a="1"/>
  <c r="K1139" i="1" s="1"/>
  <c r="L1139" i="1" a="1"/>
  <c r="L1139" i="1" s="1"/>
  <c r="J1138" i="1" a="1"/>
  <c r="J1138" i="1" s="1"/>
  <c r="L1138" i="1" a="1"/>
  <c r="L1138" i="1" s="1"/>
  <c r="K1138" i="1" a="1"/>
  <c r="K1138" i="1" s="1"/>
  <c r="J1142" i="1" a="1"/>
  <c r="J1142" i="1" s="1"/>
  <c r="L1140" i="1" a="1"/>
  <c r="L1140" i="1" s="1"/>
  <c r="J1139" i="1" a="1"/>
  <c r="J1139" i="1" s="1"/>
  <c r="K1140" i="1" a="1"/>
  <c r="K1140" i="1" s="1"/>
  <c r="L1141" i="1" a="1"/>
  <c r="L1141" i="1" s="1"/>
  <c r="L1142" i="1" a="1"/>
  <c r="L1142" i="1" s="1"/>
  <c r="K1142" i="1" a="1"/>
  <c r="K1142" i="1" s="1"/>
  <c r="J1141" i="1" a="1"/>
  <c r="J1141" i="1" s="1"/>
  <c r="K1239" i="1" a="1"/>
  <c r="K1239" i="1" s="1"/>
  <c r="J1237" i="1" a="1"/>
  <c r="J1237" i="1" s="1"/>
  <c r="J1241" i="1" a="1"/>
  <c r="J1241" i="1" s="1"/>
  <c r="L1235" i="1" a="1"/>
  <c r="L1235" i="1" s="1"/>
  <c r="K1236" i="1" a="1"/>
  <c r="K1236" i="1" s="1"/>
  <c r="J1239" i="1" a="1"/>
  <c r="J1239" i="1" s="1"/>
  <c r="K1235" i="1" a="1"/>
  <c r="K1235" i="1" s="1"/>
  <c r="K1240" i="1" a="1"/>
  <c r="K1240" i="1" s="1"/>
  <c r="L1238" i="1" a="1"/>
  <c r="L1238" i="1" s="1"/>
  <c r="L1236" i="1" a="1"/>
  <c r="L1236" i="1" s="1"/>
  <c r="J1236" i="1" a="1"/>
  <c r="J1236" i="1" s="1"/>
  <c r="J1235" i="1" a="1"/>
  <c r="J1235" i="1" s="1"/>
  <c r="L1240" i="1" a="1"/>
  <c r="L1240" i="1" s="1"/>
  <c r="J1240" i="1" a="1"/>
  <c r="J1240" i="1" s="1"/>
  <c r="K1238" i="1" a="1"/>
  <c r="K1238" i="1" s="1"/>
  <c r="K1237" i="1" a="1"/>
  <c r="K1237" i="1" s="1"/>
  <c r="J1238" i="1" a="1"/>
  <c r="J1238" i="1" s="1"/>
  <c r="L1237" i="1" a="1"/>
  <c r="L1237" i="1" s="1"/>
  <c r="L1239" i="1" a="1"/>
  <c r="L1239" i="1" s="1"/>
  <c r="J1226" i="1" a="1"/>
  <c r="J1226" i="1" s="1"/>
  <c r="L1231" i="1" a="1"/>
  <c r="L1231" i="1" s="1"/>
  <c r="K1230" i="1" a="1"/>
  <c r="K1230" i="1" s="1"/>
  <c r="K1229" i="1" a="1"/>
  <c r="K1229" i="1" s="1"/>
  <c r="L1232" i="1" a="1"/>
  <c r="L1232" i="1" s="1"/>
  <c r="L1233" i="1" a="1"/>
  <c r="L1233" i="1" s="1"/>
  <c r="K1232" i="1" a="1"/>
  <c r="K1232" i="1" s="1"/>
  <c r="L1227" i="1" a="1"/>
  <c r="L1227" i="1" s="1"/>
  <c r="J1228" i="1" a="1"/>
  <c r="J1228" i="1" s="1"/>
  <c r="J1229" i="1" a="1"/>
  <c r="J1229" i="1" s="1"/>
  <c r="K1231" i="1" a="1"/>
  <c r="K1231" i="1" s="1"/>
  <c r="J1227" i="1" a="1"/>
  <c r="J1227" i="1" s="1"/>
  <c r="L1226" i="1" a="1"/>
  <c r="L1226" i="1" s="1"/>
  <c r="L1234" i="1" a="1"/>
  <c r="L1234" i="1" s="1"/>
  <c r="K1234" i="1" a="1"/>
  <c r="K1234" i="1" s="1"/>
  <c r="K1227" i="1" a="1"/>
  <c r="K1227" i="1" s="1"/>
  <c r="J1232" i="1" a="1"/>
  <c r="J1232" i="1" s="1"/>
  <c r="J1230" i="1" a="1"/>
  <c r="J1230" i="1" s="1"/>
  <c r="L1228" i="1" a="1"/>
  <c r="L1228" i="1" s="1"/>
  <c r="K1226" i="1" a="1"/>
  <c r="K1226" i="1" s="1"/>
  <c r="K1228" i="1" a="1"/>
  <c r="K1228" i="1" s="1"/>
  <c r="J1233" i="1" a="1"/>
  <c r="J1233" i="1" s="1"/>
  <c r="J1231" i="1" a="1"/>
  <c r="J1231" i="1" s="1"/>
  <c r="L1229" i="1" a="1"/>
  <c r="L1229" i="1" s="1"/>
  <c r="L1230" i="1" a="1"/>
  <c r="L1230" i="1" s="1"/>
  <c r="K1233" i="1" a="1"/>
  <c r="K1233" i="1" s="1"/>
  <c r="J1234" i="1" a="1"/>
  <c r="J1234" i="1" s="1"/>
  <c r="L1218" i="1" a="1"/>
  <c r="L1218" i="1" s="1"/>
  <c r="L1222" i="1" a="1"/>
  <c r="L1222" i="1" s="1"/>
  <c r="K1222" i="1" a="1"/>
  <c r="K1222" i="1" s="1"/>
  <c r="K1221" i="1" a="1"/>
  <c r="K1221" i="1" s="1"/>
  <c r="J1222" i="1" a="1"/>
  <c r="J1222" i="1" s="1"/>
  <c r="K1220" i="1" a="1"/>
  <c r="K1220" i="1" s="1"/>
  <c r="L1219" i="1" a="1"/>
  <c r="L1219" i="1" s="1"/>
  <c r="J1221" i="1" a="1"/>
  <c r="J1221" i="1" s="1"/>
  <c r="L1220" i="1" a="1"/>
  <c r="L1220" i="1" s="1"/>
  <c r="K1218" i="1" a="1"/>
  <c r="K1218" i="1" s="1"/>
  <c r="J1219" i="1" a="1"/>
  <c r="J1219" i="1" s="1"/>
  <c r="J1218" i="1" a="1"/>
  <c r="J1218" i="1" s="1"/>
  <c r="J1220" i="1" a="1"/>
  <c r="J1220" i="1" s="1"/>
  <c r="L1225" i="1" a="1"/>
  <c r="L1225" i="1" s="1"/>
  <c r="K1225" i="1" a="1"/>
  <c r="K1225" i="1" s="1"/>
  <c r="J1225" i="1" a="1"/>
  <c r="J1225" i="1" s="1"/>
  <c r="K1219" i="1" a="1"/>
  <c r="K1219" i="1" s="1"/>
  <c r="L1224" i="1" a="1"/>
  <c r="L1224" i="1" s="1"/>
  <c r="K1224" i="1" a="1"/>
  <c r="K1224" i="1" s="1"/>
  <c r="J1224" i="1" a="1"/>
  <c r="J1224" i="1" s="1"/>
  <c r="K1223" i="1" a="1"/>
  <c r="K1223" i="1" s="1"/>
  <c r="J1223" i="1" a="1"/>
  <c r="J1223" i="1" s="1"/>
  <c r="L1221" i="1" a="1"/>
  <c r="L1221" i="1" s="1"/>
  <c r="L1223" i="1" a="1"/>
  <c r="L1223" i="1" s="1"/>
  <c r="J1216" i="1" a="1"/>
  <c r="J1216" i="1" s="1"/>
  <c r="J1212" i="1" a="1"/>
  <c r="J1212" i="1" s="1"/>
  <c r="K1210" i="1" a="1"/>
  <c r="K1210" i="1" s="1"/>
  <c r="J1215" i="1" a="1"/>
  <c r="J1215" i="1" s="1"/>
  <c r="L1214" i="1" a="1"/>
  <c r="L1214" i="1" s="1"/>
  <c r="K1214" i="1" a="1"/>
  <c r="K1214" i="1" s="1"/>
  <c r="J1211" i="1" a="1"/>
  <c r="J1211" i="1" s="1"/>
  <c r="L1215" i="1" a="1"/>
  <c r="L1215" i="1" s="1"/>
  <c r="L1212" i="1" a="1"/>
  <c r="L1212" i="1" s="1"/>
  <c r="K1215" i="1" a="1"/>
  <c r="K1215" i="1" s="1"/>
  <c r="L1217" i="1" a="1"/>
  <c r="L1217" i="1" s="1"/>
  <c r="K1217" i="1" a="1"/>
  <c r="K1217" i="1" s="1"/>
  <c r="J1217" i="1" a="1"/>
  <c r="J1217" i="1" s="1"/>
  <c r="J1214" i="1" a="1"/>
  <c r="J1214" i="1" s="1"/>
  <c r="K1212" i="1" a="1"/>
  <c r="K1212" i="1" s="1"/>
  <c r="K1211" i="1" a="1"/>
  <c r="K1211" i="1" s="1"/>
  <c r="L1210" i="1" a="1"/>
  <c r="L1210" i="1" s="1"/>
  <c r="J1210" i="1" a="1"/>
  <c r="J1210" i="1" s="1"/>
  <c r="L1216" i="1" a="1"/>
  <c r="L1216" i="1" s="1"/>
  <c r="K1216" i="1" a="1"/>
  <c r="K1216" i="1" s="1"/>
  <c r="L1211" i="1" a="1"/>
  <c r="L1211" i="1" s="1"/>
  <c r="L1201" i="1" a="1"/>
  <c r="L1201" i="1" s="1"/>
  <c r="L1202" i="1" a="1"/>
  <c r="L1202" i="1" s="1"/>
  <c r="K1202" i="1" a="1"/>
  <c r="K1202" i="1" s="1"/>
  <c r="L1209" i="1" a="1"/>
  <c r="L1209" i="1" s="1"/>
  <c r="J1209" i="1" a="1"/>
  <c r="J1209" i="1" s="1"/>
  <c r="K1209" i="1" a="1"/>
  <c r="K1209" i="1" s="1"/>
  <c r="J1208" i="1" a="1"/>
  <c r="J1208" i="1" s="1"/>
  <c r="L1208" i="1" a="1"/>
  <c r="L1208" i="1" s="1"/>
  <c r="K1208" i="1" a="1"/>
  <c r="K1208" i="1" s="1"/>
  <c r="K1201" i="1" a="1"/>
  <c r="K1201" i="1" s="1"/>
  <c r="J1202" i="1" a="1"/>
  <c r="J1202" i="1" s="1"/>
  <c r="K1199" i="1" a="1"/>
  <c r="K1199" i="1" s="1"/>
  <c r="J1201" i="1" a="1"/>
  <c r="J1201" i="1" s="1"/>
  <c r="J1198" i="1" a="1"/>
  <c r="J1198" i="1" s="1"/>
  <c r="L1199" i="1" a="1"/>
  <c r="L1199" i="1" s="1"/>
  <c r="L1198" i="1" a="1"/>
  <c r="L1198" i="1" s="1"/>
  <c r="K1198" i="1" a="1"/>
  <c r="K1198" i="1" s="1"/>
  <c r="J1199" i="1" a="1"/>
  <c r="J1199" i="1" s="1"/>
  <c r="L1200" i="1" a="1"/>
  <c r="L1200" i="1" s="1"/>
  <c r="K1200" i="1" a="1"/>
  <c r="K1200" i="1" s="1"/>
  <c r="J1200" i="1" a="1"/>
  <c r="J1200" i="1" s="1"/>
  <c r="K1197" i="1" a="1"/>
  <c r="K1197" i="1" s="1"/>
  <c r="L1197" i="1" a="1"/>
  <c r="L1197" i="1" s="1"/>
  <c r="K1195" i="1" a="1"/>
  <c r="K1195" i="1" s="1"/>
  <c r="J1195" i="1" a="1"/>
  <c r="J1195" i="1" s="1"/>
  <c r="K1194" i="1" a="1"/>
  <c r="K1194" i="1" s="1"/>
  <c r="J1197" i="1" a="1"/>
  <c r="J1197" i="1" s="1"/>
  <c r="K1196" i="1" a="1"/>
  <c r="K1196" i="1" s="1"/>
  <c r="L1196" i="1" a="1"/>
  <c r="L1196" i="1" s="1"/>
  <c r="L1195" i="1" a="1"/>
  <c r="L1195" i="1" s="1"/>
  <c r="J1196" i="1" a="1"/>
  <c r="J1196" i="1" s="1"/>
  <c r="L1194" i="1" a="1"/>
  <c r="L1194" i="1" s="1"/>
  <c r="L1193" i="1" a="1"/>
  <c r="L1193" i="1" s="1"/>
  <c r="K1193" i="1" a="1"/>
  <c r="K1193" i="1" s="1"/>
  <c r="J1194" i="1" a="1"/>
  <c r="J1194" i="1" s="1"/>
  <c r="J1193" i="1" a="1"/>
  <c r="J1193" i="1" s="1"/>
  <c r="L1192" i="1" a="1"/>
  <c r="L1192" i="1" s="1"/>
  <c r="K1192" i="1" a="1"/>
  <c r="K1192" i="1" s="1"/>
  <c r="J1192" i="1" a="1"/>
  <c r="J1192" i="1" s="1"/>
  <c r="L1191" i="1" a="1"/>
  <c r="L1191" i="1" s="1"/>
  <c r="L1190" i="1" a="1"/>
  <c r="L1190" i="1" s="1"/>
  <c r="K1190" i="1" a="1"/>
  <c r="K1190" i="1" s="1"/>
  <c r="J1190" i="1" a="1"/>
  <c r="J1190" i="1" s="1"/>
  <c r="K1189" i="1" a="1"/>
  <c r="K1189" i="1" s="1"/>
  <c r="J1189" i="1" a="1"/>
  <c r="J1189" i="1" s="1"/>
  <c r="K1188" i="1" a="1"/>
  <c r="K1188" i="1" s="1"/>
  <c r="L1188" i="1" a="1"/>
  <c r="L1188" i="1" s="1"/>
  <c r="J1191" i="1" a="1"/>
  <c r="J1191" i="1" s="1"/>
  <c r="L1189" i="1" a="1"/>
  <c r="L1189" i="1" s="1"/>
  <c r="J1188" i="1" a="1"/>
  <c r="J1188" i="1" s="1"/>
  <c r="K1191" i="1" a="1"/>
  <c r="K1191" i="1" s="1"/>
  <c r="L1187" i="1" a="1"/>
  <c r="L1187" i="1" s="1"/>
  <c r="K1187" i="1" a="1"/>
  <c r="K1187" i="1" s="1"/>
  <c r="J1187" i="1" a="1"/>
  <c r="J1187" i="1" s="1"/>
  <c r="L1186" i="1" a="1"/>
  <c r="L1186" i="1" s="1"/>
  <c r="K1185" i="1" a="1"/>
  <c r="K1185" i="1" s="1"/>
  <c r="J1185" i="1" a="1"/>
  <c r="J1185" i="1" s="1"/>
  <c r="K1186" i="1" a="1"/>
  <c r="K1186" i="1" s="1"/>
  <c r="J1186" i="1" a="1"/>
  <c r="J1186" i="1" s="1"/>
  <c r="L1185" i="1" a="1"/>
  <c r="L1185" i="1" s="1"/>
  <c r="K2232" i="1" a="1"/>
  <c r="K2232" i="1" s="1"/>
  <c r="L2229" i="1" a="1"/>
  <c r="L2229" i="1" s="1"/>
  <c r="L2230" i="1" s="1" a="1"/>
  <c r="L2230" i="1" s="1"/>
  <c r="J2229" i="1" a="1"/>
  <c r="J2229" i="1" s="1"/>
  <c r="J2230" i="1" s="1" a="1"/>
  <c r="J2230" i="1" s="1"/>
  <c r="J2232" i="1" a="1"/>
  <c r="J2232" i="1" s="1"/>
  <c r="L2232" i="1" a="1"/>
  <c r="L2232" i="1" s="1"/>
  <c r="L2231" i="1" a="1"/>
  <c r="L2231" i="1" s="1"/>
  <c r="K2231" i="1" a="1"/>
  <c r="K2231" i="1" s="1"/>
  <c r="J2231" i="1" a="1"/>
  <c r="J2231" i="1" s="1"/>
  <c r="K2229" i="1" a="1"/>
  <c r="K2229" i="1" s="1"/>
  <c r="K2230" i="1" s="1" a="1"/>
  <c r="K2230" i="1" s="1"/>
  <c r="J2221" i="1" a="1"/>
  <c r="J2221" i="1" s="1"/>
  <c r="K2219" i="1" a="1"/>
  <c r="K2219" i="1" s="1"/>
  <c r="K2220" i="1" s="1" a="1"/>
  <c r="K2220" i="1" s="1"/>
  <c r="L2221" i="1" a="1"/>
  <c r="L2221" i="1" s="1"/>
  <c r="J2222" i="1" a="1"/>
  <c r="J2222" i="1" s="1"/>
  <c r="J2219" i="1" a="1"/>
  <c r="J2219" i="1" s="1"/>
  <c r="J2220" i="1" s="1" a="1"/>
  <c r="J2220" i="1" s="1"/>
  <c r="K2222" i="1" a="1"/>
  <c r="K2222" i="1" s="1"/>
  <c r="L2222" i="1" a="1"/>
  <c r="L2222" i="1" s="1"/>
  <c r="L2226" i="1" a="1"/>
  <c r="L2226" i="1" s="1"/>
  <c r="L2227" i="1" a="1"/>
  <c r="L2227" i="1" s="1"/>
  <c r="L2228" i="1" s="1" a="1"/>
  <c r="L2228" i="1" s="1"/>
  <c r="K2227" i="1" a="1"/>
  <c r="K2227" i="1" s="1"/>
  <c r="K2228" i="1" s="1" a="1"/>
  <c r="K2228" i="1" s="1"/>
  <c r="L2219" i="1" a="1"/>
  <c r="L2219" i="1" s="1"/>
  <c r="L2220" i="1" s="1" a="1"/>
  <c r="L2220" i="1" s="1"/>
  <c r="J2227" i="1" a="1"/>
  <c r="J2227" i="1" s="1"/>
  <c r="J2228" i="1" s="1" a="1"/>
  <c r="J2228" i="1" s="1"/>
  <c r="L2224" i="1" a="1"/>
  <c r="L2224" i="1" s="1"/>
  <c r="L2225" i="1" s="1" a="1"/>
  <c r="L2225" i="1" s="1"/>
  <c r="K2224" i="1" a="1"/>
  <c r="K2224" i="1" s="1"/>
  <c r="K2225" i="1" s="1" a="1"/>
  <c r="K2225" i="1" s="1"/>
  <c r="K2226" i="1" a="1"/>
  <c r="K2226" i="1" s="1"/>
  <c r="J2226" i="1" a="1"/>
  <c r="J2226" i="1" s="1"/>
  <c r="J2224" i="1" a="1"/>
  <c r="J2224" i="1" s="1"/>
  <c r="J2225" i="1" s="1" a="1"/>
  <c r="J2225" i="1" s="1"/>
  <c r="K2221" i="1" a="1"/>
  <c r="K2221" i="1" s="1"/>
  <c r="L2209" i="1" a="1"/>
  <c r="L2209" i="1" s="1"/>
  <c r="K2209" i="1" a="1"/>
  <c r="K2209" i="1" s="1"/>
  <c r="L2214" i="1" a="1"/>
  <c r="L2214" i="1" s="1"/>
  <c r="J2210" i="1" a="1"/>
  <c r="J2210" i="1" s="1"/>
  <c r="L2212" i="1" a="1"/>
  <c r="L2212" i="1" s="1"/>
  <c r="K2210" i="1" a="1"/>
  <c r="K2210" i="1" s="1"/>
  <c r="J2209" i="1" a="1"/>
  <c r="J2209" i="1" s="1"/>
  <c r="J2214" i="1" a="1"/>
  <c r="J2214" i="1" s="1"/>
  <c r="J2215" i="1" s="1" a="1"/>
  <c r="J2215" i="1" s="1"/>
  <c r="K2212" i="1" a="1"/>
  <c r="K2212" i="1" s="1"/>
  <c r="K2217" i="1" a="1"/>
  <c r="K2217" i="1" s="1"/>
  <c r="K2218" i="1" s="1" a="1"/>
  <c r="K2218" i="1" s="1"/>
  <c r="L2217" i="1" a="1"/>
  <c r="L2217" i="1" s="1"/>
  <c r="L2218" i="1" s="1" a="1"/>
  <c r="L2218" i="1" s="1"/>
  <c r="J2211" i="1" a="1"/>
  <c r="J2211" i="1" s="1"/>
  <c r="J2217" i="1" a="1"/>
  <c r="J2217" i="1" s="1"/>
  <c r="J2218" i="1" s="1" a="1"/>
  <c r="J2218" i="1" s="1"/>
  <c r="L2210" i="1" a="1"/>
  <c r="L2210" i="1" s="1"/>
  <c r="L2216" i="1" a="1"/>
  <c r="L2216" i="1" s="1"/>
  <c r="K2216" i="1" a="1"/>
  <c r="K2216" i="1" s="1"/>
  <c r="K2214" i="1" a="1"/>
  <c r="K2214" i="1" s="1"/>
  <c r="K2215" i="1" s="1" a="1"/>
  <c r="K2215" i="1" s="1"/>
  <c r="J2212" i="1" a="1"/>
  <c r="J2212" i="1" s="1"/>
  <c r="L2211" i="1" a="1"/>
  <c r="L2211" i="1" s="1"/>
  <c r="J2216" i="1" a="1"/>
  <c r="J2216" i="1" s="1"/>
  <c r="L2215" i="1" a="1"/>
  <c r="L2215" i="1" s="1"/>
  <c r="K2211" i="1" a="1"/>
  <c r="K2211" i="1" s="1"/>
  <c r="J2204" i="1" a="1"/>
  <c r="J2204" i="1" s="1"/>
  <c r="L2201" i="1" a="1"/>
  <c r="L2201" i="1" s="1"/>
  <c r="J2200" i="1" a="1"/>
  <c r="J2200" i="1" s="1"/>
  <c r="J2206" i="1" a="1"/>
  <c r="J2206" i="1" s="1"/>
  <c r="K2203" i="1" a="1"/>
  <c r="K2203" i="1" s="1"/>
  <c r="J2201" i="1" a="1"/>
  <c r="J2201" i="1" s="1"/>
  <c r="L2204" i="1" a="1"/>
  <c r="L2204" i="1" s="1"/>
  <c r="L2205" i="1" a="1"/>
  <c r="L2205" i="1" s="1"/>
  <c r="K2202" i="1" a="1"/>
  <c r="K2202" i="1" s="1"/>
  <c r="L2200" i="1" a="1"/>
  <c r="L2200" i="1" s="1"/>
  <c r="K2200" i="1" a="1"/>
  <c r="K2200" i="1" s="1"/>
  <c r="L2203" i="1" a="1"/>
  <c r="L2203" i="1" s="1"/>
  <c r="L2208" i="1" a="1"/>
  <c r="L2208" i="1" s="1"/>
  <c r="K2208" i="1" a="1"/>
  <c r="K2208" i="1" s="1"/>
  <c r="J2208" i="1" a="1"/>
  <c r="J2208" i="1" s="1"/>
  <c r="L2206" i="1" a="1"/>
  <c r="L2206" i="1" s="1"/>
  <c r="J2203" i="1" a="1"/>
  <c r="J2203" i="1" s="1"/>
  <c r="J2202" i="1" a="1"/>
  <c r="J2202" i="1" s="1"/>
  <c r="J2205" i="1" a="1"/>
  <c r="J2205" i="1" s="1"/>
  <c r="K2205" i="1" a="1"/>
  <c r="K2205" i="1" s="1"/>
  <c r="L2207" i="1" a="1"/>
  <c r="L2207" i="1" s="1"/>
  <c r="K2207" i="1" a="1"/>
  <c r="K2207" i="1" s="1"/>
  <c r="K2201" i="1" a="1"/>
  <c r="K2201" i="1" s="1"/>
  <c r="J2207" i="1" a="1"/>
  <c r="J2207" i="1" s="1"/>
  <c r="L2202" i="1" a="1"/>
  <c r="L2202" i="1" s="1"/>
  <c r="K2206" i="1" a="1"/>
  <c r="K2206" i="1" s="1"/>
  <c r="K2204" i="1" a="1"/>
  <c r="K2204" i="1" s="1"/>
  <c r="K2198" i="1" a="1"/>
  <c r="K2198" i="1" s="1"/>
  <c r="J2196" i="1" a="1"/>
  <c r="J2196" i="1" s="1"/>
  <c r="K2195" i="1" a="1"/>
  <c r="K2195" i="1" s="1"/>
  <c r="L2198" i="1" a="1"/>
  <c r="L2198" i="1" s="1"/>
  <c r="J2198" i="1" a="1"/>
  <c r="J2198" i="1" s="1"/>
  <c r="L2197" i="1" a="1"/>
  <c r="L2197" i="1" s="1"/>
  <c r="L2195" i="1" a="1"/>
  <c r="L2195" i="1" s="1"/>
  <c r="K2197" i="1" a="1"/>
  <c r="K2197" i="1" s="1"/>
  <c r="L2194" i="1" a="1"/>
  <c r="L2194" i="1" s="1"/>
  <c r="K2191" i="1" a="1"/>
  <c r="K2191" i="1" s="1"/>
  <c r="J2197" i="1" a="1"/>
  <c r="J2197" i="1" s="1"/>
  <c r="K2196" i="1" a="1"/>
  <c r="K2196" i="1" s="1"/>
  <c r="J2194" i="1" a="1"/>
  <c r="J2194" i="1" s="1"/>
  <c r="L2196" i="1" a="1"/>
  <c r="L2196" i="1" s="1"/>
  <c r="L2192" i="1" a="1"/>
  <c r="L2192" i="1" s="1"/>
  <c r="J2195" i="1" a="1"/>
  <c r="J2195" i="1" s="1"/>
  <c r="K2192" i="1" a="1"/>
  <c r="K2192" i="1" s="1"/>
  <c r="L2193" i="1" a="1"/>
  <c r="L2193" i="1" s="1"/>
  <c r="J2191" i="1" a="1"/>
  <c r="J2191" i="1" s="1"/>
  <c r="K2194" i="1" a="1"/>
  <c r="K2194" i="1" s="1"/>
  <c r="L2191" i="1" a="1"/>
  <c r="L2191" i="1" s="1"/>
  <c r="K2193" i="1" a="1"/>
  <c r="K2193" i="1" s="1"/>
  <c r="J2192" i="1" a="1"/>
  <c r="J2192" i="1" s="1"/>
  <c r="J2193" i="1" a="1"/>
  <c r="J2193" i="1" s="1"/>
  <c r="L2199" i="1" a="1"/>
  <c r="L2199" i="1" s="1"/>
  <c r="K2199" i="1" a="1"/>
  <c r="K2199" i="1" s="1"/>
  <c r="J2199" i="1" a="1"/>
  <c r="J2199" i="1" s="1"/>
  <c r="J1530" i="1" a="1"/>
  <c r="J1530" i="1" s="1"/>
  <c r="L1530" i="1" a="1"/>
  <c r="L1530" i="1" s="1"/>
  <c r="L1531" i="1" a="1"/>
  <c r="L1531" i="1" s="1"/>
  <c r="J1531" i="1" a="1"/>
  <c r="J1531" i="1" s="1"/>
  <c r="L1529" i="1" a="1"/>
  <c r="L1529" i="1" s="1"/>
  <c r="K1531" i="1" a="1"/>
  <c r="K1531" i="1" s="1"/>
  <c r="J1529" i="1" a="1"/>
  <c r="J1529" i="1" s="1"/>
  <c r="K1548" i="1" a="1"/>
  <c r="K1548" i="1" s="1"/>
  <c r="K1530" i="1" a="1"/>
  <c r="K1530" i="1" s="1"/>
  <c r="L1548" i="1" a="1"/>
  <c r="L1548" i="1" s="1"/>
  <c r="K1529" i="1" a="1"/>
  <c r="K1529" i="1" s="1"/>
  <c r="J1548" i="1" a="1"/>
  <c r="J1548" i="1" s="1"/>
  <c r="K1526" i="1" a="1"/>
  <c r="K1526" i="1" s="1"/>
  <c r="L1523" i="1" a="1"/>
  <c r="L1523" i="1" s="1"/>
  <c r="J1520" i="1" a="1"/>
  <c r="J1520" i="1" s="1"/>
  <c r="J1526" i="1" a="1"/>
  <c r="J1526" i="1" s="1"/>
  <c r="L1527" i="1" a="1"/>
  <c r="L1527" i="1" s="1"/>
  <c r="L1524" i="1" a="1"/>
  <c r="L1524" i="1" s="1"/>
  <c r="L1525" i="1" a="1"/>
  <c r="L1525" i="1" s="1"/>
  <c r="J1524" i="1" a="1"/>
  <c r="J1524" i="1" s="1"/>
  <c r="K1523" i="1" a="1"/>
  <c r="K1523" i="1" s="1"/>
  <c r="L1522" i="1" a="1"/>
  <c r="L1522" i="1" s="1"/>
  <c r="J1522" i="1" a="1"/>
  <c r="J1522" i="1" s="1"/>
  <c r="L1520" i="1" a="1"/>
  <c r="L1520" i="1" s="1"/>
  <c r="K1521" i="1" a="1"/>
  <c r="K1521" i="1" s="1"/>
  <c r="J1527" i="1" a="1"/>
  <c r="J1527" i="1" s="1"/>
  <c r="J1521" i="1" a="1"/>
  <c r="J1521" i="1" s="1"/>
  <c r="K1525" i="1" a="1"/>
  <c r="K1525" i="1" s="1"/>
  <c r="L1526" i="1" a="1"/>
  <c r="L1526" i="1" s="1"/>
  <c r="J1525" i="1" a="1"/>
  <c r="J1525" i="1" s="1"/>
  <c r="J1523" i="1" a="1"/>
  <c r="J1523" i="1" s="1"/>
  <c r="K1520" i="1" a="1"/>
  <c r="K1520" i="1" s="1"/>
  <c r="L1521" i="1" a="1"/>
  <c r="L1521" i="1" s="1"/>
  <c r="K1524" i="1" a="1"/>
  <c r="K1524" i="1" s="1"/>
  <c r="K1522" i="1" a="1"/>
  <c r="K1522" i="1" s="1"/>
  <c r="L1528" i="1" a="1"/>
  <c r="L1528" i="1" s="1"/>
  <c r="K1528" i="1" a="1"/>
  <c r="K1528" i="1" s="1"/>
  <c r="K1527" i="1" a="1"/>
  <c r="K1527" i="1" s="1"/>
  <c r="J1528" i="1" a="1"/>
  <c r="J1528" i="1" s="1"/>
  <c r="L1514" i="1" a="1"/>
  <c r="L1514" i="1" s="1"/>
  <c r="K1516" i="1" a="1"/>
  <c r="K1516" i="1" s="1"/>
  <c r="J1515" i="1" a="1"/>
  <c r="J1515" i="1" s="1"/>
  <c r="L1515" i="1" a="1"/>
  <c r="L1515" i="1" s="1"/>
  <c r="L1513" i="1" a="1"/>
  <c r="L1513" i="1" s="1"/>
  <c r="K1519" i="1" a="1"/>
  <c r="K1519" i="1" s="1"/>
  <c r="J1516" i="1" a="1"/>
  <c r="J1516" i="1" s="1"/>
  <c r="K1514" i="1" a="1"/>
  <c r="K1514" i="1" s="1"/>
  <c r="J1513" i="1" a="1"/>
  <c r="J1513" i="1" s="1"/>
  <c r="K1513" i="1" a="1"/>
  <c r="K1513" i="1" s="1"/>
  <c r="K1517" i="1" a="1"/>
  <c r="K1517" i="1" s="1"/>
  <c r="J1519" i="1" a="1"/>
  <c r="J1519" i="1" s="1"/>
  <c r="K1515" i="1" a="1"/>
  <c r="K1515" i="1" s="1"/>
  <c r="L1517" i="1" a="1"/>
  <c r="L1517" i="1" s="1"/>
  <c r="J1517" i="1" a="1"/>
  <c r="J1517" i="1" s="1"/>
  <c r="J1514" i="1" a="1"/>
  <c r="J1514" i="1" s="1"/>
  <c r="L1519" i="1" a="1"/>
  <c r="L1519" i="1" s="1"/>
  <c r="L1516" i="1" a="1"/>
  <c r="L1516" i="1" s="1"/>
  <c r="K1507" i="1" a="1"/>
  <c r="K1507" i="1" s="1"/>
  <c r="L1502" i="1" a="1"/>
  <c r="L1502" i="1" s="1"/>
  <c r="K1500" i="1" a="1"/>
  <c r="K1500" i="1" s="1"/>
  <c r="J1500" i="1" a="1"/>
  <c r="J1500" i="1" s="1"/>
  <c r="L1507" i="1" a="1"/>
  <c r="L1507" i="1" s="1"/>
  <c r="K1505" i="1" a="1"/>
  <c r="K1505" i="1" s="1"/>
  <c r="K1504" i="1" a="1"/>
  <c r="K1504" i="1" s="1"/>
  <c r="K1506" i="1" a="1"/>
  <c r="K1506" i="1" s="1"/>
  <c r="K1502" i="1" a="1"/>
  <c r="K1502" i="1" s="1"/>
  <c r="L1501" i="1" a="1"/>
  <c r="L1501" i="1" s="1"/>
  <c r="J1507" i="1" a="1"/>
  <c r="J1507" i="1" s="1"/>
  <c r="J1506" i="1" a="1"/>
  <c r="J1506" i="1" s="1"/>
  <c r="J1504" i="1" a="1"/>
  <c r="J1504" i="1" s="1"/>
  <c r="J1501" i="1" a="1"/>
  <c r="J1501" i="1" s="1"/>
  <c r="L1505" i="1" a="1"/>
  <c r="L1505" i="1" s="1"/>
  <c r="L1504" i="1" a="1"/>
  <c r="L1504" i="1" s="1"/>
  <c r="J1502" i="1" a="1"/>
  <c r="J1502" i="1" s="1"/>
  <c r="L1500" i="1" a="1"/>
  <c r="L1500" i="1" s="1"/>
  <c r="K1501" i="1" a="1"/>
  <c r="K1501" i="1" s="1"/>
  <c r="J1505" i="1" a="1"/>
  <c r="J1505" i="1" s="1"/>
  <c r="L1506" i="1" a="1"/>
  <c r="L1506" i="1" s="1"/>
  <c r="J1492" i="1" a="1"/>
  <c r="J1492" i="1" s="1"/>
  <c r="K1487" i="1" a="1"/>
  <c r="K1487" i="1" s="1"/>
  <c r="J1494" i="1" a="1"/>
  <c r="J1494" i="1" s="1"/>
  <c r="K1494" i="1" a="1"/>
  <c r="K1494" i="1" s="1"/>
  <c r="L1492" i="1" a="1"/>
  <c r="L1492" i="1" s="1"/>
  <c r="L1485" i="1" a="1"/>
  <c r="L1485" i="1" s="1"/>
  <c r="J1487" i="1" a="1"/>
  <c r="J1487" i="1"/>
  <c r="K1485" i="1" a="1"/>
  <c r="K1485" i="1" s="1"/>
  <c r="J1485" i="1" a="1"/>
  <c r="J1485" i="1" s="1"/>
  <c r="L1487" i="1" a="1"/>
  <c r="L1487" i="1" s="1"/>
  <c r="K1492" i="1" a="1"/>
  <c r="K1492" i="1" s="1"/>
  <c r="L1494" i="1" a="1"/>
  <c r="L1494" i="1" s="1"/>
  <c r="L1499" i="1" a="1"/>
  <c r="L1499" i="1" s="1"/>
  <c r="K1499" i="1" a="1"/>
  <c r="K1499" i="1" s="1"/>
  <c r="J1499" i="1" a="1"/>
  <c r="J1499" i="1" s="1"/>
  <c r="L1458" i="1" a="1"/>
  <c r="L1458" i="1" s="1"/>
  <c r="J1457" i="1" a="1"/>
  <c r="J1457" i="1"/>
  <c r="K1458" i="1" a="1"/>
  <c r="K1458" i="1" s="1"/>
  <c r="L1457" i="1" a="1"/>
  <c r="L1457" i="1" s="1"/>
  <c r="K1457" i="1" a="1"/>
  <c r="K1457" i="1" s="1"/>
  <c r="J1458" i="1" a="1"/>
  <c r="J1458" i="1" s="1"/>
  <c r="K1454" i="1" a="1"/>
  <c r="K1454" i="1" s="1"/>
  <c r="L1453" i="1" a="1"/>
  <c r="L1453" i="1" s="1"/>
  <c r="L1452" i="1" a="1"/>
  <c r="L1452" i="1" s="1"/>
  <c r="K1452" i="1" a="1"/>
  <c r="K1452" i="1" s="1"/>
  <c r="L1449" i="1" a="1"/>
  <c r="L1449" i="1" s="1"/>
  <c r="K1448" i="1" a="1"/>
  <c r="K1448" i="1" s="1"/>
  <c r="J1455" i="1" a="1"/>
  <c r="J1455" i="1" s="1"/>
  <c r="L1448" i="1" a="1"/>
  <c r="L1448" i="1" s="1"/>
  <c r="J1450" i="1" a="1"/>
  <c r="J1450" i="1" s="1"/>
  <c r="L1451" i="1" a="1"/>
  <c r="L1451" i="1" s="1"/>
  <c r="J1456" i="1" a="1"/>
  <c r="J1456" i="1" s="1"/>
  <c r="L1450" i="1" a="1"/>
  <c r="L1450" i="1" s="1"/>
  <c r="K1453" i="1" a="1"/>
  <c r="K1453" i="1" s="1"/>
  <c r="J1454" i="1" a="1"/>
  <c r="J1454" i="1" s="1"/>
  <c r="L1456" i="1" a="1"/>
  <c r="L1456" i="1" s="1"/>
  <c r="K1449" i="1" a="1"/>
  <c r="K1449" i="1" s="1"/>
  <c r="J1453" i="1" a="1"/>
  <c r="J1453" i="1" s="1"/>
  <c r="K1450" i="1" a="1"/>
  <c r="K1450" i="1" s="1"/>
  <c r="K1455" i="1" a="1"/>
  <c r="K1455" i="1" s="1"/>
  <c r="J1452" i="1" a="1"/>
  <c r="J1452" i="1" s="1"/>
  <c r="J1449" i="1" a="1"/>
  <c r="J1449" i="1" s="1"/>
  <c r="J1451" i="1" a="1"/>
  <c r="J1451" i="1" s="1"/>
  <c r="L1454" i="1" a="1"/>
  <c r="L1454" i="1" s="1"/>
  <c r="L1455" i="1" a="1"/>
  <c r="L1455" i="1" s="1"/>
  <c r="K1456" i="1" a="1"/>
  <c r="K1456" i="1" s="1"/>
  <c r="K1451" i="1" a="1"/>
  <c r="K1451" i="1" s="1"/>
  <c r="K1441" i="1" a="1"/>
  <c r="K1441" i="1" s="1"/>
  <c r="J1445" i="1" a="1"/>
  <c r="J1445" i="1" s="1"/>
  <c r="K1439" i="1" a="1"/>
  <c r="K1439" i="1" s="1"/>
  <c r="L1441" i="1" a="1"/>
  <c r="L1441" i="1" s="1"/>
  <c r="J1441" i="1" a="1"/>
  <c r="J1441" i="1" s="1"/>
  <c r="J1440" i="1" a="1"/>
  <c r="J1440" i="1" s="1"/>
  <c r="J1448" i="1" a="1"/>
  <c r="J1448" i="1" s="1"/>
  <c r="J1439" i="1" a="1"/>
  <c r="J1439" i="1" s="1"/>
  <c r="L1443" i="1" a="1"/>
  <c r="L1443" i="1" s="1"/>
  <c r="J1443" i="1" a="1"/>
  <c r="J1443" i="1" s="1"/>
  <c r="K1442" i="1" a="1"/>
  <c r="K1442" i="1" s="1"/>
  <c r="L1444" i="1" a="1"/>
  <c r="L1444" i="1" s="1"/>
  <c r="K1443" i="1" a="1"/>
  <c r="K1443" i="1" s="1"/>
  <c r="L1442" i="1" a="1"/>
  <c r="L1442" i="1" s="1"/>
  <c r="K1444" i="1" a="1"/>
  <c r="K1444" i="1" s="1"/>
  <c r="L1440" i="1" a="1"/>
  <c r="L1440" i="1" s="1"/>
  <c r="L1447" i="1" a="1"/>
  <c r="L1447" i="1" s="1"/>
  <c r="K1447" i="1" a="1"/>
  <c r="K1447" i="1" s="1"/>
  <c r="J1447" i="1" a="1"/>
  <c r="J1447" i="1" s="1"/>
  <c r="K1446" i="1" a="1"/>
  <c r="K1446" i="1" s="1"/>
  <c r="L1446" i="1" a="1"/>
  <c r="L1446" i="1" s="1"/>
  <c r="J1446" i="1" a="1"/>
  <c r="J1446" i="1" s="1"/>
  <c r="J1444" i="1" a="1"/>
  <c r="J1444" i="1" s="1"/>
  <c r="K1440" i="1" a="1"/>
  <c r="K1440" i="1" s="1"/>
  <c r="K1445" i="1" a="1"/>
  <c r="K1445" i="1" s="1"/>
  <c r="L1439" i="1" a="1"/>
  <c r="L1439" i="1" s="1"/>
  <c r="J1442" i="1" a="1"/>
  <c r="J1442" i="1" s="1"/>
  <c r="L1445" i="1" a="1"/>
  <c r="L1445" i="1" s="1"/>
  <c r="J1436" i="1" a="1"/>
  <c r="J1436" i="1" s="1"/>
  <c r="J1433" i="1" a="1"/>
  <c r="J1433" i="1" s="1"/>
  <c r="K1434" i="1" a="1"/>
  <c r="K1434" i="1" s="1"/>
  <c r="L1433" i="1" a="1"/>
  <c r="L1433" i="1" s="1"/>
  <c r="J1432" i="1" a="1"/>
  <c r="J1432" i="1" s="1"/>
  <c r="L1431" i="1" a="1"/>
  <c r="L1431" i="1" s="1"/>
  <c r="L1432" i="1" a="1"/>
  <c r="L1432" i="1" s="1"/>
  <c r="J1431" i="1" a="1"/>
  <c r="J1431" i="1" s="1"/>
  <c r="K1432" i="1" a="1"/>
  <c r="K1432" i="1" s="1"/>
  <c r="L1430" i="1" a="1"/>
  <c r="L1430" i="1" s="1"/>
  <c r="K1438" i="1" a="1"/>
  <c r="K1438" i="1" s="1"/>
  <c r="K1433" i="1" a="1"/>
  <c r="K1433" i="1" s="1"/>
  <c r="J1437" i="1" a="1"/>
  <c r="J1437" i="1" s="1"/>
  <c r="K1430" i="1" a="1"/>
  <c r="K1430" i="1" s="1"/>
  <c r="L1436" i="1" a="1"/>
  <c r="L1436" i="1" s="1"/>
  <c r="L1437" i="1" a="1"/>
  <c r="L1437" i="1" s="1"/>
  <c r="K1437" i="1" a="1"/>
  <c r="K1437" i="1" s="1"/>
  <c r="K1431" i="1" a="1"/>
  <c r="K1431" i="1" s="1"/>
  <c r="L1438" i="1" a="1"/>
  <c r="L1438" i="1" s="1"/>
  <c r="J1430" i="1" a="1"/>
  <c r="J1430" i="1" s="1"/>
  <c r="K1436" i="1" a="1"/>
  <c r="K1436" i="1" s="1"/>
  <c r="L1434" i="1" a="1"/>
  <c r="L1434" i="1" s="1"/>
  <c r="J1434" i="1" a="1"/>
  <c r="J1434" i="1" s="1"/>
  <c r="J1438" i="1" a="1"/>
  <c r="J1438" i="1" s="1"/>
  <c r="K1422" i="1" a="1"/>
  <c r="K1422" i="1" s="1"/>
  <c r="K1419" i="1" a="1"/>
  <c r="K1419" i="1" s="1"/>
  <c r="K1424" i="1" a="1"/>
  <c r="K1424" i="1" s="1"/>
  <c r="K1421" i="1" a="1"/>
  <c r="K1421" i="1" s="1"/>
  <c r="J1419" i="1" a="1"/>
  <c r="J1419" i="1" s="1"/>
  <c r="L1420" i="1" a="1"/>
  <c r="L1420" i="1" s="1"/>
  <c r="J1422" i="1" a="1"/>
  <c r="J1422" i="1" s="1"/>
  <c r="K1423" i="1" a="1"/>
  <c r="K1423" i="1" s="1"/>
  <c r="J1423" i="1" a="1"/>
  <c r="J1423" i="1" s="1"/>
  <c r="J1424" i="1" a="1"/>
  <c r="J1424" i="1" s="1"/>
  <c r="K1420" i="1" a="1"/>
  <c r="K1420" i="1" s="1"/>
  <c r="L1419" i="1" a="1"/>
  <c r="L1419" i="1" s="1"/>
  <c r="L1421" i="1" a="1"/>
  <c r="L1421" i="1" s="1"/>
  <c r="L1422" i="1" a="1"/>
  <c r="L1422" i="1" s="1"/>
  <c r="L1424" i="1" a="1"/>
  <c r="L1424" i="1" s="1"/>
  <c r="J1421" i="1" a="1"/>
  <c r="J1421" i="1" s="1"/>
  <c r="L1423" i="1" a="1"/>
  <c r="L1423" i="1" s="1"/>
  <c r="J1420" i="1" a="1"/>
  <c r="J1420" i="1" s="1"/>
  <c r="L1418" i="1" a="1"/>
  <c r="L1418" i="1" s="1"/>
  <c r="K1418" i="1" a="1"/>
  <c r="K1418" i="1" s="1"/>
  <c r="J1418" i="1" a="1"/>
  <c r="J1418" i="1" s="1"/>
  <c r="J1409" i="1" a="1"/>
  <c r="J1409" i="1" s="1"/>
  <c r="L1407" i="1" a="1"/>
  <c r="L1407" i="1" s="1"/>
  <c r="L1408" i="1" a="1"/>
  <c r="L1408" i="1" s="1"/>
  <c r="L1416" i="1" a="1"/>
  <c r="L1416" i="1" s="1"/>
  <c r="K1410" i="1" a="1"/>
  <c r="K1410" i="1" s="1"/>
  <c r="L1417" i="1" a="1"/>
  <c r="L1417" i="1" s="1"/>
  <c r="K1409" i="1" a="1"/>
  <c r="K1409" i="1" s="1"/>
  <c r="K1408" i="1" a="1"/>
  <c r="K1408" i="1" s="1"/>
  <c r="L1409" i="1" a="1"/>
  <c r="L1409" i="1" s="1"/>
  <c r="K1417" i="1" a="1"/>
  <c r="K1417" i="1" s="1"/>
  <c r="J1417" i="1" a="1"/>
  <c r="J1417" i="1" s="1"/>
  <c r="K1416" i="1" a="1"/>
  <c r="K1416" i="1" s="1"/>
  <c r="J1407" i="1" a="1"/>
  <c r="J1407" i="1" s="1"/>
  <c r="J1408" i="1" a="1"/>
  <c r="J1408" i="1" s="1"/>
  <c r="K1407" i="1" a="1"/>
  <c r="K1407" i="1" s="1"/>
  <c r="J1416" i="1" a="1"/>
  <c r="J1416" i="1" s="1"/>
  <c r="L1410" i="1" a="1"/>
  <c r="L1410" i="1" s="1"/>
  <c r="J1410" i="1" a="1"/>
  <c r="J1410" i="1" s="1"/>
  <c r="J1405" i="1" a="1"/>
  <c r="J1405" i="1" s="1"/>
  <c r="K1404" i="1" a="1"/>
  <c r="K1404" i="1" s="1"/>
  <c r="J1404" i="1" a="1"/>
  <c r="J1404" i="1" s="1"/>
  <c r="L1403" i="1" a="1"/>
  <c r="L1403" i="1" s="1"/>
  <c r="J1403" i="1" a="1"/>
  <c r="J1403" i="1" s="1"/>
  <c r="J1402" i="1" a="1"/>
  <c r="J1402" i="1" s="1"/>
  <c r="L1402" i="1" a="1"/>
  <c r="L1402" i="1" s="1"/>
  <c r="K1402" i="1" a="1"/>
  <c r="K1402" i="1" s="1"/>
  <c r="K1401" i="1" a="1"/>
  <c r="K1401" i="1" s="1"/>
  <c r="L1401" i="1" a="1"/>
  <c r="L1401" i="1" s="1"/>
  <c r="J1401" i="1" a="1"/>
  <c r="J1401" i="1" s="1"/>
  <c r="L1405" i="1" a="1"/>
  <c r="L1405" i="1" s="1"/>
  <c r="K1405" i="1" a="1"/>
  <c r="K1405" i="1" s="1"/>
  <c r="L1404" i="1" a="1"/>
  <c r="L1404" i="1" s="1"/>
  <c r="K1403" i="1" a="1"/>
  <c r="K1403" i="1" s="1"/>
  <c r="L1372" i="1" a="1"/>
  <c r="L1372" i="1" s="1"/>
  <c r="K1373" i="1" a="1"/>
  <c r="K1373" i="1" s="1"/>
  <c r="L1371" i="1" a="1"/>
  <c r="L1371" i="1" s="1"/>
  <c r="J1372" i="1" a="1"/>
  <c r="J1372" i="1" s="1"/>
  <c r="K1371" i="1" a="1"/>
  <c r="K1371" i="1" s="1"/>
  <c r="J1373" i="1" a="1"/>
  <c r="J1373" i="1" s="1"/>
  <c r="K1372" i="1" a="1"/>
  <c r="K1372" i="1" s="1"/>
  <c r="J1371" i="1" a="1"/>
  <c r="J1371" i="1" s="1"/>
  <c r="L1373" i="1" a="1"/>
  <c r="L1373" i="1" s="1"/>
  <c r="K1374" i="1" a="1"/>
  <c r="K1374" i="1" s="1"/>
  <c r="J1374" i="1" a="1"/>
  <c r="J1374" i="1" s="1"/>
  <c r="L1374" i="1" a="1"/>
  <c r="L1374" i="1" s="1"/>
  <c r="J1363" i="1" a="1"/>
  <c r="J1363" i="1" s="1"/>
  <c r="L1364" i="1" a="1"/>
  <c r="L1364" i="1" s="1"/>
  <c r="J1364" i="1" a="1"/>
  <c r="J1364" i="1" s="1"/>
  <c r="K1363" i="1" a="1"/>
  <c r="K1363" i="1" s="1"/>
  <c r="J1366" i="1" a="1"/>
  <c r="J1366" i="1" s="1"/>
  <c r="K1364" i="1" a="1"/>
  <c r="K1364" i="1" s="1"/>
  <c r="J1369" i="1" a="1"/>
  <c r="J1369" i="1" s="1"/>
  <c r="L1367" i="1" a="1"/>
  <c r="L1367" i="1"/>
  <c r="K1367" i="1" a="1"/>
  <c r="K1367" i="1" s="1"/>
  <c r="J1367" i="1" a="1"/>
  <c r="J1367" i="1" s="1"/>
  <c r="J1365" i="1" a="1"/>
  <c r="J1365" i="1" s="1"/>
  <c r="K1368" i="1" a="1"/>
  <c r="K1368" i="1" s="1"/>
  <c r="K1365" i="1" a="1"/>
  <c r="K1365" i="1" s="1"/>
  <c r="L1366" i="1" a="1"/>
  <c r="L1366" i="1" s="1"/>
  <c r="J1362" i="1" a="1"/>
  <c r="J1362" i="1" s="1"/>
  <c r="L1363" i="1" a="1"/>
  <c r="L1363" i="1" s="1"/>
  <c r="K1366" i="1" a="1"/>
  <c r="K1366" i="1" s="1"/>
  <c r="L1370" i="1" a="1"/>
  <c r="L1370" i="1" s="1"/>
  <c r="L1369" i="1" a="1"/>
  <c r="L1369" i="1" s="1"/>
  <c r="L1368" i="1" a="1"/>
  <c r="L1368" i="1" s="1"/>
  <c r="L1365" i="1" a="1"/>
  <c r="L1365" i="1" s="1"/>
  <c r="K1370" i="1" a="1"/>
  <c r="K1370" i="1" s="1"/>
  <c r="J1370" i="1" a="1"/>
  <c r="J1370" i="1" s="1"/>
  <c r="L1362" i="1" a="1"/>
  <c r="L1362" i="1" s="1"/>
  <c r="K1369" i="1" a="1"/>
  <c r="K1369" i="1" s="1"/>
  <c r="J1368" i="1" a="1"/>
  <c r="J1368" i="1" s="1"/>
  <c r="K1362" i="1" a="1"/>
  <c r="K1362" i="1" s="1"/>
  <c r="J1359" i="1" a="1"/>
  <c r="J1359" i="1" s="1"/>
  <c r="J1356" i="1" a="1"/>
  <c r="J1356" i="1" s="1"/>
  <c r="J1357" i="1" a="1"/>
  <c r="J1357" i="1" s="1"/>
  <c r="L1356" i="1" a="1"/>
  <c r="L1356" i="1" s="1"/>
  <c r="K1356" i="1" a="1"/>
  <c r="K1356" i="1" s="1"/>
  <c r="L1360" i="1" a="1"/>
  <c r="L1360" i="1" s="1"/>
  <c r="L1359" i="1" a="1"/>
  <c r="L1359" i="1" s="1"/>
  <c r="L1357" i="1" a="1"/>
  <c r="L1357" i="1" s="1"/>
  <c r="K1360" i="1" a="1"/>
  <c r="K1360" i="1" s="1"/>
  <c r="J1360" i="1" a="1"/>
  <c r="J1360" i="1" s="1"/>
  <c r="K1359" i="1" a="1"/>
  <c r="K1359" i="1" s="1"/>
  <c r="J1358" i="1" a="1"/>
  <c r="J1358" i="1" s="1"/>
  <c r="L1355" i="1" a="1"/>
  <c r="L1355" i="1" s="1"/>
  <c r="K1355" i="1" a="1"/>
  <c r="K1355" i="1" s="1"/>
  <c r="L1354" i="1" a="1"/>
  <c r="L1354" i="1" s="1"/>
  <c r="K1358" i="1" a="1"/>
  <c r="K1358" i="1" s="1"/>
  <c r="K1357" i="1" a="1"/>
  <c r="K1357" i="1" s="1"/>
  <c r="K1353" i="1" a="1"/>
  <c r="K1353" i="1" s="1"/>
  <c r="J1354" i="1" a="1"/>
  <c r="J1354" i="1" s="1"/>
  <c r="L1353" i="1" a="1"/>
  <c r="L1353" i="1" s="1"/>
  <c r="J1353" i="1" a="1"/>
  <c r="J1353" i="1" s="1"/>
  <c r="K1354" i="1" a="1"/>
  <c r="K1354" i="1" s="1"/>
  <c r="J1355" i="1" a="1"/>
  <c r="J1355" i="1" s="1"/>
  <c r="L1361" i="1" a="1"/>
  <c r="L1361" i="1" s="1"/>
  <c r="L1358" i="1" a="1"/>
  <c r="L1358" i="1" s="1"/>
  <c r="K1361" i="1" a="1"/>
  <c r="K1361" i="1" s="1"/>
  <c r="J1361" i="1" a="1"/>
  <c r="J1361" i="1" s="1"/>
  <c r="K1350" i="1" a="1"/>
  <c r="K1350" i="1" s="1"/>
  <c r="J1348" i="1" a="1"/>
  <c r="J1348" i="1" s="1"/>
  <c r="J1346" i="1" a="1"/>
  <c r="J1346" i="1" s="1"/>
  <c r="L1352" i="1" a="1"/>
  <c r="L1352" i="1" s="1"/>
  <c r="L1350" i="1" a="1"/>
  <c r="L1350" i="1" s="1"/>
  <c r="J1350" i="1" a="1"/>
  <c r="J1350" i="1" s="1"/>
  <c r="K1348" i="1" a="1"/>
  <c r="K1348" i="1" s="1"/>
  <c r="K1352" i="1" a="1"/>
  <c r="K1352" i="1" s="1"/>
  <c r="L1347" i="1" a="1"/>
  <c r="L1347" i="1" s="1"/>
  <c r="L1349" i="1" a="1"/>
  <c r="L1349" i="1" s="1"/>
  <c r="K1349" i="1" a="1"/>
  <c r="K1349" i="1" s="1"/>
  <c r="J1349" i="1" a="1"/>
  <c r="J1349" i="1" s="1"/>
  <c r="J1347" i="1" a="1"/>
  <c r="J1347" i="1" s="1"/>
  <c r="K1347" i="1" a="1"/>
  <c r="K1347" i="1" s="1"/>
  <c r="J1352" i="1" a="1"/>
  <c r="J1352" i="1" s="1"/>
  <c r="L1348" i="1" a="1"/>
  <c r="L1348" i="1" s="1"/>
  <c r="K1346" i="1" a="1"/>
  <c r="K1346" i="1" s="1"/>
  <c r="L1346" i="1" a="1"/>
  <c r="L1346" i="1" s="1"/>
  <c r="J1334" i="1" a="1"/>
  <c r="J1334" i="1" s="1"/>
  <c r="J1332" i="1" a="1"/>
  <c r="J1332" i="1" s="1"/>
  <c r="K1333" i="1" a="1"/>
  <c r="K1333" i="1" s="1"/>
  <c r="K1338" i="1" a="1"/>
  <c r="K1338" i="1" s="1"/>
  <c r="L1337" i="1" a="1"/>
  <c r="L1337" i="1" s="1"/>
  <c r="L1340" i="1" a="1"/>
  <c r="L1340" i="1" s="1"/>
  <c r="K1340" i="1" a="1"/>
  <c r="K1340" i="1" s="1"/>
  <c r="J1340" i="1" a="1"/>
  <c r="J1340" i="1" s="1"/>
  <c r="K1339" i="1" a="1"/>
  <c r="K1339" i="1" s="1"/>
  <c r="L1338" i="1" a="1"/>
  <c r="L1338" i="1" s="1"/>
  <c r="L1336" i="1" a="1"/>
  <c r="L1336" i="1" s="1"/>
  <c r="J1338" i="1" a="1"/>
  <c r="J1338" i="1" s="1"/>
  <c r="L1333" i="1" a="1"/>
  <c r="L1333" i="1" s="1"/>
  <c r="K1337" i="1" a="1"/>
  <c r="K1337" i="1" s="1"/>
  <c r="K1335" i="1" a="1"/>
  <c r="K1335" i="1" s="1"/>
  <c r="J1337" i="1" a="1"/>
  <c r="J1337" i="1" s="1"/>
  <c r="L1332" i="1" a="1"/>
  <c r="L1332" i="1" s="1"/>
  <c r="K1336" i="1" a="1"/>
  <c r="K1336" i="1" s="1"/>
  <c r="J1333" i="1" a="1"/>
  <c r="J1333" i="1" s="1"/>
  <c r="L1335" i="1" a="1"/>
  <c r="L1335" i="1" s="1"/>
  <c r="J1335" i="1" a="1"/>
  <c r="J1335" i="1" s="1"/>
  <c r="J1336" i="1" a="1"/>
  <c r="J1336" i="1" s="1"/>
  <c r="K1334" i="1" a="1"/>
  <c r="K1334" i="1" s="1"/>
  <c r="L1334" i="1" a="1"/>
  <c r="L1334" i="1" s="1"/>
  <c r="J1339" i="1" a="1"/>
  <c r="J1339" i="1" s="1"/>
  <c r="K1332" i="1" a="1"/>
  <c r="K1332" i="1" s="1"/>
  <c r="L1339" i="1" a="1"/>
  <c r="L1339" i="1" s="1"/>
  <c r="L1320" i="1" a="1"/>
  <c r="L1320" i="1" s="1"/>
  <c r="K1319" i="1" a="1"/>
  <c r="K1319" i="1" s="1"/>
  <c r="L1323" i="1" a="1"/>
  <c r="L1323" i="1" s="1"/>
  <c r="J1320" i="1" a="1"/>
  <c r="J1320" i="1" s="1"/>
  <c r="L1324" i="1" a="1"/>
  <c r="L1324" i="1" s="1"/>
  <c r="L1326" i="1" a="1"/>
  <c r="L1326" i="1" s="1"/>
  <c r="J1326" i="1" a="1"/>
  <c r="J1326" i="1" s="1"/>
  <c r="L1325" i="1" a="1"/>
  <c r="L1325" i="1" s="1"/>
  <c r="J1325" i="1" a="1"/>
  <c r="J1325" i="1" s="1"/>
  <c r="K1321" i="1" a="1"/>
  <c r="K1321" i="1" s="1"/>
  <c r="J1323" i="1" a="1"/>
  <c r="J1323" i="1" s="1"/>
  <c r="L1319" i="1" a="1"/>
  <c r="L1319" i="1" s="1"/>
  <c r="K1320" i="1" a="1"/>
  <c r="K1320" i="1" s="1"/>
  <c r="J1321" i="1" a="1"/>
  <c r="J1321" i="1" s="1"/>
  <c r="K1326" i="1" a="1"/>
  <c r="K1326" i="1" s="1"/>
  <c r="K1325" i="1" a="1"/>
  <c r="K1325" i="1" s="1"/>
  <c r="L1321" i="1" a="1"/>
  <c r="L1321" i="1" s="1"/>
  <c r="K1324" i="1" a="1"/>
  <c r="K1324" i="1" s="1"/>
  <c r="J1324" i="1" a="1"/>
  <c r="J1324" i="1" s="1"/>
  <c r="K1323" i="1" a="1"/>
  <c r="K1323" i="1" s="1"/>
  <c r="K1317" i="1" a="1"/>
  <c r="K1317" i="1" s="1"/>
  <c r="J1319" i="1" a="1"/>
  <c r="J1319" i="1" s="1"/>
  <c r="L1318" i="1" a="1"/>
  <c r="L1318" i="1" s="1"/>
  <c r="K1318" i="1" a="1"/>
  <c r="K1318" i="1" s="1"/>
  <c r="J1317" i="1" a="1"/>
  <c r="J1317" i="1" s="1"/>
  <c r="L1317" i="1" a="1"/>
  <c r="L1317" i="1" s="1"/>
  <c r="J1318" i="1" a="1"/>
  <c r="J1318" i="1" s="1"/>
  <c r="J1260" i="1" a="1"/>
  <c r="J1260" i="1" s="1"/>
  <c r="K1262" i="1" a="1"/>
  <c r="K1262" i="1" s="1"/>
  <c r="J1263" i="1" a="1"/>
  <c r="J1263" i="1" s="1"/>
  <c r="K1263" i="1" a="1"/>
  <c r="K1263" i="1" s="1"/>
  <c r="L1263" i="1" a="1"/>
  <c r="L1263" i="1" s="1"/>
  <c r="K1261" i="1" a="1"/>
  <c r="K1261" i="1" s="1"/>
  <c r="J1261" i="1" a="1"/>
  <c r="J1261" i="1" s="1"/>
  <c r="L1261" i="1" a="1"/>
  <c r="L1261" i="1" s="1"/>
  <c r="L1260" i="1" a="1"/>
  <c r="L1260" i="1" s="1"/>
  <c r="J1262" i="1" a="1"/>
  <c r="J1262" i="1" s="1"/>
  <c r="K1260" i="1" a="1"/>
  <c r="K1260" i="1" s="1"/>
  <c r="L1262" i="1" a="1"/>
  <c r="L1262" i="1" s="1"/>
  <c r="J1255" i="1" a="1"/>
  <c r="J1255" i="1" s="1"/>
  <c r="L1253" i="1" a="1"/>
  <c r="L1253" i="1" s="1"/>
  <c r="K1253" i="1" a="1"/>
  <c r="K1253" i="1" s="1"/>
  <c r="J1251" i="1" a="1"/>
  <c r="J1251" i="1" s="1"/>
  <c r="K1255" i="1" a="1"/>
  <c r="K1255" i="1" s="1"/>
  <c r="K1256" i="1" a="1"/>
  <c r="K1256" i="1" s="1"/>
  <c r="J1256" i="1" a="1"/>
  <c r="J1256" i="1" s="1"/>
  <c r="J1254" i="1" a="1"/>
  <c r="J1254" i="1" s="1"/>
  <c r="J1253" i="1" a="1"/>
  <c r="J1253" i="1" s="1"/>
  <c r="L1251" i="1" a="1"/>
  <c r="L1251" i="1" s="1"/>
  <c r="L1255" i="1" a="1"/>
  <c r="L1255" i="1" s="1"/>
  <c r="L1254" i="1" a="1"/>
  <c r="L1254" i="1" s="1"/>
  <c r="K1251" i="1" a="1"/>
  <c r="K1251" i="1" s="1"/>
  <c r="L1250" i="1" a="1"/>
  <c r="L1250" i="1" s="1"/>
  <c r="L1256" i="1" a="1"/>
  <c r="L1256" i="1" s="1"/>
  <c r="L1259" i="1" a="1"/>
  <c r="L1259" i="1" s="1"/>
  <c r="K1259" i="1" a="1"/>
  <c r="K1259" i="1" s="1"/>
  <c r="J1259" i="1" a="1"/>
  <c r="J1259" i="1" s="1"/>
  <c r="L1258" i="1" a="1"/>
  <c r="L1258" i="1" s="1"/>
  <c r="K1258" i="1" a="1"/>
  <c r="K1258" i="1" s="1"/>
  <c r="L1252" i="1" a="1"/>
  <c r="L1252" i="1" s="1"/>
  <c r="K1254" i="1" a="1"/>
  <c r="K1254" i="1" s="1"/>
  <c r="J1258" i="1" a="1"/>
  <c r="J1258" i="1" s="1"/>
  <c r="K1252" i="1" a="1"/>
  <c r="K1252" i="1" s="1"/>
  <c r="J1252" i="1" a="1"/>
  <c r="J1252" i="1" s="1"/>
  <c r="L1257" i="1" a="1"/>
  <c r="L1257" i="1" s="1"/>
  <c r="K1257" i="1" a="1"/>
  <c r="K1257" i="1" s="1"/>
  <c r="J1257" i="1" a="1"/>
  <c r="J1257" i="1" s="1"/>
  <c r="J1244" i="1" a="1"/>
  <c r="J1244" i="1" s="1"/>
  <c r="K1245" i="1" a="1"/>
  <c r="K1245" i="1" s="1"/>
  <c r="L1244" i="1" a="1"/>
  <c r="L1244" i="1" s="1"/>
  <c r="K1248" i="1" a="1"/>
  <c r="K1248" i="1" s="1"/>
  <c r="K1244" i="1" a="1"/>
  <c r="K1244" i="1" s="1"/>
  <c r="L1243" i="1" a="1"/>
  <c r="L1243" i="1" s="1"/>
  <c r="L1247" i="1" a="1"/>
  <c r="L1247" i="1" s="1"/>
  <c r="K1242" i="1" a="1"/>
  <c r="K1242" i="1" s="1"/>
  <c r="L1245" i="1" a="1"/>
  <c r="L1245" i="1" s="1"/>
  <c r="K1241" i="1" a="1"/>
  <c r="K1241" i="1" s="1"/>
  <c r="J1245" i="1" a="1"/>
  <c r="J1245" i="1" s="1"/>
  <c r="L1246" i="1" a="1"/>
  <c r="L1246" i="1" s="1"/>
  <c r="L1241" i="1" a="1"/>
  <c r="L1241" i="1" s="1"/>
  <c r="J1243" i="1" a="1"/>
  <c r="J1243" i="1" s="1"/>
  <c r="J1248" i="1" a="1"/>
  <c r="J1248" i="1" s="1"/>
  <c r="K1243" i="1" a="1"/>
  <c r="K1243" i="1" s="1"/>
  <c r="K1250" i="1" a="1"/>
  <c r="K1250" i="1" s="1"/>
  <c r="J1250" i="1" a="1"/>
  <c r="J1250" i="1" s="1"/>
  <c r="L1249" i="1" a="1"/>
  <c r="L1249" i="1" s="1"/>
  <c r="K1249" i="1" a="1"/>
  <c r="K1249" i="1" s="1"/>
  <c r="J1249" i="1" a="1"/>
  <c r="J1249" i="1" s="1"/>
  <c r="J1247" i="1" a="1"/>
  <c r="J1247" i="1" s="1"/>
  <c r="J1242" i="1" a="1"/>
  <c r="J1242" i="1" s="1"/>
  <c r="K1247" i="1" a="1"/>
  <c r="K1247" i="1" s="1"/>
  <c r="J1246" i="1" a="1"/>
  <c r="J1246" i="1" s="1"/>
  <c r="L1242" i="1" a="1"/>
  <c r="L1242" i="1" s="1"/>
  <c r="L1248" i="1" a="1"/>
  <c r="L1248" i="1" s="1"/>
  <c r="K1246" i="1" a="1"/>
  <c r="K1246" i="1" s="1"/>
  <c r="J1673" i="1" a="1"/>
  <c r="J1673" i="1" s="1"/>
  <c r="K1672" i="1" a="1"/>
  <c r="K1672" i="1" s="1"/>
  <c r="J1674" i="1" a="1"/>
  <c r="J1674" i="1" s="1"/>
  <c r="K1671" i="1" a="1"/>
  <c r="K1671" i="1" s="1"/>
  <c r="L1676" i="1" a="1"/>
  <c r="L1676" i="1" s="1"/>
  <c r="L1670" i="1" a="1"/>
  <c r="L1670" i="1" s="1"/>
  <c r="K1676" i="1" a="1"/>
  <c r="K1676" i="1" s="1"/>
  <c r="J1675" i="1" a="1"/>
  <c r="J1675" i="1" s="1"/>
  <c r="K1674" i="1" a="1"/>
  <c r="K1674" i="1" s="1"/>
  <c r="L1672" i="1" a="1"/>
  <c r="L1672" i="1" s="1"/>
  <c r="J1669" i="1" a="1"/>
  <c r="J1669" i="1" s="1"/>
  <c r="J1670" i="1" a="1"/>
  <c r="J1670" i="1" s="1"/>
  <c r="K1669" i="1" a="1"/>
  <c r="K1669" i="1" s="1"/>
  <c r="J1676" i="1" a="1"/>
  <c r="J1676" i="1" s="1"/>
  <c r="J1671" i="1" a="1"/>
  <c r="J1671" i="1" s="1"/>
  <c r="K1673" i="1" a="1"/>
  <c r="K1673" i="1" s="1"/>
  <c r="L1671" i="1" a="1"/>
  <c r="L1671" i="1" s="1"/>
  <c r="K1675" i="1" a="1"/>
  <c r="K1675" i="1" s="1"/>
  <c r="J1672" i="1" a="1"/>
  <c r="J1672" i="1" s="1"/>
  <c r="K1670" i="1" a="1"/>
  <c r="K1670" i="1" s="1"/>
  <c r="L1669" i="1" a="1"/>
  <c r="L1669" i="1" s="1"/>
  <c r="L1675" i="1" a="1"/>
  <c r="L1675" i="1" s="1"/>
  <c r="L1674" i="1" a="1"/>
  <c r="L1674" i="1" s="1"/>
  <c r="L1673" i="1" a="1"/>
  <c r="L1673" i="1" s="1"/>
  <c r="K1667" i="1" a="1"/>
  <c r="K1667" i="1" s="1"/>
  <c r="K1661" i="1" a="1"/>
  <c r="K1661" i="1" s="1"/>
  <c r="K1660" i="1" a="1"/>
  <c r="K1660" i="1" s="1"/>
  <c r="K1662" i="1" a="1"/>
  <c r="K1662" i="1" s="1"/>
  <c r="J1668" i="1" a="1"/>
  <c r="J1668" i="1" s="1"/>
  <c r="J1654" i="1" a="1"/>
  <c r="J1654" i="1" s="1"/>
  <c r="L1654" i="1" a="1"/>
  <c r="L1654" i="1" s="1"/>
  <c r="J1662" i="1" a="1"/>
  <c r="J1662" i="1" s="1"/>
  <c r="J1661" i="1" a="1"/>
  <c r="J1661" i="1" s="1"/>
  <c r="L1660" i="1" a="1"/>
  <c r="L1660" i="1" s="1"/>
  <c r="J1660" i="1" a="1"/>
  <c r="J1660" i="1" s="1"/>
  <c r="L1667" i="1" a="1"/>
  <c r="L1667" i="1" s="1"/>
  <c r="J1667" i="1" a="1"/>
  <c r="J1667" i="1" s="1"/>
  <c r="L1662" i="1" a="1"/>
  <c r="L1662" i="1" s="1"/>
  <c r="K1654" i="1" a="1"/>
  <c r="K1654" i="1" s="1"/>
  <c r="L1661" i="1" a="1"/>
  <c r="L1661" i="1" s="1"/>
  <c r="L1668" i="1" a="1"/>
  <c r="L1668" i="1" s="1"/>
  <c r="K1668" i="1" a="1"/>
  <c r="K1668" i="1" s="1"/>
  <c r="K1647" i="1" a="1"/>
  <c r="K1647" i="1" s="1"/>
  <c r="J1643" i="1" a="1"/>
  <c r="J1643" i="1" s="1"/>
  <c r="L1647" i="1" a="1"/>
  <c r="L1647" i="1" s="1"/>
  <c r="L1646" i="1" a="1"/>
  <c r="L1646" i="1" s="1"/>
  <c r="K1646" i="1" a="1"/>
  <c r="K1646" i="1" s="1"/>
  <c r="L1642" i="1" a="1"/>
  <c r="L1642" i="1" s="1"/>
  <c r="L1643" i="1" a="1"/>
  <c r="L1643" i="1" s="1"/>
  <c r="K1643" i="1" a="1"/>
  <c r="K1643" i="1" s="1"/>
  <c r="J1646" i="1" a="1"/>
  <c r="J1646" i="1" s="1"/>
  <c r="J1642" i="1" a="1"/>
  <c r="J1642" i="1" s="1"/>
  <c r="K1642" i="1" a="1"/>
  <c r="K1642" i="1" s="1"/>
  <c r="J1647" i="1" a="1"/>
  <c r="J1647" i="1" s="1"/>
  <c r="J1624" i="1" a="1"/>
  <c r="J1624" i="1" s="1"/>
  <c r="J1625" i="1" a="1"/>
  <c r="J1625" i="1" s="1"/>
  <c r="K1627" i="1" a="1"/>
  <c r="K1627" i="1" s="1"/>
  <c r="L1626" i="1" a="1"/>
  <c r="L1626" i="1" s="1"/>
  <c r="K1625" i="1" a="1"/>
  <c r="K1625" i="1" s="1"/>
  <c r="K1628" i="1" a="1"/>
  <c r="K1628" i="1" s="1"/>
  <c r="L1623" i="1" a="1"/>
  <c r="L1623" i="1" s="1"/>
  <c r="J1623" i="1" a="1"/>
  <c r="J1623" i="1" s="1"/>
  <c r="K1629" i="1" a="1"/>
  <c r="K1629" i="1" s="1"/>
  <c r="L1624" i="1" a="1"/>
  <c r="L1624" i="1" s="1"/>
  <c r="L1629" i="1" a="1"/>
  <c r="L1629" i="1" s="1"/>
  <c r="K1624" i="1" a="1"/>
  <c r="K1624" i="1" s="1"/>
  <c r="J1628" i="1" a="1"/>
  <c r="J1628" i="1" s="1"/>
  <c r="J1629" i="1" a="1"/>
  <c r="J1629" i="1" s="1"/>
  <c r="L1625" i="1" a="1"/>
  <c r="L1625" i="1" s="1"/>
  <c r="K1623" i="1" a="1"/>
  <c r="K1623" i="1" s="1"/>
  <c r="J1626" i="1" a="1"/>
  <c r="J1626" i="1" s="1"/>
  <c r="L1627" i="1" a="1"/>
  <c r="L1627" i="1" s="1"/>
  <c r="J1627" i="1" a="1"/>
  <c r="J1627" i="1" s="1"/>
  <c r="K1626" i="1" a="1"/>
  <c r="K1626" i="1" s="1"/>
  <c r="L1628" i="1" a="1"/>
  <c r="L1628" i="1" s="1"/>
  <c r="L1613" i="1" a="1"/>
  <c r="L1613" i="1" s="1"/>
  <c r="K1611" i="1" a="1"/>
  <c r="K1611" i="1" s="1"/>
  <c r="L1621" i="1" a="1"/>
  <c r="L1621" i="1" s="1"/>
  <c r="K1621" i="1" a="1"/>
  <c r="K1621" i="1" s="1"/>
  <c r="J1619" i="1" a="1"/>
  <c r="J1619" i="1" s="1"/>
  <c r="L1612" i="1" a="1"/>
  <c r="L1612" i="1" s="1"/>
  <c r="J1612" i="1" a="1"/>
  <c r="J1612" i="1" s="1"/>
  <c r="L1619" i="1" a="1"/>
  <c r="L1619" i="1" s="1"/>
  <c r="K1619" i="1" a="1"/>
  <c r="K1619" i="1" s="1"/>
  <c r="K1612" i="1" a="1"/>
  <c r="K1612" i="1" s="1"/>
  <c r="L1622" i="1" a="1"/>
  <c r="L1622" i="1" s="1"/>
  <c r="K1622" i="1" a="1"/>
  <c r="K1622" i="1" s="1"/>
  <c r="J1622" i="1" a="1"/>
  <c r="J1622" i="1" s="1"/>
  <c r="J1611" i="1" a="1"/>
  <c r="J1611" i="1" s="1"/>
  <c r="L1611" i="1" a="1"/>
  <c r="L1611" i="1" s="1"/>
  <c r="J1621" i="1" a="1"/>
  <c r="J1621" i="1" s="1"/>
  <c r="K1613" i="1" a="1"/>
  <c r="K1613" i="1" s="1"/>
  <c r="J1613" i="1" a="1"/>
  <c r="J1613" i="1" s="1"/>
  <c r="J1604" i="1" a="1"/>
  <c r="J1604" i="1" s="1"/>
  <c r="L1605" i="1" a="1"/>
  <c r="L1605" i="1" s="1"/>
  <c r="L1596" i="1" a="1"/>
  <c r="L1596" i="1" s="1"/>
  <c r="L1598" i="1" a="1"/>
  <c r="L1598" i="1" s="1"/>
  <c r="K1598" i="1" a="1"/>
  <c r="K1598" i="1" s="1"/>
  <c r="J1598" i="1" a="1"/>
  <c r="J1598" i="1" s="1"/>
  <c r="J1596" i="1" a="1"/>
  <c r="J1596" i="1" s="1"/>
  <c r="L1604" i="1" a="1"/>
  <c r="L1604" i="1" s="1"/>
  <c r="K1604" i="1" a="1"/>
  <c r="K1604" i="1" s="1"/>
  <c r="J1595" i="1" a="1"/>
  <c r="J1595" i="1" s="1"/>
  <c r="K1596" i="1" a="1"/>
  <c r="K1596" i="1" s="1"/>
  <c r="K1595" i="1" a="1"/>
  <c r="K1595" i="1" s="1"/>
  <c r="K1605" i="1" a="1"/>
  <c r="K1605" i="1" s="1"/>
  <c r="L1595" i="1" a="1"/>
  <c r="L1595" i="1" s="1"/>
  <c r="J1605" i="1" a="1"/>
  <c r="J1605" i="1" s="1"/>
  <c r="J1580" i="1" a="1"/>
  <c r="J1580" i="1" s="1"/>
  <c r="L1580" i="1" a="1"/>
  <c r="L1580" i="1" s="1"/>
  <c r="L1579" i="1" a="1"/>
  <c r="L1579" i="1" s="1"/>
  <c r="L1578" i="1" a="1"/>
  <c r="L1578" i="1" s="1"/>
  <c r="K1580" i="1" a="1"/>
  <c r="K1580" i="1" s="1"/>
  <c r="K1581" i="1" a="1"/>
  <c r="K1581" i="1" s="1"/>
  <c r="J1582" i="1" a="1"/>
  <c r="J1582" i="1" s="1"/>
  <c r="J1579" i="1" a="1"/>
  <c r="J1579" i="1" s="1"/>
  <c r="K1582" i="1" a="1"/>
  <c r="K1582" i="1" s="1"/>
  <c r="J1581" i="1" a="1"/>
  <c r="J1581" i="1" s="1"/>
  <c r="L1581" i="1" a="1"/>
  <c r="L1581" i="1" s="1"/>
  <c r="K1579" i="1" a="1"/>
  <c r="K1579" i="1" s="1"/>
  <c r="K1578" i="1" a="1"/>
  <c r="K1578" i="1" s="1"/>
  <c r="J1578" i="1" a="1"/>
  <c r="J1578" i="1" s="1"/>
  <c r="L1582" i="1" a="1"/>
  <c r="L1582" i="1" s="1"/>
  <c r="K1576" i="1" a="1"/>
  <c r="K1576" i="1" s="1"/>
  <c r="L1572" i="1" a="1"/>
  <c r="L1572" i="1" s="1"/>
  <c r="J1577" i="1" a="1"/>
  <c r="J1577" i="1" s="1"/>
  <c r="J1575" i="1" a="1"/>
  <c r="J1575" i="1" s="1"/>
  <c r="L1576" i="1" a="1"/>
  <c r="L1576" i="1" s="1"/>
  <c r="K1575" i="1" a="1"/>
  <c r="K1575" i="1" s="1"/>
  <c r="J1574" i="1" a="1"/>
  <c r="J1574" i="1" s="1"/>
  <c r="J1566" i="1" a="1"/>
  <c r="J1566" i="1" s="1"/>
  <c r="L1574" i="1" a="1"/>
  <c r="L1574" i="1" s="1"/>
  <c r="K1574" i="1" a="1"/>
  <c r="K1574" i="1" s="1"/>
  <c r="K1572" i="1" a="1"/>
  <c r="K1572" i="1" s="1"/>
  <c r="L1565" i="1" a="1"/>
  <c r="L1565" i="1" s="1"/>
  <c r="J1572" i="1" a="1"/>
  <c r="J1572" i="1" s="1"/>
  <c r="L1566" i="1" a="1"/>
  <c r="L1566" i="1" s="1"/>
  <c r="J1565" i="1" a="1"/>
  <c r="J1565" i="1" s="1"/>
  <c r="L1577" i="1" a="1"/>
  <c r="L1577" i="1" s="1"/>
  <c r="K1565" i="1" a="1"/>
  <c r="K1565" i="1" s="1"/>
  <c r="L1575" i="1" a="1"/>
  <c r="L1575" i="1" s="1"/>
  <c r="J1576" i="1" a="1"/>
  <c r="J1576" i="1" s="1"/>
  <c r="K1566" i="1" a="1"/>
  <c r="K1566" i="1" s="1"/>
  <c r="K1577" i="1" a="1"/>
  <c r="K1577" i="1" s="1"/>
  <c r="K1551" i="1" a="1"/>
  <c r="K1551" i="1" s="1"/>
  <c r="L1564" i="1" a="1"/>
  <c r="L1564" i="1" s="1"/>
  <c r="K1564" i="1" a="1"/>
  <c r="K1564" i="1" s="1"/>
  <c r="K1558" i="1" a="1"/>
  <c r="K1558" i="1" s="1"/>
  <c r="K1557" i="1" a="1"/>
  <c r="K1557" i="1" s="1"/>
  <c r="J1549" i="1" a="1"/>
  <c r="J1549" i="1" s="1"/>
  <c r="J1564" i="1" a="1"/>
  <c r="J1564" i="1" s="1"/>
  <c r="L1558" i="1" a="1"/>
  <c r="L1558" i="1" s="1"/>
  <c r="L1557" i="1" a="1"/>
  <c r="L1557" i="1" s="1"/>
  <c r="L1549" i="1" a="1"/>
  <c r="L1549" i="1" s="1"/>
  <c r="K1549" i="1" a="1"/>
  <c r="K1549" i="1" s="1"/>
  <c r="J1558" i="1" a="1"/>
  <c r="J1558" i="1" s="1"/>
  <c r="J1551" i="1" a="1"/>
  <c r="J1551" i="1" s="1"/>
  <c r="J1557" i="1" a="1"/>
  <c r="J1557" i="1" s="1"/>
  <c r="L1551" i="1" a="1"/>
  <c r="L1551" i="1" s="1"/>
  <c r="L2185" i="1" a="1"/>
  <c r="L2185" i="1" s="1"/>
  <c r="K2190" i="1" a="1"/>
  <c r="K2190" i="1" s="1"/>
  <c r="L2187" i="1" a="1"/>
  <c r="L2187" i="1" s="1"/>
  <c r="J2187" i="1" a="1"/>
  <c r="J2187" i="1" s="1"/>
  <c r="L2186" i="1" a="1"/>
  <c r="L2186" i="1" s="1"/>
  <c r="K2184" i="1" a="1"/>
  <c r="K2184" i="1" s="1"/>
  <c r="L2183" i="1" a="1"/>
  <c r="L2183" i="1" s="1"/>
  <c r="J2182" i="1" a="1"/>
  <c r="J2182" i="1" s="1"/>
  <c r="K2186" i="1" a="1"/>
  <c r="K2186" i="1" s="1"/>
  <c r="K2187" i="1" a="1"/>
  <c r="K2187" i="1" s="1"/>
  <c r="K2185" i="1" a="1"/>
  <c r="K2185" i="1" s="1"/>
  <c r="J2186" i="1" a="1"/>
  <c r="J2186" i="1" s="1"/>
  <c r="J2184" i="1" a="1"/>
  <c r="J2184" i="1" s="1"/>
  <c r="J2190" i="1" a="1"/>
  <c r="J2190" i="1" s="1"/>
  <c r="J2181" i="1" a="1"/>
  <c r="J2181" i="1" s="1"/>
  <c r="K2182" i="1" a="1"/>
  <c r="K2182" i="1" s="1"/>
  <c r="L2188" i="1" a="1"/>
  <c r="L2188" i="1" s="1"/>
  <c r="K2183" i="1" a="1"/>
  <c r="K2183" i="1" s="1"/>
  <c r="L2181" i="1" a="1"/>
  <c r="L2181" i="1" s="1"/>
  <c r="J2183" i="1" a="1"/>
  <c r="J2183" i="1" s="1"/>
  <c r="K2181" i="1" a="1"/>
  <c r="K2181" i="1" s="1"/>
  <c r="J2185" i="1" a="1"/>
  <c r="J2185" i="1" s="1"/>
  <c r="K2188" i="1" a="1"/>
  <c r="K2188" i="1" s="1"/>
  <c r="J2188" i="1" a="1"/>
  <c r="J2188" i="1" s="1"/>
  <c r="L2182" i="1" a="1"/>
  <c r="L2182" i="1" s="1"/>
  <c r="L2190" i="1" a="1"/>
  <c r="L2190" i="1" s="1"/>
  <c r="L2184" i="1" a="1"/>
  <c r="L2184" i="1" s="1"/>
  <c r="J2173" i="1" a="1"/>
  <c r="J2173" i="1" s="1"/>
  <c r="L2173" i="1" a="1"/>
  <c r="L2173" i="1" s="1"/>
  <c r="J2175" i="1" a="1"/>
  <c r="J2175" i="1" s="1"/>
  <c r="K2173" i="1" a="1"/>
  <c r="K2173" i="1" s="1"/>
  <c r="L2172" i="1" a="1"/>
  <c r="L2172" i="1" s="1"/>
  <c r="L2174" i="1" a="1"/>
  <c r="L2174" i="1" s="1"/>
  <c r="K2178" i="1" a="1"/>
  <c r="K2178" i="1" s="1"/>
  <c r="J2177" i="1" a="1"/>
  <c r="J2177" i="1" s="1"/>
  <c r="K2179" i="1" a="1"/>
  <c r="K2179" i="1" s="1"/>
  <c r="L2175" i="1" a="1"/>
  <c r="L2175" i="1" s="1"/>
  <c r="K2175" i="1" a="1"/>
  <c r="K2175" i="1" s="1"/>
  <c r="J2174" i="1" a="1"/>
  <c r="J2174" i="1" s="1"/>
  <c r="K2174" i="1" a="1"/>
  <c r="K2174" i="1" s="1"/>
  <c r="K2176" i="1" a="1"/>
  <c r="K2176" i="1" s="1"/>
  <c r="J2172" i="1" a="1"/>
  <c r="J2172" i="1" s="1"/>
  <c r="L2180" i="1" a="1"/>
  <c r="L2180" i="1" s="1"/>
  <c r="K2180" i="1" a="1"/>
  <c r="K2180" i="1" s="1"/>
  <c r="J2180" i="1" a="1"/>
  <c r="J2180" i="1" s="1"/>
  <c r="L2179" i="1" a="1"/>
  <c r="L2179" i="1" s="1"/>
  <c r="K2172" i="1" a="1"/>
  <c r="K2172" i="1" s="1"/>
  <c r="J2179" i="1" a="1"/>
  <c r="J2179" i="1" s="1"/>
  <c r="L2176" i="1" a="1"/>
  <c r="L2176" i="1" s="1"/>
  <c r="L2177" i="1" a="1"/>
  <c r="L2177" i="1" s="1"/>
  <c r="J2176" i="1" a="1"/>
  <c r="J2176" i="1" s="1"/>
  <c r="L2178" i="1" a="1"/>
  <c r="L2178" i="1" s="1"/>
  <c r="J2178" i="1" a="1"/>
  <c r="J2178" i="1" s="1"/>
  <c r="K2177" i="1" a="1"/>
  <c r="K2177" i="1" s="1"/>
  <c r="L2167" i="1" a="1"/>
  <c r="L2167" i="1" s="1"/>
  <c r="K2164" i="1" a="1"/>
  <c r="K2164" i="1" s="1"/>
  <c r="K2167" i="1" a="1"/>
  <c r="K2167" i="1" s="1"/>
  <c r="K2170" i="1" a="1"/>
  <c r="K2170" i="1" s="1"/>
  <c r="L2163" i="1" a="1"/>
  <c r="L2163" i="1" s="1"/>
  <c r="L2162" i="1" a="1"/>
  <c r="L2162" i="1" s="1"/>
  <c r="J2164" i="1" a="1"/>
  <c r="J2164" i="1" s="1"/>
  <c r="J2170" i="1" a="1"/>
  <c r="J2170" i="1" s="1"/>
  <c r="L2164" i="1" a="1"/>
  <c r="L2164" i="1" s="1"/>
  <c r="L2169" i="1" a="1"/>
  <c r="L2169" i="1" s="1"/>
  <c r="L2168" i="1" a="1"/>
  <c r="L2168" i="1" s="1"/>
  <c r="K2168" i="1" a="1"/>
  <c r="K2168" i="1" s="1"/>
  <c r="J2169" i="1" a="1"/>
  <c r="J2169" i="1" s="1"/>
  <c r="K2162" i="1" a="1"/>
  <c r="K2162" i="1" s="1"/>
  <c r="K2166" i="1" a="1"/>
  <c r="K2166" i="1" s="1"/>
  <c r="J2163" i="1" a="1"/>
  <c r="J2163" i="1" s="1"/>
  <c r="J2167" i="1" a="1"/>
  <c r="J2167" i="1" s="1"/>
  <c r="K2169" i="1" a="1"/>
  <c r="K2169" i="1" s="1"/>
  <c r="J2162" i="1" a="1"/>
  <c r="J2162" i="1" s="1"/>
  <c r="K2163" i="1" a="1"/>
  <c r="K2163" i="1" s="1"/>
  <c r="L2166" i="1" a="1"/>
  <c r="L2166" i="1" s="1"/>
  <c r="L2171" i="1" a="1"/>
  <c r="L2171" i="1" s="1"/>
  <c r="K2171" i="1" a="1"/>
  <c r="K2171" i="1" s="1"/>
  <c r="J2166" i="1" a="1"/>
  <c r="J2166" i="1" s="1"/>
  <c r="J2171" i="1" a="1"/>
  <c r="J2171" i="1" s="1"/>
  <c r="L2170" i="1" a="1"/>
  <c r="L2170" i="1" s="1"/>
  <c r="J2168" i="1" a="1"/>
  <c r="J2168" i="1" s="1"/>
  <c r="J2160" i="1" a="1"/>
  <c r="J2160" i="1" s="1"/>
  <c r="L2160" i="1" a="1"/>
  <c r="L2160" i="1" s="1"/>
  <c r="L2159" i="1" a="1"/>
  <c r="L2159" i="1" s="1"/>
  <c r="J2158" i="1" a="1"/>
  <c r="J2158" i="1" s="1"/>
  <c r="K2159" i="1" a="1"/>
  <c r="K2159" i="1" s="1"/>
  <c r="J2159" i="1" a="1"/>
  <c r="J2159" i="1" s="1"/>
  <c r="L2158" i="1" a="1"/>
  <c r="L2158" i="1" s="1"/>
  <c r="L2156" i="1" a="1"/>
  <c r="L2156" i="1" s="1"/>
  <c r="K2158" i="1" a="1"/>
  <c r="K2158" i="1" s="1"/>
  <c r="L2153" i="1" a="1"/>
  <c r="L2153" i="1" s="1"/>
  <c r="L2157" i="1" a="1"/>
  <c r="L2157" i="1" s="1"/>
  <c r="L2155" i="1" a="1"/>
  <c r="L2155" i="1" s="1"/>
  <c r="L2154" i="1" a="1"/>
  <c r="L2154" i="1" s="1"/>
  <c r="K2154" i="1" a="1"/>
  <c r="K2154" i="1" s="1"/>
  <c r="K2153" i="1" a="1"/>
  <c r="K2153" i="1" s="1"/>
  <c r="J2153" i="1" a="1"/>
  <c r="J2153" i="1" s="1"/>
  <c r="K2156" i="1" a="1"/>
  <c r="K2156" i="1" s="1"/>
  <c r="J2155" i="1" a="1"/>
  <c r="J2155" i="1" s="1"/>
  <c r="K2155" i="1" a="1"/>
  <c r="K2155" i="1" s="1"/>
  <c r="J2156" i="1" a="1"/>
  <c r="J2156" i="1" s="1"/>
  <c r="J2157" i="1" a="1"/>
  <c r="J2157" i="1" s="1"/>
  <c r="K2157" i="1" a="1"/>
  <c r="K2157" i="1" s="1"/>
  <c r="L2161" i="1" a="1"/>
  <c r="L2161" i="1" s="1"/>
  <c r="K2161" i="1" a="1"/>
  <c r="K2161" i="1" s="1"/>
  <c r="J2161" i="1" a="1"/>
  <c r="J2161" i="1" s="1"/>
  <c r="K2160" i="1" a="1"/>
  <c r="K2160" i="1" s="1"/>
  <c r="J2154" i="1" a="1"/>
  <c r="J2154" i="1" s="1"/>
  <c r="L2144" i="1" a="1"/>
  <c r="L2144" i="1" s="1"/>
  <c r="J2146" i="1" a="1"/>
  <c r="J2146" i="1" s="1"/>
  <c r="L2152" i="1" a="1"/>
  <c r="L2152" i="1" s="1"/>
  <c r="K2152" i="1" a="1"/>
  <c r="K2152" i="1" s="1"/>
  <c r="L2151" i="1" a="1"/>
  <c r="L2151" i="1" s="1"/>
  <c r="L2150" i="1" a="1"/>
  <c r="L2150" i="1" s="1"/>
  <c r="L2146" i="1" a="1"/>
  <c r="L2146" i="1" s="1"/>
  <c r="L2145" i="1" a="1"/>
  <c r="L2145" i="1" s="1"/>
  <c r="J2145" i="1" a="1"/>
  <c r="J2145" i="1" s="1"/>
  <c r="J2148" i="1" a="1"/>
  <c r="J2148" i="1" s="1"/>
  <c r="J2152" i="1" a="1"/>
  <c r="J2152" i="1" s="1"/>
  <c r="J2151" i="1" a="1"/>
  <c r="J2151" i="1" s="1"/>
  <c r="K2144" i="1" a="1"/>
  <c r="K2144" i="1" s="1"/>
  <c r="K2149" i="1" a="1"/>
  <c r="K2149" i="1" s="1"/>
  <c r="K2151" i="1" a="1"/>
  <c r="K2151" i="1" s="1"/>
  <c r="L2149" i="1" a="1"/>
  <c r="L2149" i="1" s="1"/>
  <c r="K2146" i="1" a="1"/>
  <c r="K2146" i="1" s="1"/>
  <c r="K2145" i="1" a="1"/>
  <c r="K2145" i="1" s="1"/>
  <c r="K2150" i="1" a="1"/>
  <c r="K2150" i="1" s="1"/>
  <c r="J2150" i="1" a="1"/>
  <c r="J2150" i="1" s="1"/>
  <c r="L2148" i="1" a="1"/>
  <c r="L2148" i="1" s="1"/>
  <c r="K2148" i="1" a="1"/>
  <c r="K2148" i="1" s="1"/>
  <c r="L2147" i="1" a="1"/>
  <c r="L2147" i="1" s="1"/>
  <c r="K2147" i="1" a="1"/>
  <c r="K2147" i="1" s="1"/>
  <c r="J2149" i="1" a="1"/>
  <c r="J2149" i="1" s="1"/>
  <c r="J2147" i="1" a="1"/>
  <c r="J2147" i="1" s="1"/>
  <c r="K2141" i="1" a="1"/>
  <c r="K2141" i="1" s="1"/>
  <c r="L2139" i="1" a="1"/>
  <c r="L2139" i="1" s="1"/>
  <c r="J2135" i="1" a="1"/>
  <c r="J2135" i="1" s="1"/>
  <c r="L2135" i="1" a="1"/>
  <c r="L2135" i="1" s="1"/>
  <c r="L2136" i="1" a="1"/>
  <c r="L2136" i="1" s="1"/>
  <c r="K2142" i="1" a="1"/>
  <c r="K2142" i="1" s="1"/>
  <c r="L2140" i="1" a="1"/>
  <c r="L2140" i="1" s="1"/>
  <c r="K2140" i="1" a="1"/>
  <c r="K2140" i="1" s="1"/>
  <c r="J2139" i="1" a="1"/>
  <c r="J2139" i="1" s="1"/>
  <c r="J2138" i="1" a="1"/>
  <c r="J2138" i="1" s="1"/>
  <c r="L2141" i="1" a="1"/>
  <c r="L2141" i="1" s="1"/>
  <c r="L2138" i="1" a="1"/>
  <c r="L2138" i="1" s="1"/>
  <c r="K2137" i="1" a="1"/>
  <c r="K2137" i="1" s="1"/>
  <c r="J2144" i="1" a="1"/>
  <c r="J2144" i="1" s="1"/>
  <c r="J2142" i="1" a="1"/>
  <c r="J2142" i="1" s="1"/>
  <c r="K2136" i="1" a="1"/>
  <c r="K2136" i="1" s="1"/>
  <c r="L2143" i="1" a="1"/>
  <c r="L2143" i="1" s="1"/>
  <c r="K2143" i="1" a="1"/>
  <c r="K2143" i="1" s="1"/>
  <c r="J2143" i="1" a="1"/>
  <c r="J2143" i="1" s="1"/>
  <c r="L2142" i="1" a="1"/>
  <c r="L2142" i="1" s="1"/>
  <c r="J2141" i="1" a="1"/>
  <c r="J2141" i="1" s="1"/>
  <c r="J2137" i="1" a="1"/>
  <c r="J2137" i="1" s="1"/>
  <c r="K2135" i="1" a="1"/>
  <c r="K2135" i="1" s="1"/>
  <c r="J2140" i="1" a="1"/>
  <c r="J2140" i="1" s="1"/>
  <c r="K2139" i="1" a="1"/>
  <c r="K2139" i="1" s="1"/>
  <c r="K2138" i="1" a="1"/>
  <c r="K2138" i="1" s="1"/>
  <c r="J2136" i="1" a="1"/>
  <c r="J2136" i="1" s="1"/>
  <c r="L2137" i="1" a="1"/>
  <c r="L2137" i="1" s="1"/>
  <c r="K2132" i="1" a="1"/>
  <c r="K2132" i="1" s="1"/>
  <c r="L2128" i="1" a="1"/>
  <c r="L2128" i="1" s="1"/>
  <c r="J2128" i="1" a="1"/>
  <c r="J2128" i="1" s="1"/>
  <c r="K2129" i="1" a="1"/>
  <c r="K2129" i="1" s="1"/>
  <c r="L2132" i="1" a="1"/>
  <c r="L2132" i="1" s="1"/>
  <c r="L2131" i="1" a="1"/>
  <c r="L2131" i="1" s="1"/>
  <c r="K2131" i="1" a="1"/>
  <c r="K2131" i="1" s="1"/>
  <c r="J2131" i="1" a="1"/>
  <c r="J2131" i="1" s="1"/>
  <c r="L2130" i="1" a="1"/>
  <c r="L2130" i="1" s="1"/>
  <c r="K2130" i="1" a="1"/>
  <c r="K2130" i="1" s="1"/>
  <c r="L2126" i="1" a="1"/>
  <c r="L2126" i="1" s="1"/>
  <c r="L2127" i="1" a="1"/>
  <c r="L2127" i="1" s="1"/>
  <c r="J2127" i="1" a="1"/>
  <c r="J2127" i="1" s="1"/>
  <c r="J2126" i="1" a="1"/>
  <c r="J2126" i="1" s="1"/>
  <c r="L2134" i="1" a="1"/>
  <c r="L2134" i="1" s="1"/>
  <c r="K2134" i="1" a="1"/>
  <c r="K2134" i="1" s="1"/>
  <c r="K2133" i="1" a="1"/>
  <c r="K2133" i="1" s="1"/>
  <c r="J2129" i="1" a="1"/>
  <c r="J2129" i="1" s="1"/>
  <c r="J2130" i="1" a="1"/>
  <c r="J2130" i="1" s="1"/>
  <c r="J2134" i="1" a="1"/>
  <c r="J2134" i="1" s="1"/>
  <c r="L2129" i="1" a="1"/>
  <c r="L2129" i="1" s="1"/>
  <c r="J2132" i="1" a="1"/>
  <c r="J2132" i="1" s="1"/>
  <c r="K2128" i="1" a="1"/>
  <c r="K2128" i="1" s="1"/>
  <c r="K2127" i="1" a="1"/>
  <c r="K2127" i="1" s="1"/>
  <c r="J2133" i="1" a="1"/>
  <c r="J2133" i="1" s="1"/>
  <c r="K2126" i="1" a="1"/>
  <c r="K2126" i="1" s="1"/>
  <c r="L2133" i="1" a="1"/>
  <c r="L2133" i="1" s="1"/>
  <c r="K2120" i="1" a="1"/>
  <c r="K2120" i="1" s="1"/>
  <c r="J2118" i="1" a="1"/>
  <c r="J2118" i="1" s="1"/>
  <c r="K2117" i="1" a="1"/>
  <c r="K2117" i="1" s="1"/>
  <c r="L2119" i="1" a="1"/>
  <c r="L2119" i="1" s="1"/>
  <c r="K2123" i="1" a="1"/>
  <c r="K2123" i="1" s="1"/>
  <c r="K2121" i="1" a="1"/>
  <c r="K2121" i="1" s="1"/>
  <c r="J2120" i="1" a="1"/>
  <c r="J2120" i="1" s="1"/>
  <c r="K2119" i="1" a="1"/>
  <c r="K2119" i="1" s="1"/>
  <c r="K2124" i="1" a="1"/>
  <c r="K2124" i="1" s="1"/>
  <c r="L2120" i="1" a="1"/>
  <c r="L2120" i="1" s="1"/>
  <c r="K2118" i="1" a="1"/>
  <c r="K2118" i="1" s="1"/>
  <c r="K2122" i="1" a="1"/>
  <c r="K2122" i="1" s="1"/>
  <c r="J2119" i="1" a="1"/>
  <c r="J2119" i="1" s="1"/>
  <c r="J2117" i="1" a="1"/>
  <c r="J2117" i="1" s="1"/>
  <c r="L2125" i="1" a="1"/>
  <c r="L2125" i="1" s="1"/>
  <c r="L2122" i="1" a="1"/>
  <c r="L2122" i="1" s="1"/>
  <c r="J2124" i="1" a="1"/>
  <c r="J2124" i="1" s="1"/>
  <c r="L2121" i="1" a="1"/>
  <c r="L2121" i="1" s="1"/>
  <c r="K2125" i="1" a="1"/>
  <c r="K2125" i="1" s="1"/>
  <c r="J2125" i="1" a="1"/>
  <c r="J2125" i="1" s="1"/>
  <c r="J2122" i="1" a="1"/>
  <c r="J2122" i="1" s="1"/>
  <c r="J2121" i="1" a="1"/>
  <c r="J2121" i="1" s="1"/>
  <c r="L2118" i="1" a="1"/>
  <c r="L2118" i="1" s="1"/>
  <c r="L2123" i="1" a="1"/>
  <c r="L2123" i="1" s="1"/>
  <c r="L2117" i="1" a="1"/>
  <c r="L2117" i="1" s="1"/>
  <c r="J2123" i="1" a="1"/>
  <c r="J2123" i="1" s="1"/>
  <c r="L2124" i="1" a="1"/>
  <c r="L2124" i="1" s="1"/>
  <c r="L2116" i="1" a="1"/>
  <c r="L2116" i="1" s="1"/>
  <c r="K2115" i="1" a="1"/>
  <c r="K2115" i="1" s="1"/>
  <c r="K2116" i="1" a="1"/>
  <c r="K2116" i="1" s="1"/>
  <c r="J2116" i="1" a="1"/>
  <c r="J2116" i="1" s="1"/>
  <c r="L2115" i="1" a="1"/>
  <c r="L2115" i="1" s="1"/>
  <c r="J2115" i="1" a="1"/>
  <c r="J2115" i="1" s="1"/>
  <c r="L2020" i="1" a="1"/>
  <c r="L2020" i="1" s="1"/>
  <c r="K2021" i="1" a="1"/>
  <c r="K2021" i="1" s="1"/>
  <c r="J2020" i="1" a="1"/>
  <c r="J2020" i="1" s="1"/>
  <c r="J2021" i="1" a="1"/>
  <c r="J2021" i="1" s="1"/>
  <c r="K2020" i="1" a="1"/>
  <c r="K2020" i="1" s="1"/>
  <c r="L2021" i="1" a="1"/>
  <c r="L2021" i="1" s="1"/>
  <c r="K2013" i="1" a="1"/>
  <c r="K2013" i="1" s="1"/>
  <c r="K2014" i="1" s="1" a="1"/>
  <c r="K2014" i="1" s="1"/>
  <c r="L2015" i="1" a="1"/>
  <c r="L2015" i="1" s="1"/>
  <c r="K2015" i="1" a="1"/>
  <c r="K2015" i="1" s="1"/>
  <c r="J2015" i="1" a="1"/>
  <c r="J2015" i="1" s="1"/>
  <c r="J2010" i="1" a="1"/>
  <c r="J2010" i="1" s="1"/>
  <c r="L2011" i="1" a="1"/>
  <c r="L2011" i="1" s="1"/>
  <c r="J2011" i="1" a="1"/>
  <c r="J2011" i="1" s="1"/>
  <c r="L2013" i="1" a="1"/>
  <c r="L2013" i="1" s="1"/>
  <c r="L2014" i="1" s="1" a="1"/>
  <c r="L2014" i="1" s="1"/>
  <c r="L2018" i="1" a="1"/>
  <c r="L2018" i="1" s="1"/>
  <c r="L2019" i="1" s="1" a="1"/>
  <c r="L2019" i="1" s="1"/>
  <c r="J2013" i="1" a="1"/>
  <c r="J2013" i="1" s="1"/>
  <c r="J2014" i="1" s="1" a="1"/>
  <c r="J2014" i="1" s="1"/>
  <c r="L2010" i="1" a="1"/>
  <c r="L2010" i="1" s="1"/>
  <c r="K2018" i="1" a="1"/>
  <c r="K2018" i="1" s="1"/>
  <c r="K2019" i="1" s="1" a="1"/>
  <c r="K2019" i="1" s="1"/>
  <c r="J2018" i="1" a="1"/>
  <c r="J2018" i="1" s="1"/>
  <c r="J2019" i="1" s="1" a="1"/>
  <c r="J2019" i="1" s="1"/>
  <c r="L2016" i="1" a="1"/>
  <c r="L2016" i="1" s="1"/>
  <c r="L2017" i="1" s="1" a="1"/>
  <c r="L2017" i="1" s="1"/>
  <c r="J2016" i="1" a="1"/>
  <c r="J2016" i="1" s="1"/>
  <c r="J2017" i="1" s="1" a="1"/>
  <c r="J2017" i="1" s="1"/>
  <c r="K2011" i="1" a="1"/>
  <c r="K2011" i="1" s="1"/>
  <c r="K2010" i="1" a="1"/>
  <c r="K2010" i="1" s="1"/>
  <c r="K2016" i="1" a="1"/>
  <c r="K2016" i="1" s="1"/>
  <c r="K2017" i="1" s="1" a="1"/>
  <c r="K2017" i="1" s="1"/>
  <c r="K2003" i="1" a="1"/>
  <c r="K2003" i="1" s="1"/>
  <c r="K2004" i="1" s="1" a="1"/>
  <c r="K2004" i="1" s="1"/>
  <c r="L2008" i="1" a="1"/>
  <c r="L2008" i="1" s="1"/>
  <c r="L2009" i="1" s="1" a="1"/>
  <c r="L2009" i="1" s="1"/>
  <c r="K2001" i="1" a="1"/>
  <c r="K2001" i="1" s="1"/>
  <c r="K2006" i="1" a="1"/>
  <c r="K2006" i="1" s="1"/>
  <c r="K2007" i="1" s="1" a="1"/>
  <c r="K2007" i="1" s="1"/>
  <c r="K2008" i="1" a="1"/>
  <c r="K2008" i="1" s="1"/>
  <c r="K2009" i="1" s="1" a="1"/>
  <c r="K2009" i="1" s="1"/>
  <c r="J2008" i="1" a="1"/>
  <c r="J2008" i="1" s="1"/>
  <c r="J2009" i="1" s="1" a="1"/>
  <c r="J2009" i="1" s="1"/>
  <c r="J2001" i="1" a="1"/>
  <c r="J2001" i="1" s="1"/>
  <c r="K2000" i="1" a="1"/>
  <c r="K2000" i="1" s="1"/>
  <c r="J2006" i="1" a="1"/>
  <c r="J2006" i="1" s="1"/>
  <c r="J2007" i="1" s="1" a="1"/>
  <c r="J2007" i="1" s="1"/>
  <c r="L2001" i="1" a="1"/>
  <c r="L2001" i="1" s="1"/>
  <c r="J2000" i="1" a="1"/>
  <c r="J2000" i="1" s="1"/>
  <c r="J2003" i="1" a="1"/>
  <c r="J2003" i="1" s="1"/>
  <c r="J2004" i="1" s="1" a="1"/>
  <c r="J2004" i="1" s="1"/>
  <c r="J2005" i="1" a="1"/>
  <c r="J2005" i="1" s="1"/>
  <c r="L2005" i="1" a="1"/>
  <c r="L2005" i="1" s="1"/>
  <c r="L2000" i="1" a="1"/>
  <c r="L2000" i="1" s="1"/>
  <c r="L2003" i="1" a="1"/>
  <c r="L2003" i="1" s="1"/>
  <c r="L2004" i="1" s="1" a="1"/>
  <c r="L2004" i="1" s="1"/>
  <c r="K2005" i="1" a="1"/>
  <c r="K2005" i="1" s="1"/>
  <c r="L2006" i="1" a="1"/>
  <c r="L2006" i="1" s="1"/>
  <c r="L2007" i="1" s="1" a="1"/>
  <c r="L2007" i="1" s="1"/>
  <c r="J1996" i="1" a="1"/>
  <c r="J1996" i="1" s="1"/>
  <c r="L1994" i="1" a="1"/>
  <c r="L1994" i="1" s="1"/>
  <c r="J1998" i="1" a="1"/>
  <c r="J1998" i="1" s="1"/>
  <c r="J1997" i="1" a="1"/>
  <c r="J1997" i="1" s="1"/>
  <c r="J1994" i="1" a="1"/>
  <c r="J1994" i="1" s="1"/>
  <c r="K1997" i="1" a="1"/>
  <c r="K1997" i="1" s="1"/>
  <c r="L1996" i="1" a="1"/>
  <c r="L1996" i="1" s="1"/>
  <c r="L1995" i="1" a="1"/>
  <c r="L1995" i="1" s="1"/>
  <c r="K1995" i="1" a="1"/>
  <c r="K1995" i="1" s="1"/>
  <c r="J1995" i="1" a="1"/>
  <c r="J1995" i="1" s="1"/>
  <c r="K1991" i="1" a="1"/>
  <c r="K1991" i="1" s="1"/>
  <c r="K1998" i="1" a="1"/>
  <c r="K1998" i="1" s="1"/>
  <c r="J1992" i="1" a="1"/>
  <c r="J1992" i="1" s="1"/>
  <c r="L1992" i="1" a="1"/>
  <c r="L1992" i="1" s="1"/>
  <c r="J1993" i="1" a="1"/>
  <c r="J1993" i="1" s="1"/>
  <c r="K1994" i="1" a="1"/>
  <c r="K1994" i="1" s="1"/>
  <c r="L1999" i="1" a="1"/>
  <c r="L1999" i="1" s="1"/>
  <c r="L1998" i="1" a="1"/>
  <c r="L1998" i="1" s="1"/>
  <c r="L1993" i="1" a="1"/>
  <c r="L1993" i="1" s="1"/>
  <c r="K1993" i="1" a="1"/>
  <c r="K1993" i="1" s="1"/>
  <c r="K1996" i="1" a="1"/>
  <c r="K1996" i="1" s="1"/>
  <c r="K1999" i="1" a="1"/>
  <c r="K1999" i="1" s="1"/>
  <c r="J1999" i="1" a="1"/>
  <c r="J1999" i="1" s="1"/>
  <c r="L1991" i="1" a="1"/>
  <c r="L1991" i="1" s="1"/>
  <c r="J1991" i="1" a="1"/>
  <c r="J1991" i="1" s="1"/>
  <c r="K1992" i="1" a="1"/>
  <c r="K1992" i="1" s="1"/>
  <c r="L1997" i="1" a="1"/>
  <c r="L1997" i="1" s="1"/>
  <c r="L1985" i="1" a="1"/>
  <c r="L1985" i="1" s="1"/>
  <c r="K1985" i="1" a="1"/>
  <c r="K1985" i="1" s="1"/>
  <c r="L1984" i="1" a="1"/>
  <c r="L1984" i="1" s="1"/>
  <c r="K1984" i="1" a="1"/>
  <c r="K1984" i="1" s="1"/>
  <c r="J1983" i="1" a="1"/>
  <c r="J1983" i="1" s="1"/>
  <c r="L1989" i="1" a="1"/>
  <c r="L1989" i="1" s="1"/>
  <c r="K1988" i="1" a="1"/>
  <c r="K1988" i="1" s="1"/>
  <c r="J1988" i="1" a="1"/>
  <c r="J1988" i="1" s="1"/>
  <c r="L1982" i="1" a="1"/>
  <c r="L1982" i="1" s="1"/>
  <c r="K1987" i="1" a="1"/>
  <c r="K1987" i="1" s="1"/>
  <c r="L1990" i="1" a="1"/>
  <c r="L1990" i="1" s="1"/>
  <c r="K1990" i="1" a="1"/>
  <c r="K1990" i="1" s="1"/>
  <c r="K1989" i="1" a="1"/>
  <c r="K1989" i="1" s="1"/>
  <c r="J1990" i="1" a="1"/>
  <c r="J1990" i="1" s="1"/>
  <c r="J1986" i="1" a="1"/>
  <c r="J1986" i="1" s="1"/>
  <c r="J1982" i="1" a="1"/>
  <c r="J1982" i="1" s="1"/>
  <c r="J1985" i="1" a="1"/>
  <c r="J1985" i="1" s="1"/>
  <c r="J1984" i="1" a="1"/>
  <c r="J1984" i="1" s="1"/>
  <c r="J1989" i="1" a="1"/>
  <c r="J1989" i="1" s="1"/>
  <c r="K1982" i="1" a="1"/>
  <c r="K1982" i="1" s="1"/>
  <c r="L1983" i="1" a="1"/>
  <c r="L1983" i="1" s="1"/>
  <c r="L1988" i="1" a="1"/>
  <c r="L1988" i="1" s="1"/>
  <c r="L1986" i="1" a="1"/>
  <c r="L1986" i="1" s="1"/>
  <c r="K1983" i="1" a="1"/>
  <c r="K1983" i="1" s="1"/>
  <c r="L1987" i="1" a="1"/>
  <c r="L1987" i="1" s="1"/>
  <c r="K1986" i="1" a="1"/>
  <c r="K1986" i="1" s="1"/>
  <c r="J1987" i="1" a="1"/>
  <c r="J1987" i="1" s="1"/>
  <c r="J1979" i="1" a="1"/>
  <c r="J1979" i="1" s="1"/>
  <c r="K1979" i="1" a="1"/>
  <c r="K1979" i="1" s="1"/>
  <c r="L1976" i="1" a="1"/>
  <c r="L1976" i="1" s="1"/>
  <c r="J1976" i="1" a="1"/>
  <c r="J1976" i="1" s="1"/>
  <c r="L1974" i="1" a="1"/>
  <c r="L1974" i="1" s="1"/>
  <c r="K1973" i="1" a="1"/>
  <c r="K1973" i="1" s="1"/>
  <c r="L1979" i="1" a="1"/>
  <c r="L1979" i="1" s="1"/>
  <c r="L1977" i="1" a="1"/>
  <c r="L1977" i="1" s="1"/>
  <c r="K1976" i="1" a="1"/>
  <c r="K1976" i="1" s="1"/>
  <c r="L1975" i="1" a="1"/>
  <c r="L1975" i="1" s="1"/>
  <c r="J1975" i="1" a="1"/>
  <c r="J1975" i="1" s="1"/>
  <c r="J1973" i="1" a="1"/>
  <c r="J1973" i="1" s="1"/>
  <c r="K1974" i="1" a="1"/>
  <c r="K1974" i="1" s="1"/>
  <c r="K1977" i="1" a="1"/>
  <c r="K1977" i="1" s="1"/>
  <c r="L1981" i="1" a="1"/>
  <c r="L1981" i="1" s="1"/>
  <c r="J1977" i="1" a="1"/>
  <c r="J1977" i="1" s="1"/>
  <c r="K1975" i="1" a="1"/>
  <c r="K1975" i="1" s="1"/>
  <c r="J1974" i="1" a="1"/>
  <c r="J1974" i="1" s="1"/>
  <c r="K1981" i="1" a="1"/>
  <c r="K1981" i="1" s="1"/>
  <c r="J1981" i="1" a="1"/>
  <c r="J1981" i="1" s="1"/>
  <c r="L1980" i="1" a="1"/>
  <c r="L1980" i="1" s="1"/>
  <c r="L1973" i="1" a="1"/>
  <c r="L1973" i="1" s="1"/>
  <c r="K1980" i="1" a="1"/>
  <c r="K1980" i="1" s="1"/>
  <c r="J1980" i="1" a="1"/>
  <c r="J1980" i="1" s="1"/>
  <c r="J1970" i="1" a="1"/>
  <c r="J1970" i="1" s="1"/>
  <c r="J1964" i="1" a="1"/>
  <c r="J1964" i="1" s="1"/>
  <c r="K1965" i="1" a="1"/>
  <c r="K1965" i="1" s="1"/>
  <c r="K1968" i="1" a="1"/>
  <c r="K1968" i="1" s="1"/>
  <c r="J1965" i="1" a="1"/>
  <c r="J1965" i="1" s="1"/>
  <c r="J1971" i="1" a="1"/>
  <c r="J1971" i="1" s="1"/>
  <c r="K1964" i="1" a="1"/>
  <c r="K1964" i="1" s="1"/>
  <c r="L1970" i="1" a="1"/>
  <c r="L1970" i="1" s="1"/>
  <c r="L1968" i="1" a="1"/>
  <c r="L1968" i="1" s="1"/>
  <c r="L1964" i="1" a="1"/>
  <c r="L1964" i="1" s="1"/>
  <c r="J1968" i="1" a="1"/>
  <c r="J1968" i="1" s="1"/>
  <c r="K1970" i="1" a="1"/>
  <c r="K1970" i="1" s="1"/>
  <c r="L1967" i="1" a="1"/>
  <c r="L1967" i="1" s="1"/>
  <c r="L1969" i="1" a="1"/>
  <c r="L1969" i="1" s="1"/>
  <c r="J1966" i="1" a="1"/>
  <c r="J1966" i="1" s="1"/>
  <c r="L1963" i="1" a="1"/>
  <c r="L1963" i="1" s="1"/>
  <c r="K1967" i="1" a="1"/>
  <c r="K1967" i="1" s="1"/>
  <c r="L1972" i="1" a="1"/>
  <c r="L1972" i="1" s="1"/>
  <c r="L1966" i="1" a="1"/>
  <c r="L1966" i="1" s="1"/>
  <c r="L1971" i="1" a="1"/>
  <c r="L1971" i="1" s="1"/>
  <c r="K1972" i="1" a="1"/>
  <c r="K1972" i="1" s="1"/>
  <c r="J1972" i="1" a="1"/>
  <c r="J1972" i="1" s="1"/>
  <c r="K1971" i="1" a="1"/>
  <c r="K1971" i="1" s="1"/>
  <c r="J1967" i="1" a="1"/>
  <c r="J1967" i="1" s="1"/>
  <c r="J1969" i="1" a="1"/>
  <c r="J1969" i="1" s="1"/>
  <c r="K1966" i="1" a="1"/>
  <c r="K1966" i="1" s="1"/>
  <c r="K1969" i="1" a="1"/>
  <c r="K1969" i="1" s="1"/>
  <c r="L1965" i="1" a="1"/>
  <c r="L1965" i="1" s="1"/>
  <c r="L1957" i="1" a="1"/>
  <c r="L1957" i="1" s="1"/>
  <c r="K1957" i="1" a="1"/>
  <c r="K1957" i="1" s="1"/>
  <c r="K1961" i="1" a="1"/>
  <c r="K1961" i="1" s="1"/>
  <c r="K1956" i="1" a="1"/>
  <c r="K1956" i="1" s="1"/>
  <c r="L1960" i="1" a="1"/>
  <c r="L1960" i="1" s="1"/>
  <c r="J1960" i="1" a="1"/>
  <c r="J1960" i="1" s="1"/>
  <c r="K1959" i="1" a="1"/>
  <c r="K1959" i="1" s="1"/>
  <c r="J1959" i="1" a="1"/>
  <c r="J1959" i="1" s="1"/>
  <c r="K1958" i="1" a="1"/>
  <c r="K1958" i="1" s="1"/>
  <c r="L1955" i="1" a="1"/>
  <c r="L1955" i="1" s="1"/>
  <c r="L1956" i="1" a="1"/>
  <c r="L1956" i="1" s="1"/>
  <c r="K1955" i="1" a="1"/>
  <c r="K1955" i="1" s="1"/>
  <c r="L1961" i="1" a="1"/>
  <c r="L1961" i="1" s="1"/>
  <c r="K1960" i="1" a="1"/>
  <c r="K1960" i="1" s="1"/>
  <c r="L1958" i="1" a="1"/>
  <c r="L1958" i="1" s="1"/>
  <c r="J1956" i="1" a="1"/>
  <c r="J1956" i="1" s="1"/>
  <c r="J1958" i="1" a="1"/>
  <c r="J1958" i="1" s="1"/>
  <c r="J1955" i="1" a="1"/>
  <c r="J1955" i="1" s="1"/>
  <c r="K1963" i="1" a="1"/>
  <c r="K1963" i="1" s="1"/>
  <c r="J1963" i="1" a="1"/>
  <c r="J1963" i="1" s="1"/>
  <c r="L1962" i="1" a="1"/>
  <c r="L1962" i="1" s="1"/>
  <c r="L1959" i="1" a="1"/>
  <c r="L1959" i="1" s="1"/>
  <c r="K1962" i="1" a="1"/>
  <c r="K1962" i="1" s="1"/>
  <c r="J1962" i="1" a="1"/>
  <c r="J1962" i="1" s="1"/>
  <c r="J1957" i="1" a="1"/>
  <c r="J1957" i="1" s="1"/>
  <c r="J1961" i="1" a="1"/>
  <c r="J1961" i="1" s="1"/>
  <c r="L1949" i="1" a="1"/>
  <c r="L1949" i="1" s="1"/>
  <c r="K1948" i="1" a="1"/>
  <c r="K1948" i="1" s="1"/>
  <c r="J1948" i="1" a="1"/>
  <c r="J1948" i="1" s="1"/>
  <c r="J1947" i="1" a="1"/>
  <c r="J1947" i="1" s="1"/>
  <c r="J1945" i="1" a="1"/>
  <c r="J1945" i="1" s="1"/>
  <c r="L1947" i="1" a="1"/>
  <c r="L1947" i="1" s="1"/>
  <c r="K1946" i="1" a="1"/>
  <c r="K1946" i="1" s="1"/>
  <c r="J1950" i="1" a="1"/>
  <c r="J1950" i="1" s="1"/>
  <c r="L1945" i="1" a="1"/>
  <c r="L1945" i="1" s="1"/>
  <c r="J1946" i="1" a="1"/>
  <c r="J1946" i="1" s="1"/>
  <c r="L1953" i="1" a="1"/>
  <c r="L1953" i="1" s="1"/>
  <c r="K1953" i="1" a="1"/>
  <c r="K1953" i="1" s="1"/>
  <c r="J1953" i="1" a="1"/>
  <c r="J1953" i="1" s="1"/>
  <c r="L1952" i="1" a="1"/>
  <c r="L1952" i="1" s="1"/>
  <c r="J1949" i="1" a="1"/>
  <c r="J1949" i="1" s="1"/>
  <c r="K1950" i="1" a="1"/>
  <c r="K1950" i="1" s="1"/>
  <c r="K1952" i="1" a="1"/>
  <c r="K1952" i="1" s="1"/>
  <c r="J1952" i="1" a="1"/>
  <c r="J1952" i="1" s="1"/>
  <c r="L1948" i="1" a="1"/>
  <c r="L1948" i="1" s="1"/>
  <c r="K1945" i="1" a="1"/>
  <c r="K1945" i="1" s="1"/>
  <c r="K1947" i="1" a="1"/>
  <c r="K1947" i="1" s="1"/>
  <c r="L1946" i="1" a="1"/>
  <c r="L1946" i="1" s="1"/>
  <c r="K1951" i="1" a="1"/>
  <c r="K1951" i="1" s="1"/>
  <c r="K1949" i="1" a="1"/>
  <c r="K1949" i="1" s="1"/>
  <c r="L1951" i="1" a="1"/>
  <c r="L1951" i="1" s="1"/>
  <c r="J1951" i="1" a="1"/>
  <c r="J1951" i="1" s="1"/>
  <c r="L1950" i="1" a="1"/>
  <c r="L1950" i="1" s="1"/>
  <c r="K1944" i="1" a="1"/>
  <c r="K1944" i="1" s="1"/>
  <c r="L1943" i="1" a="1"/>
  <c r="L1943" i="1" s="1"/>
  <c r="J1939" i="1" a="1"/>
  <c r="J1939" i="1" s="1"/>
  <c r="L1936" i="1" a="1"/>
  <c r="L1936" i="1" s="1"/>
  <c r="J1944" i="1" a="1"/>
  <c r="J1944" i="1" s="1"/>
  <c r="L1938" i="1" a="1"/>
  <c r="L1938" i="1" s="1"/>
  <c r="L1942" i="1" a="1"/>
  <c r="L1942" i="1" s="1"/>
  <c r="K1941" i="1" a="1"/>
  <c r="K1941" i="1" s="1"/>
  <c r="L1941" i="1" a="1"/>
  <c r="L1941" i="1" s="1"/>
  <c r="J1942" i="1" a="1"/>
  <c r="J1942" i="1" s="1"/>
  <c r="J1943" i="1" a="1"/>
  <c r="J1943" i="1" s="1"/>
  <c r="J1936" i="1" a="1"/>
  <c r="J1936" i="1" s="1"/>
  <c r="K1940" i="1" a="1"/>
  <c r="K1940" i="1" s="1"/>
  <c r="J1941" i="1" a="1"/>
  <c r="J1941" i="1" s="1"/>
  <c r="J1937" i="1" a="1"/>
  <c r="J1937" i="1" s="1"/>
  <c r="L1940" i="1" a="1"/>
  <c r="L1940" i="1" s="1"/>
  <c r="K1943" i="1" a="1"/>
  <c r="K1943" i="1" s="1"/>
  <c r="K1942" i="1" a="1"/>
  <c r="K1942" i="1" s="1"/>
  <c r="J1940" i="1" a="1"/>
  <c r="J1940" i="1" s="1"/>
  <c r="K1936" i="1" a="1"/>
  <c r="K1936" i="1" s="1"/>
  <c r="L1944" i="1" a="1"/>
  <c r="L1944" i="1" s="1"/>
  <c r="K1939" i="1" a="1"/>
  <c r="K1939" i="1" s="1"/>
  <c r="K1938" i="1" a="1"/>
  <c r="K1938" i="1" s="1"/>
  <c r="J1938" i="1" a="1"/>
  <c r="J1938" i="1" s="1"/>
  <c r="L1939" i="1" a="1"/>
  <c r="L1939" i="1" s="1"/>
  <c r="K1937" i="1" a="1"/>
  <c r="K1937" i="1" s="1"/>
  <c r="L1937" i="1" a="1"/>
  <c r="L1937" i="1" s="1"/>
  <c r="L1931" i="1" a="1"/>
  <c r="L1931" i="1" s="1"/>
  <c r="K1929" i="1" a="1"/>
  <c r="K1929" i="1" s="1"/>
  <c r="L1930" i="1" a="1"/>
  <c r="L1930" i="1" s="1"/>
  <c r="L1927" i="1" a="1"/>
  <c r="L1927" i="1" s="1"/>
  <c r="L1928" i="1" a="1"/>
  <c r="L1928" i="1" s="1"/>
  <c r="K1927" i="1" a="1"/>
  <c r="K1927" i="1" s="1"/>
  <c r="J1927" i="1" a="1"/>
  <c r="J1927" i="1" s="1"/>
  <c r="J1933" i="1" a="1"/>
  <c r="J1933" i="1" s="1"/>
  <c r="L1932" i="1" a="1"/>
  <c r="L1932" i="1" s="1"/>
  <c r="J1932" i="1" a="1"/>
  <c r="J1932" i="1" s="1"/>
  <c r="K1931" i="1" a="1"/>
  <c r="K1931" i="1" s="1"/>
  <c r="J1930" i="1" a="1"/>
  <c r="J1930" i="1" s="1"/>
  <c r="L1933" i="1" a="1"/>
  <c r="L1933" i="1" s="1"/>
  <c r="K1928" i="1" a="1"/>
  <c r="K1928" i="1" s="1"/>
  <c r="J1935" i="1" a="1"/>
  <c r="J1935" i="1" s="1"/>
  <c r="K1933" i="1" a="1"/>
  <c r="K1933" i="1" s="1"/>
  <c r="L1929" i="1" a="1"/>
  <c r="L1929" i="1" s="1"/>
  <c r="J1931" i="1" a="1"/>
  <c r="J1931" i="1" s="1"/>
  <c r="L1926" i="1" a="1"/>
  <c r="L1926" i="1" s="1"/>
  <c r="K1930" i="1" a="1"/>
  <c r="K1930" i="1" s="1"/>
  <c r="K1932" i="1" a="1"/>
  <c r="K1932" i="1" s="1"/>
  <c r="J1928" i="1" a="1"/>
  <c r="J1928" i="1" s="1"/>
  <c r="L1935" i="1" a="1"/>
  <c r="L1935" i="1" s="1"/>
  <c r="K1935" i="1" a="1"/>
  <c r="K1935" i="1" s="1"/>
  <c r="K1934" i="1" a="1"/>
  <c r="K1934" i="1" s="1"/>
  <c r="J1934" i="1" a="1"/>
  <c r="J1934" i="1" s="1"/>
  <c r="J1929" i="1" a="1"/>
  <c r="J1929" i="1" s="1"/>
  <c r="L1934" i="1" a="1"/>
  <c r="L1934" i="1" s="1"/>
  <c r="L1925" i="1" a="1"/>
  <c r="L1925" i="1" s="1"/>
  <c r="L1924" i="1" a="1"/>
  <c r="L1924" i="1" s="1"/>
  <c r="L1923" i="1" a="1"/>
  <c r="L1923" i="1" s="1"/>
  <c r="K1919" i="1" a="1"/>
  <c r="K1919" i="1" s="1"/>
  <c r="J1918" i="1" a="1"/>
  <c r="J1918" i="1" s="1"/>
  <c r="K1924" i="1" a="1"/>
  <c r="K1924" i="1" s="1"/>
  <c r="L1922" i="1" a="1"/>
  <c r="L1922" i="1" s="1"/>
  <c r="L1921" i="1" a="1"/>
  <c r="L1921" i="1" s="1"/>
  <c r="J1923" i="1" a="1"/>
  <c r="J1923" i="1" s="1"/>
  <c r="J1921" i="1" a="1"/>
  <c r="J1921" i="1" s="1"/>
  <c r="K1920" i="1" a="1"/>
  <c r="K1920" i="1" s="1"/>
  <c r="L1919" i="1" a="1"/>
  <c r="L1919" i="1" s="1"/>
  <c r="L1917" i="1" a="1"/>
  <c r="L1917" i="1" s="1"/>
  <c r="K1921" i="1" a="1"/>
  <c r="K1921" i="1" s="1"/>
  <c r="K1918" i="1" a="1"/>
  <c r="K1918" i="1" s="1"/>
  <c r="K1925" i="1" a="1"/>
  <c r="K1925" i="1" s="1"/>
  <c r="J1925" i="1" a="1"/>
  <c r="J1925" i="1" s="1"/>
  <c r="J1922" i="1" a="1"/>
  <c r="J1922" i="1" s="1"/>
  <c r="L1920" i="1" a="1"/>
  <c r="L1920" i="1" s="1"/>
  <c r="J1920" i="1" a="1"/>
  <c r="J1920" i="1" s="1"/>
  <c r="J1919" i="1" a="1"/>
  <c r="J1919" i="1" s="1"/>
  <c r="K1917" i="1" a="1"/>
  <c r="K1917" i="1" s="1"/>
  <c r="L1918" i="1" a="1"/>
  <c r="L1918" i="1" s="1"/>
  <c r="K1926" i="1" a="1"/>
  <c r="K1926" i="1" s="1"/>
  <c r="J1926" i="1" a="1"/>
  <c r="J1926" i="1" s="1"/>
  <c r="K1923" i="1" a="1"/>
  <c r="K1923" i="1" s="1"/>
  <c r="K1922" i="1" a="1"/>
  <c r="K1922" i="1" s="1"/>
  <c r="J1924" i="1" a="1"/>
  <c r="J1924" i="1" s="1"/>
  <c r="L1915" i="1" a="1"/>
  <c r="L1915" i="1" s="1"/>
  <c r="L1914" i="1" a="1"/>
  <c r="L1914" i="1" s="1"/>
  <c r="K1911" i="1" a="1"/>
  <c r="K1911" i="1" s="1"/>
  <c r="J1909" i="1" a="1"/>
  <c r="J1909" i="1" s="1"/>
  <c r="L1913" i="1" a="1"/>
  <c r="L1913" i="1" s="1"/>
  <c r="K1912" i="1" a="1"/>
  <c r="K1912" i="1" s="1"/>
  <c r="K1916" i="1" a="1"/>
  <c r="K1916" i="1" s="1"/>
  <c r="K1915" i="1" a="1"/>
  <c r="K1915" i="1" s="1"/>
  <c r="J1915" i="1" a="1"/>
  <c r="J1915" i="1" s="1"/>
  <c r="L1912" i="1" a="1"/>
  <c r="L1912" i="1" s="1"/>
  <c r="L1910" i="1" a="1"/>
  <c r="L1910" i="1" s="1"/>
  <c r="L1909" i="1" a="1"/>
  <c r="L1909" i="1" s="1"/>
  <c r="J1914" i="1" a="1"/>
  <c r="J1914" i="1" s="1"/>
  <c r="K1914" i="1" a="1"/>
  <c r="K1914" i="1" s="1"/>
  <c r="J1908" i="1" a="1"/>
  <c r="J1908" i="1" s="1"/>
  <c r="J1912" i="1" a="1"/>
  <c r="J1912" i="1" s="1"/>
  <c r="L1911" i="1" a="1"/>
  <c r="L1911" i="1" s="1"/>
  <c r="K1909" i="1" a="1"/>
  <c r="K1909" i="1" s="1"/>
  <c r="J1913" i="1" a="1"/>
  <c r="J1913" i="1" s="1"/>
  <c r="K1908" i="1" a="1"/>
  <c r="K1908" i="1" s="1"/>
  <c r="J1910" i="1" a="1"/>
  <c r="J1910" i="1" s="1"/>
  <c r="L1908" i="1" a="1"/>
  <c r="L1908" i="1" s="1"/>
  <c r="L1916" i="1" a="1"/>
  <c r="L1916" i="1" s="1"/>
  <c r="K1913" i="1" a="1"/>
  <c r="K1913" i="1" s="1"/>
  <c r="J1911" i="1" a="1"/>
  <c r="J1911" i="1" s="1"/>
  <c r="J1917" i="1" a="1"/>
  <c r="J1917" i="1" s="1"/>
  <c r="J1916" i="1" a="1"/>
  <c r="J1916" i="1" s="1"/>
  <c r="K1910" i="1" a="1"/>
  <c r="K1910" i="1" s="1"/>
  <c r="K1904" i="1" a="1"/>
  <c r="K1904" i="1" s="1"/>
  <c r="J1907" i="1" a="1"/>
  <c r="J1907" i="1" s="1"/>
  <c r="L1905" i="1" a="1"/>
  <c r="L1905" i="1" s="1"/>
  <c r="K1906" i="1" a="1"/>
  <c r="K1906" i="1" s="1"/>
  <c r="L1906" i="1" a="1"/>
  <c r="L1906" i="1" s="1"/>
  <c r="K1905" i="1" a="1"/>
  <c r="K1905" i="1" s="1"/>
  <c r="L1904" i="1" a="1"/>
  <c r="L1904" i="1" s="1"/>
  <c r="L1907" i="1" a="1"/>
  <c r="L1907" i="1" s="1"/>
  <c r="J1906" i="1" a="1"/>
  <c r="J1906" i="1" s="1"/>
  <c r="J1904" i="1" a="1"/>
  <c r="J1904" i="1" s="1"/>
  <c r="J1905" i="1" a="1"/>
  <c r="J1905" i="1" s="1"/>
  <c r="K1907" i="1" a="1"/>
  <c r="K1907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766" i="1" a="1"/>
  <c r="L766" i="1" s="1"/>
  <c r="L816" i="1" s="1" a="1"/>
  <c r="L816" i="1" s="1"/>
  <c r="L780" i="1" a="1"/>
  <c r="L780" i="1" s="1"/>
  <c r="K766" i="1" a="1"/>
  <c r="K766" i="1" s="1"/>
  <c r="K816" i="1" s="1" a="1"/>
  <c r="K816" i="1" s="1"/>
  <c r="J780" i="1" a="1"/>
  <c r="J780" i="1" s="1"/>
  <c r="K780" i="1" a="1"/>
  <c r="K780" i="1" s="1"/>
  <c r="J766" i="1" a="1"/>
  <c r="J766" i="1" s="1"/>
  <c r="J816" i="1" s="1" a="1"/>
  <c r="J816" i="1" s="1"/>
  <c r="K1041" i="1" a="1"/>
  <c r="K1041" i="1" s="1"/>
  <c r="K1032" i="1" a="1"/>
  <c r="K1032" i="1" s="1"/>
  <c r="L1039" i="1" a="1"/>
  <c r="L1039" i="1" s="1"/>
  <c r="K1039" i="1" a="1"/>
  <c r="K1039" i="1" s="1"/>
  <c r="J1032" i="1" a="1"/>
  <c r="J1032" i="1" s="1"/>
  <c r="J1041" i="1" a="1"/>
  <c r="J1041" i="1" s="1"/>
  <c r="J1039" i="1" a="1"/>
  <c r="J1039" i="1" s="1"/>
  <c r="L1041" i="1" a="1"/>
  <c r="L1041" i="1" s="1"/>
  <c r="L1032" i="1" a="1"/>
  <c r="L1032" i="1" s="1"/>
  <c r="K1027" i="1" a="1"/>
  <c r="K1027" i="1" s="1"/>
  <c r="L1008" i="1" a="1"/>
  <c r="L1008" i="1" s="1"/>
  <c r="L1054" i="1" s="1" a="1"/>
  <c r="L1054" i="1" s="1"/>
  <c r="K1024" i="1" a="1"/>
  <c r="K1024" i="1" s="1"/>
  <c r="J1029" i="1" a="1"/>
  <c r="J1029" i="1" s="1"/>
  <c r="J1027" i="1" a="1"/>
  <c r="J1027" i="1" s="1"/>
  <c r="L1024" i="1" a="1"/>
  <c r="L1024" i="1" s="1"/>
  <c r="L1029" i="1" a="1"/>
  <c r="L1029" i="1" s="1"/>
  <c r="L1027" i="1" a="1"/>
  <c r="L1027" i="1" s="1"/>
  <c r="J1024" i="1" a="1"/>
  <c r="J1024" i="1" s="1"/>
  <c r="K1008" i="1" a="1"/>
  <c r="K1008" i="1" s="1"/>
  <c r="K1054" i="1" s="1" a="1"/>
  <c r="K1054" i="1" s="1"/>
  <c r="J1008" i="1" a="1"/>
  <c r="J1008" i="1" s="1"/>
  <c r="J1054" i="1" s="1" a="1"/>
  <c r="J1054" i="1" s="1"/>
  <c r="K1029" i="1" a="1"/>
  <c r="K1029" i="1" s="1"/>
  <c r="J999" i="1" a="1"/>
  <c r="J999" i="1" s="1"/>
  <c r="J1051" i="1" s="1" a="1"/>
  <c r="J1051" i="1" s="1"/>
  <c r="L998" i="1" a="1"/>
  <c r="L998" i="1" s="1"/>
  <c r="K985" i="1" a="1"/>
  <c r="K985" i="1" s="1"/>
  <c r="K999" i="1" a="1"/>
  <c r="K999" i="1" s="1"/>
  <c r="K1051" i="1" s="1" a="1"/>
  <c r="K1051" i="1" s="1"/>
  <c r="J991" i="1" a="1"/>
  <c r="J991" i="1" s="1"/>
  <c r="L991" i="1" a="1"/>
  <c r="L991" i="1" s="1"/>
  <c r="K991" i="1" a="1"/>
  <c r="K991" i="1" s="1"/>
  <c r="L999" i="1" a="1"/>
  <c r="L999" i="1" s="1"/>
  <c r="L1051" i="1" s="1" a="1"/>
  <c r="L1051" i="1" s="1"/>
  <c r="J985" i="1" a="1"/>
  <c r="J985" i="1" s="1"/>
  <c r="L985" i="1" a="1"/>
  <c r="L985" i="1" s="1"/>
  <c r="J998" i="1" a="1"/>
  <c r="J998" i="1" s="1"/>
  <c r="K998" i="1" a="1"/>
  <c r="K998" i="1" s="1"/>
  <c r="L976" i="1" a="1"/>
  <c r="L976" i="1" s="1"/>
  <c r="J975" i="1" a="1"/>
  <c r="J975" i="1" s="1"/>
  <c r="K979" i="1" a="1"/>
  <c r="K979" i="1" s="1"/>
  <c r="K1053" i="1" s="1" a="1"/>
  <c r="K1053" i="1" s="1"/>
  <c r="J979" i="1" a="1"/>
  <c r="J979" i="1" s="1"/>
  <c r="J1053" i="1" s="1" a="1"/>
  <c r="J1053" i="1" s="1"/>
  <c r="J978" i="1" a="1"/>
  <c r="J978" i="1" s="1"/>
  <c r="L978" i="1" a="1"/>
  <c r="L978" i="1" s="1"/>
  <c r="K978" i="1" a="1"/>
  <c r="K978" i="1" s="1"/>
  <c r="L975" i="1" a="1"/>
  <c r="L975" i="1" s="1"/>
  <c r="K976" i="1" a="1"/>
  <c r="K976" i="1" s="1"/>
  <c r="J976" i="1" a="1"/>
  <c r="J976" i="1" s="1"/>
  <c r="K975" i="1" a="1"/>
  <c r="K975" i="1" s="1"/>
  <c r="L979" i="1" a="1"/>
  <c r="L979" i="1" s="1"/>
  <c r="L1053" i="1" s="1" a="1"/>
  <c r="L1053" i="1" s="1"/>
  <c r="K916" i="1" a="1"/>
  <c r="K916" i="1" s="1"/>
  <c r="L928" i="1" a="1"/>
  <c r="L928" i="1" s="1"/>
  <c r="J916" i="1" a="1"/>
  <c r="J916" i="1" s="1"/>
  <c r="J914" i="1" a="1"/>
  <c r="J914" i="1" s="1"/>
  <c r="L916" i="1" a="1"/>
  <c r="L916" i="1" s="1"/>
  <c r="K914" i="1" a="1"/>
  <c r="K914" i="1" s="1"/>
  <c r="K928" i="1" a="1"/>
  <c r="K928" i="1" s="1"/>
  <c r="J928" i="1" a="1"/>
  <c r="J928" i="1" s="1"/>
  <c r="L914" i="1" a="1"/>
  <c r="L914" i="1" s="1"/>
  <c r="J802" i="1" a="1"/>
  <c r="J802" i="1" s="1"/>
  <c r="K802" i="1" a="1"/>
  <c r="K802" i="1" s="1"/>
  <c r="K806" i="1" a="1"/>
  <c r="K806" i="1" s="1"/>
  <c r="J806" i="1" a="1"/>
  <c r="J806" i="1" s="1"/>
  <c r="L804" i="1" a="1"/>
  <c r="L804" i="1" s="1"/>
  <c r="J804" i="1" a="1"/>
  <c r="J804" i="1" s="1"/>
  <c r="L802" i="1" a="1"/>
  <c r="L802" i="1" s="1"/>
  <c r="L806" i="1" a="1"/>
  <c r="L806" i="1" s="1"/>
  <c r="K804" i="1" a="1"/>
  <c r="K804" i="1" s="1"/>
  <c r="J896" i="1" a="1"/>
  <c r="J896" i="1" s="1"/>
  <c r="J925" i="1" s="1"/>
  <c r="J924" i="1" s="1"/>
  <c r="K896" i="1" a="1"/>
  <c r="K896" i="1" s="1"/>
  <c r="K885" i="1" a="1"/>
  <c r="K885" i="1" s="1"/>
  <c r="L885" i="1" a="1"/>
  <c r="L885" i="1" s="1"/>
  <c r="L884" i="1" a="1"/>
  <c r="L884" i="1" s="1"/>
  <c r="J884" i="1" a="1"/>
  <c r="J884" i="1" s="1"/>
  <c r="L896" i="1" a="1"/>
  <c r="L896" i="1" s="1"/>
  <c r="K884" i="1" a="1"/>
  <c r="K884" i="1" s="1"/>
  <c r="J885" i="1" a="1"/>
  <c r="J885" i="1" s="1"/>
  <c r="L2312" i="1" a="1"/>
  <c r="L2312" i="1" s="1"/>
  <c r="K2312" i="1" a="1"/>
  <c r="K2312" i="1" s="1"/>
  <c r="J2312" i="1" a="1"/>
  <c r="J2312" i="1" s="1"/>
  <c r="J2303" i="1" a="1"/>
  <c r="J2303" i="1" s="1"/>
  <c r="L2308" i="1" a="1"/>
  <c r="L2308" i="1" s="1"/>
  <c r="J2298" i="1" a="1"/>
  <c r="J2298" i="1" s="1"/>
  <c r="K2308" i="1" a="1"/>
  <c r="K2308" i="1" s="1"/>
  <c r="L2302" i="1" a="1"/>
  <c r="L2302" i="1" s="1"/>
  <c r="K2303" i="1" a="1"/>
  <c r="K2303" i="1" s="1"/>
  <c r="J2302" i="1" a="1"/>
  <c r="J2302" i="1" s="1"/>
  <c r="L2300" i="1" a="1"/>
  <c r="L2300" i="1" s="1"/>
  <c r="L2306" i="1" a="1"/>
  <c r="L2306" i="1" s="1"/>
  <c r="J2306" i="1" a="1"/>
  <c r="J2306" i="1" s="1"/>
  <c r="J2304" i="1" a="1"/>
  <c r="J2304" i="1" s="1"/>
  <c r="K2302" i="1" a="1"/>
  <c r="K2302" i="1" s="1"/>
  <c r="J2300" i="1" a="1"/>
  <c r="J2300" i="1" s="1"/>
  <c r="L2310" i="1" a="1"/>
  <c r="L2310" i="1" s="1"/>
  <c r="J2310" i="1" a="1"/>
  <c r="J2310" i="1" s="1"/>
  <c r="J2308" i="1" a="1"/>
  <c r="J2308" i="1" s="1"/>
  <c r="K2300" i="1" a="1"/>
  <c r="K2300" i="1" s="1"/>
  <c r="K2306" i="1" a="1"/>
  <c r="K2306" i="1" s="1"/>
  <c r="L2304" i="1" a="1"/>
  <c r="L2304" i="1" s="1"/>
  <c r="L2303" i="1" a="1"/>
  <c r="L2303" i="1" s="1"/>
  <c r="L2298" i="1" a="1"/>
  <c r="L2298" i="1" s="1"/>
  <c r="K2304" i="1" a="1"/>
  <c r="K2304" i="1" s="1"/>
  <c r="K2298" i="1" a="1"/>
  <c r="K2298" i="1" s="1"/>
  <c r="K2310" i="1" a="1"/>
  <c r="K2310" i="1" s="1"/>
  <c r="L2297" i="1" a="1"/>
  <c r="L2297" i="1" s="1"/>
  <c r="J2294" i="1" a="1"/>
  <c r="J2294" i="1" s="1"/>
  <c r="K2284" i="1" a="1"/>
  <c r="K2284" i="1" s="1"/>
  <c r="K2286" i="1" a="1"/>
  <c r="K2286" i="1" s="1"/>
  <c r="K2282" i="1" a="1"/>
  <c r="K2282" i="1" s="1"/>
  <c r="L2290" i="1" a="1"/>
  <c r="L2290" i="1" s="1"/>
  <c r="L2288" i="1" a="1"/>
  <c r="L2288" i="1" s="1"/>
  <c r="J2284" i="1" a="1"/>
  <c r="J2284" i="1" s="1"/>
  <c r="K2292" i="1" a="1"/>
  <c r="K2292" i="1" s="1"/>
  <c r="J2292" i="1" a="1"/>
  <c r="J2292" i="1" s="1"/>
  <c r="J2290" i="1" a="1"/>
  <c r="J2290" i="1" s="1"/>
  <c r="J2286" i="1" a="1"/>
  <c r="J2286" i="1" s="1"/>
  <c r="L2286" i="1" a="1"/>
  <c r="L2286" i="1" s="1"/>
  <c r="K2297" i="1" a="1"/>
  <c r="K2297" i="1" s="1"/>
  <c r="K2290" i="1" a="1"/>
  <c r="K2290" i="1" s="1"/>
  <c r="L2284" i="1" a="1"/>
  <c r="L2284" i="1" s="1"/>
  <c r="K2288" i="1" a="1"/>
  <c r="K2288" i="1" s="1"/>
  <c r="J2297" i="1" a="1"/>
  <c r="J2297" i="1" s="1"/>
  <c r="L2282" i="1" a="1"/>
  <c r="L2282" i="1" s="1"/>
  <c r="K2294" i="1" a="1"/>
  <c r="K2294" i="1" s="1"/>
  <c r="J2288" i="1" a="1"/>
  <c r="J2288" i="1" s="1"/>
  <c r="L2294" i="1" a="1"/>
  <c r="L2294" i="1" s="1"/>
  <c r="L2292" i="1" a="1"/>
  <c r="L2292" i="1" s="1"/>
  <c r="K2271" i="1" a="1"/>
  <c r="K2271" i="1" s="1"/>
  <c r="J2275" i="1" a="1"/>
  <c r="J2275" i="1" s="1"/>
  <c r="L2281" i="1" a="1"/>
  <c r="L2281" i="1" s="1"/>
  <c r="K2281" i="1" a="1"/>
  <c r="K2281" i="1" s="1"/>
  <c r="J2281" i="1" a="1"/>
  <c r="J2281" i="1" s="1"/>
  <c r="L2280" i="1" a="1"/>
  <c r="L2280" i="1" s="1"/>
  <c r="L2269" i="1" a="1"/>
  <c r="L2269" i="1" s="1"/>
  <c r="K2280" i="1" a="1"/>
  <c r="K2280" i="1" s="1"/>
  <c r="J2280" i="1" a="1"/>
  <c r="J2280" i="1" s="1"/>
  <c r="K2278" i="1" a="1"/>
  <c r="K2278" i="1" s="1"/>
  <c r="K2277" i="1" a="1"/>
  <c r="K2277" i="1" s="1"/>
  <c r="J2277" i="1" a="1"/>
  <c r="J2277" i="1" s="1"/>
  <c r="L2274" i="1" a="1"/>
  <c r="L2274" i="1" s="1"/>
  <c r="L2275" i="1" a="1"/>
  <c r="L2275" i="1" s="1"/>
  <c r="L2271" i="1" a="1"/>
  <c r="L2271" i="1" s="1"/>
  <c r="L2277" i="1" a="1"/>
  <c r="L2277" i="1" s="1"/>
  <c r="K2275" i="1" a="1"/>
  <c r="K2275" i="1" s="1"/>
  <c r="J2271" i="1" a="1"/>
  <c r="J2271" i="1" s="1"/>
  <c r="K2274" i="1" a="1"/>
  <c r="K2274" i="1" s="1"/>
  <c r="J2282" i="1" a="1"/>
  <c r="J2282" i="1" s="1"/>
  <c r="L2278" i="1" a="1"/>
  <c r="L2278" i="1" s="1"/>
  <c r="J2278" i="1" a="1"/>
  <c r="J2278" i="1" s="1"/>
  <c r="J2274" i="1" a="1"/>
  <c r="J2274" i="1" s="1"/>
  <c r="L2258" i="1" a="1"/>
  <c r="L2258" i="1" s="1"/>
  <c r="J2267" i="1" a="1"/>
  <c r="J2267" i="1" s="1"/>
  <c r="L2265" i="1" a="1"/>
  <c r="L2265" i="1" s="1"/>
  <c r="J2265" i="1" a="1"/>
  <c r="J2265" i="1" s="1"/>
  <c r="K2263" i="1" a="1"/>
  <c r="K2263" i="1" s="1"/>
  <c r="K2256" i="1" a="1"/>
  <c r="K2256" i="1" s="1"/>
  <c r="L2256" i="1" a="1"/>
  <c r="L2256" i="1" s="1"/>
  <c r="L2261" i="1" a="1"/>
  <c r="L2261" i="1" s="1"/>
  <c r="K2265" i="1" a="1"/>
  <c r="K2265" i="1" s="1"/>
  <c r="K2260" i="1" a="1"/>
  <c r="K2260" i="1" s="1"/>
  <c r="J2260" i="1" a="1"/>
  <c r="J2260" i="1" s="1"/>
  <c r="J2261" i="1" a="1"/>
  <c r="J2261" i="1" s="1"/>
  <c r="J2256" i="1" a="1"/>
  <c r="J2256" i="1" s="1"/>
  <c r="K2269" i="1" a="1"/>
  <c r="K2269" i="1" s="1"/>
  <c r="K2261" i="1" a="1"/>
  <c r="K2261" i="1" s="1"/>
  <c r="L2260" i="1" a="1"/>
  <c r="L2260" i="1" s="1"/>
  <c r="J2269" i="1" a="1"/>
  <c r="J2269" i="1" s="1"/>
  <c r="L2267" i="1" a="1"/>
  <c r="L2267" i="1" s="1"/>
  <c r="K2267" i="1" a="1"/>
  <c r="K2267" i="1" s="1"/>
  <c r="L2263" i="1" a="1"/>
  <c r="L2263" i="1" s="1"/>
  <c r="J2263" i="1" a="1"/>
  <c r="J2263" i="1" s="1"/>
  <c r="K2258" i="1" a="1"/>
  <c r="K2258" i="1" s="1"/>
  <c r="J2258" i="1" a="1"/>
  <c r="J2258" i="1" s="1"/>
  <c r="K2241" i="1" a="1"/>
  <c r="K2241" i="1" s="1"/>
  <c r="J2241" i="1" a="1"/>
  <c r="J2241" i="1" s="1"/>
  <c r="K2246" i="1" a="1"/>
  <c r="K2246" i="1" s="1"/>
  <c r="J2246" i="1" a="1"/>
  <c r="J2246" i="1" s="1"/>
  <c r="K2255" i="1" a="1"/>
  <c r="K2255" i="1" s="1"/>
  <c r="J2242" i="1" a="1"/>
  <c r="J2242" i="1" s="1"/>
  <c r="L2246" i="1" a="1"/>
  <c r="L2246" i="1" s="1"/>
  <c r="K2244" i="1" a="1"/>
  <c r="K2244" i="1" s="1"/>
  <c r="J2244" i="1" a="1"/>
  <c r="J2244" i="1" s="1"/>
  <c r="L2241" i="1" a="1"/>
  <c r="L2241" i="1" s="1"/>
  <c r="L2242" i="1" a="1"/>
  <c r="L2242" i="1" s="1"/>
  <c r="L2248" i="1" a="1"/>
  <c r="L2248" i="1" s="1"/>
  <c r="L2255" i="1" a="1"/>
  <c r="L2255" i="1" s="1"/>
  <c r="K2248" i="1" a="1"/>
  <c r="K2248" i="1" s="1"/>
  <c r="J2255" i="1" a="1"/>
  <c r="J2255" i="1" s="1"/>
  <c r="L2244" i="1" a="1"/>
  <c r="L2244" i="1" s="1"/>
  <c r="L2252" i="1" a="1"/>
  <c r="L2252" i="1" s="1"/>
  <c r="J2252" i="1" a="1"/>
  <c r="J2252" i="1" s="1"/>
  <c r="L2250" i="1" a="1"/>
  <c r="L2250" i="1" s="1"/>
  <c r="K2250" i="1" a="1"/>
  <c r="K2250" i="1" s="1"/>
  <c r="J2248" i="1" a="1"/>
  <c r="J2248" i="1" s="1"/>
  <c r="K2242" i="1" a="1"/>
  <c r="K2242" i="1" s="1"/>
  <c r="J2250" i="1" a="1"/>
  <c r="J2250" i="1" s="1"/>
  <c r="K2252" i="1" a="1"/>
  <c r="K2252" i="1" s="1"/>
  <c r="J2237" i="1" a="1"/>
  <c r="J2237" i="1" s="1"/>
  <c r="J2236" i="1" a="1"/>
  <c r="J2236" i="1" s="1"/>
  <c r="L2239" i="1" a="1"/>
  <c r="L2239" i="1" s="1"/>
  <c r="K2239" i="1" a="1"/>
  <c r="K2239" i="1" s="1"/>
  <c r="K2236" i="1" a="1"/>
  <c r="K2236" i="1" s="1"/>
  <c r="L2237" i="1" a="1"/>
  <c r="L2237" i="1" s="1"/>
  <c r="K2237" i="1" a="1"/>
  <c r="K2237" i="1" s="1"/>
  <c r="J2239" i="1" a="1"/>
  <c r="J2239" i="1" s="1"/>
  <c r="L2236" i="1" a="1"/>
  <c r="L2236" i="1" s="1"/>
  <c r="K1900" i="1" a="1"/>
  <c r="K1900" i="1" s="1"/>
  <c r="K1902" i="1" a="1"/>
  <c r="K1902" i="1" s="1"/>
  <c r="J1900" i="1" a="1"/>
  <c r="J1900" i="1" s="1"/>
  <c r="L1902" i="1" a="1"/>
  <c r="L1902" i="1" s="1"/>
  <c r="K1898" i="1" a="1"/>
  <c r="K1898" i="1" s="1"/>
  <c r="L1900" i="1" a="1"/>
  <c r="L1900" i="1" s="1"/>
  <c r="L1898" i="1" a="1"/>
  <c r="L1898" i="1" s="1"/>
  <c r="J1902" i="1" a="1"/>
  <c r="J1902" i="1" s="1"/>
  <c r="J1898" i="1" a="1"/>
  <c r="J1898" i="1" s="1"/>
  <c r="L1888" i="1" a="1"/>
  <c r="L1888" i="1" s="1"/>
  <c r="K1888" i="1" a="1"/>
  <c r="K1888" i="1" s="1"/>
  <c r="L1893" i="1" a="1"/>
  <c r="L1893" i="1" s="1"/>
  <c r="L1887" i="1" a="1"/>
  <c r="L1887" i="1" s="1"/>
  <c r="J1892" i="1" a="1"/>
  <c r="J1892" i="1" s="1"/>
  <c r="K1892" i="1" a="1"/>
  <c r="K1892" i="1" s="1"/>
  <c r="J1888" i="1" a="1"/>
  <c r="J1888" i="1" s="1"/>
  <c r="K1894" i="1" a="1"/>
  <c r="K1894" i="1" s="1"/>
  <c r="K1893" i="1" a="1"/>
  <c r="K1893" i="1" s="1"/>
  <c r="J1887" i="1" a="1"/>
  <c r="J1887" i="1" s="1"/>
  <c r="J1893" i="1" a="1"/>
  <c r="J1893" i="1" s="1"/>
  <c r="J1890" i="1" a="1"/>
  <c r="J1890" i="1" s="1"/>
  <c r="L1896" i="1" a="1"/>
  <c r="L1896" i="1" s="1"/>
  <c r="L1890" i="1" a="1"/>
  <c r="L1890" i="1" s="1"/>
  <c r="K1896" i="1" a="1"/>
  <c r="K1896" i="1" s="1"/>
  <c r="K1890" i="1" a="1"/>
  <c r="K1890" i="1" s="1"/>
  <c r="J1896" i="1" a="1"/>
  <c r="J1896" i="1" s="1"/>
  <c r="L1894" i="1" a="1"/>
  <c r="L1894" i="1" s="1"/>
  <c r="J1894" i="1" a="1"/>
  <c r="J1894" i="1" s="1"/>
  <c r="K1887" i="1" a="1"/>
  <c r="K1887" i="1" s="1"/>
  <c r="L1892" i="1" a="1"/>
  <c r="L1892" i="1" s="1"/>
  <c r="L1872" i="1" a="1"/>
  <c r="L1872" i="1" s="1"/>
  <c r="K1876" i="1" a="1"/>
  <c r="K1876" i="1" s="1"/>
  <c r="K1874" i="1" a="1"/>
  <c r="K1874" i="1" s="1"/>
  <c r="L1884" i="1" a="1"/>
  <c r="L1884" i="1" s="1"/>
  <c r="K1884" i="1" a="1"/>
  <c r="K1884" i="1" s="1"/>
  <c r="J1884" i="1" a="1"/>
  <c r="J1884" i="1" s="1"/>
  <c r="K1882" i="1" a="1"/>
  <c r="K1882" i="1" s="1"/>
  <c r="J1872" i="1" a="1"/>
  <c r="J1872" i="1" s="1"/>
  <c r="K1878" i="1" a="1"/>
  <c r="K1878" i="1" s="1"/>
  <c r="J1878" i="1" a="1"/>
  <c r="J1878" i="1" s="1"/>
  <c r="J1882" i="1" a="1"/>
  <c r="J1882" i="1" s="1"/>
  <c r="K1880" i="1" a="1"/>
  <c r="K1880" i="1" s="1"/>
  <c r="L1882" i="1" a="1"/>
  <c r="L1882" i="1" s="1"/>
  <c r="K1872" i="1" a="1"/>
  <c r="K1872" i="1" s="1"/>
  <c r="J1880" i="1" a="1"/>
  <c r="J1880" i="1" s="1"/>
  <c r="J1876" i="1" a="1"/>
  <c r="J1876" i="1" s="1"/>
  <c r="L1874" i="1" a="1"/>
  <c r="L1874" i="1" s="1"/>
  <c r="J1874" i="1" a="1"/>
  <c r="J1874" i="1" s="1"/>
  <c r="L1880" i="1" a="1"/>
  <c r="L1880" i="1" s="1"/>
  <c r="L1876" i="1" a="1"/>
  <c r="L1876" i="1" s="1"/>
  <c r="L1878" i="1" a="1"/>
  <c r="L1878" i="1" s="1"/>
  <c r="L1867" i="1" a="1"/>
  <c r="L1867" i="1" s="1"/>
  <c r="K1861" i="1" a="1"/>
  <c r="K1861" i="1" s="1"/>
  <c r="J1871" i="1" a="1"/>
  <c r="J1871" i="1" s="1"/>
  <c r="J1865" i="1" a="1"/>
  <c r="J1865" i="1" s="1"/>
  <c r="J1861" i="1" a="1"/>
  <c r="J1861" i="1" s="1"/>
  <c r="K1868" i="1" a="1"/>
  <c r="K1868" i="1" s="1"/>
  <c r="L1861" i="1" a="1"/>
  <c r="L1861" i="1" s="1"/>
  <c r="J1867" i="1" a="1"/>
  <c r="J1867" i="1" s="1"/>
  <c r="L1864" i="1" a="1"/>
  <c r="L1864" i="1" s="1"/>
  <c r="L1870" i="1" a="1"/>
  <c r="L1870" i="1" s="1"/>
  <c r="J1868" i="1" a="1"/>
  <c r="J1868" i="1" s="1"/>
  <c r="K1864" i="1" a="1"/>
  <c r="K1864" i="1" s="1"/>
  <c r="L1868" i="1" a="1"/>
  <c r="L1868" i="1" s="1"/>
  <c r="L1865" i="1" a="1"/>
  <c r="L1865" i="1" s="1"/>
  <c r="K1865" i="1" a="1"/>
  <c r="K1865" i="1" s="1"/>
  <c r="L1871" i="1" a="1"/>
  <c r="L1871" i="1" s="1"/>
  <c r="K1871" i="1" a="1"/>
  <c r="K1871" i="1" s="1"/>
  <c r="J1864" i="1" a="1"/>
  <c r="J1864" i="1" s="1"/>
  <c r="K1870" i="1" a="1"/>
  <c r="K1870" i="1" s="1"/>
  <c r="J1870" i="1" a="1"/>
  <c r="J1870" i="1" s="1"/>
  <c r="K1867" i="1" a="1"/>
  <c r="K1867" i="1" s="1"/>
  <c r="L1855" i="1" a="1"/>
  <c r="L1855" i="1" s="1"/>
  <c r="J1857" i="1" a="1"/>
  <c r="J1857" i="1" s="1"/>
  <c r="L1857" i="1" a="1"/>
  <c r="L1857" i="1" s="1"/>
  <c r="K1857" i="1" a="1"/>
  <c r="K1857" i="1" s="1"/>
  <c r="K1855" i="1" a="1"/>
  <c r="K1855" i="1" s="1"/>
  <c r="L1853" i="1" a="1"/>
  <c r="L1853" i="1" s="1"/>
  <c r="L1851" i="1" a="1"/>
  <c r="L1851" i="1" s="1"/>
  <c r="J1855" i="1" a="1"/>
  <c r="J1855" i="1" s="1"/>
  <c r="K1853" i="1" a="1"/>
  <c r="K1853" i="1" s="1"/>
  <c r="K1851" i="1" a="1"/>
  <c r="K1851" i="1" s="1"/>
  <c r="J1853" i="1" a="1"/>
  <c r="J1853" i="1" s="1"/>
  <c r="J1851" i="1" a="1"/>
  <c r="J1851" i="1" s="1"/>
  <c r="L1859" i="1" a="1"/>
  <c r="L1859" i="1" s="1"/>
  <c r="K1859" i="1" a="1"/>
  <c r="K1859" i="1" s="1"/>
  <c r="J1859" i="1" a="1"/>
  <c r="J1859" i="1" s="1"/>
  <c r="K1846" i="1" a="1"/>
  <c r="K1846" i="1" s="1"/>
  <c r="K1842" i="1" a="1"/>
  <c r="K1842" i="1" s="1"/>
  <c r="J1842" i="1" a="1"/>
  <c r="J1842" i="1" s="1"/>
  <c r="L1850" i="1" a="1"/>
  <c r="L1850" i="1" s="1"/>
  <c r="K1850" i="1" a="1"/>
  <c r="K1850" i="1" s="1"/>
  <c r="K1848" i="1" a="1"/>
  <c r="K1848" i="1" s="1"/>
  <c r="J1848" i="1" a="1"/>
  <c r="J1848" i="1" s="1"/>
  <c r="L1842" i="1" a="1"/>
  <c r="L1842" i="1" s="1"/>
  <c r="L1848" i="1" a="1"/>
  <c r="L1848" i="1" s="1"/>
  <c r="L1846" i="1" a="1"/>
  <c r="L1846" i="1" s="1"/>
  <c r="J1846" i="1" a="1"/>
  <c r="J1846" i="1" s="1"/>
  <c r="L1845" i="1" a="1"/>
  <c r="L1845" i="1" s="1"/>
  <c r="K1845" i="1" a="1"/>
  <c r="K1845" i="1" s="1"/>
  <c r="J1845" i="1" a="1"/>
  <c r="J1845" i="1" s="1"/>
  <c r="J1850" i="1" a="1"/>
  <c r="J1850" i="1" s="1"/>
  <c r="L1840" i="1" a="1"/>
  <c r="L1840" i="1" s="1"/>
  <c r="K1831" i="1" a="1"/>
  <c r="K1831" i="1" s="1"/>
  <c r="J1831" i="1" a="1"/>
  <c r="J1831" i="1" s="1"/>
  <c r="L1836" i="1" a="1"/>
  <c r="L1836" i="1" s="1"/>
  <c r="L1834" i="1" a="1"/>
  <c r="L1834" i="1" s="1"/>
  <c r="J1832" i="1" a="1"/>
  <c r="J1832" i="1" s="1"/>
  <c r="K1838" i="1" a="1"/>
  <c r="K1838" i="1" s="1"/>
  <c r="J1834" i="1" a="1"/>
  <c r="J1834" i="1" s="1"/>
  <c r="L1832" i="1" a="1"/>
  <c r="L1832" i="1" s="1"/>
  <c r="J1836" i="1" a="1"/>
  <c r="J1836" i="1" s="1"/>
  <c r="L1831" i="1" a="1"/>
  <c r="L1831" i="1" s="1"/>
  <c r="J1838" i="1" a="1"/>
  <c r="J1838" i="1" s="1"/>
  <c r="L1838" i="1" a="1"/>
  <c r="L1838" i="1" s="1"/>
  <c r="K1840" i="1" a="1"/>
  <c r="K1840" i="1" s="1"/>
  <c r="K1836" i="1" a="1"/>
  <c r="K1836" i="1" s="1"/>
  <c r="J1840" i="1" a="1"/>
  <c r="J1840" i="1" s="1"/>
  <c r="K1832" i="1" a="1"/>
  <c r="K1832" i="1" s="1"/>
  <c r="K1834" i="1" a="1"/>
  <c r="K1834" i="1" s="1"/>
  <c r="L1827" i="1" a="1"/>
  <c r="L1827" i="1" s="1"/>
  <c r="K1827" i="1" a="1"/>
  <c r="K1827" i="1" s="1"/>
  <c r="L1829" i="1" a="1"/>
  <c r="L1829" i="1" s="1"/>
  <c r="K1829" i="1" a="1"/>
  <c r="K1829" i="1" s="1"/>
  <c r="L1826" i="1" a="1"/>
  <c r="L1826" i="1" s="1"/>
  <c r="K1826" i="1" a="1"/>
  <c r="K1826" i="1" s="1"/>
  <c r="J1829" i="1" a="1"/>
  <c r="J1829" i="1" s="1"/>
  <c r="J1826" i="1" a="1"/>
  <c r="J1826" i="1" s="1"/>
  <c r="J1827" i="1" a="1"/>
  <c r="J1827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K779" i="1"/>
  <c r="K783" i="1" s="1"/>
  <c r="J779" i="1"/>
  <c r="J786" i="1" s="1"/>
  <c r="J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J97" i="1"/>
  <c r="J129" i="1" s="1"/>
  <c r="L96" i="1"/>
  <c r="L128" i="1" s="1"/>
  <c r="K96" i="1"/>
  <c r="K128" i="1" s="1"/>
  <c r="J96" i="1"/>
  <c r="J128" i="1" s="1"/>
  <c r="L95" i="1"/>
  <c r="K95" i="1"/>
  <c r="J95" i="1"/>
  <c r="L94" i="1"/>
  <c r="K94" i="1"/>
  <c r="K126" i="1" s="1"/>
  <c r="J94" i="1"/>
  <c r="L93" i="1"/>
  <c r="L125" i="1" s="1"/>
  <c r="K93" i="1"/>
  <c r="K125" i="1" s="1"/>
  <c r="J93" i="1"/>
  <c r="J125" i="1" s="1"/>
  <c r="L92" i="1"/>
  <c r="L124" i="1" s="1"/>
  <c r="K92" i="1"/>
  <c r="J92" i="1"/>
  <c r="J124" i="1" s="1"/>
  <c r="L91" i="1"/>
  <c r="K91" i="1"/>
  <c r="K123" i="1" s="1"/>
  <c r="J91" i="1"/>
  <c r="L90" i="1"/>
  <c r="K90" i="1"/>
  <c r="J90" i="1"/>
  <c r="J122" i="1" s="1"/>
  <c r="L89" i="1"/>
  <c r="L121" i="1" s="1"/>
  <c r="K89" i="1"/>
  <c r="J89" i="1"/>
  <c r="L88" i="1"/>
  <c r="L120" i="1" s="1"/>
  <c r="K88" i="1"/>
  <c r="K120" i="1" s="1"/>
  <c r="J88" i="1"/>
  <c r="J120" i="1" s="1"/>
  <c r="L87" i="1"/>
  <c r="L119" i="1" s="1"/>
  <c r="K87" i="1"/>
  <c r="K119" i="1" s="1"/>
  <c r="J87" i="1"/>
  <c r="L86" i="1"/>
  <c r="L118" i="1" s="1"/>
  <c r="K86" i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J1644" i="1" a="1"/>
  <c r="J1644" i="1" s="1"/>
  <c r="K1648" i="1" a="1"/>
  <c r="K1648" i="1" s="1"/>
  <c r="L1644" i="1" a="1"/>
  <c r="L1644" i="1" s="1"/>
  <c r="L1648" i="1" a="1"/>
  <c r="L1648" i="1" s="1"/>
  <c r="K1644" i="1" a="1"/>
  <c r="K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743" i="1" a="1"/>
  <c r="J743" i="1" s="1"/>
  <c r="L743" i="1" a="1"/>
  <c r="L743" i="1" s="1"/>
  <c r="K743" i="1" a="1"/>
  <c r="K743" i="1" s="1"/>
  <c r="J2335" i="1" a="1"/>
  <c r="J2335" i="1" s="1"/>
  <c r="J2334" i="1" a="1"/>
  <c r="J2334" i="1" s="1"/>
  <c r="L2337" i="1" a="1"/>
  <c r="L2337" i="1" s="1"/>
  <c r="L2336" i="1" a="1"/>
  <c r="L2336" i="1" s="1"/>
  <c r="L2333" i="1" a="1"/>
  <c r="L2333" i="1" s="1"/>
  <c r="L2334" i="1" a="1"/>
  <c r="L2334" i="1" s="1"/>
  <c r="L2339" i="1" a="1"/>
  <c r="L2339" i="1" s="1"/>
  <c r="L2338" i="1" a="1"/>
  <c r="L2338" i="1" s="1"/>
  <c r="K2335" i="1" a="1"/>
  <c r="K2335" i="1" s="1"/>
  <c r="K2334" i="1" a="1"/>
  <c r="K2334" i="1" s="1"/>
  <c r="K2333" i="1" a="1"/>
  <c r="K2333" i="1" s="1"/>
  <c r="K2339" i="1" a="1"/>
  <c r="K2339" i="1" s="1"/>
  <c r="J2338" i="1" a="1"/>
  <c r="J2338" i="1" s="1"/>
  <c r="J2336" i="1" a="1"/>
  <c r="J2336" i="1" s="1"/>
  <c r="J2340" i="1" a="1"/>
  <c r="J2340" i="1" s="1"/>
  <c r="J2339" i="1" a="1"/>
  <c r="J2339" i="1" s="1"/>
  <c r="K2340" i="1" a="1"/>
  <c r="K2340" i="1" s="1"/>
  <c r="K2337" i="1" a="1"/>
  <c r="K2337" i="1" s="1"/>
  <c r="J2337" i="1" a="1"/>
  <c r="J2337" i="1" s="1"/>
  <c r="K2336" i="1" a="1"/>
  <c r="K2336" i="1" s="1"/>
  <c r="L2335" i="1" a="1"/>
  <c r="L2335" i="1" s="1"/>
  <c r="L2340" i="1" a="1"/>
  <c r="L2340" i="1" s="1"/>
  <c r="K2338" i="1" a="1"/>
  <c r="K2338" i="1" s="1"/>
  <c r="K2328" i="1" a="1"/>
  <c r="K2328" i="1"/>
  <c r="J2326" i="1" a="1"/>
  <c r="J2326" i="1" s="1"/>
  <c r="L2328" i="1" a="1"/>
  <c r="L2328" i="1" s="1"/>
  <c r="L2325" i="1" a="1"/>
  <c r="L2325" i="1" s="1"/>
  <c r="J2325" i="1" a="1"/>
  <c r="J2325" i="1" s="1"/>
  <c r="J2328" i="1" a="1"/>
  <c r="J2328" i="1" s="1"/>
  <c r="J2333" i="1" a="1"/>
  <c r="J2333" i="1" s="1"/>
  <c r="L2332" i="1" a="1"/>
  <c r="L2332" i="1" s="1"/>
  <c r="J2332" i="1" a="1"/>
  <c r="J2332" i="1" s="1"/>
  <c r="L2326" i="1" a="1"/>
  <c r="L2326" i="1" s="1"/>
  <c r="L2330" i="1" a="1"/>
  <c r="L2330" i="1" s="1"/>
  <c r="L2329" i="1" a="1"/>
  <c r="L2329" i="1" s="1"/>
  <c r="K2329" i="1" a="1"/>
  <c r="K2329" i="1" s="1"/>
  <c r="L2323" i="1" a="1"/>
  <c r="L2323" i="1" s="1"/>
  <c r="L2322" i="1" s="1" a="1"/>
  <c r="L2322" i="1" s="1"/>
  <c r="K2323" i="1" a="1"/>
  <c r="K2323" i="1" s="1"/>
  <c r="K2322" i="1" s="1" a="1"/>
  <c r="K2322" i="1" s="1"/>
  <c r="J2330" i="1" a="1"/>
  <c r="J2330" i="1" s="1"/>
  <c r="K2325" i="1" a="1"/>
  <c r="K2325" i="1" s="1"/>
  <c r="J2323" i="1" a="1"/>
  <c r="J2323" i="1" s="1"/>
  <c r="J2322" i="1" s="1" a="1"/>
  <c r="J2322" i="1" s="1"/>
  <c r="K2332" i="1" a="1"/>
  <c r="K2332" i="1" s="1"/>
  <c r="K2330" i="1" a="1"/>
  <c r="K2330" i="1" s="1"/>
  <c r="J2331" i="1" a="1"/>
  <c r="J2331" i="1" s="1"/>
  <c r="L2331" i="1" a="1"/>
  <c r="L2331" i="1" s="1"/>
  <c r="J2329" i="1" a="1"/>
  <c r="J2329" i="1" s="1"/>
  <c r="K2326" i="1" a="1"/>
  <c r="K2326" i="1" s="1"/>
  <c r="L2327" i="1" a="1"/>
  <c r="L2327" i="1" s="1"/>
  <c r="K2331" i="1" a="1"/>
  <c r="K2331" i="1" s="1"/>
  <c r="J2327" i="1" a="1"/>
  <c r="J2327" i="1" s="1"/>
  <c r="K2327" i="1" a="1"/>
  <c r="K2327" i="1" s="1"/>
  <c r="J2316" i="1" a="1"/>
  <c r="J2316" i="1" s="1"/>
  <c r="J2314" i="1" a="1"/>
  <c r="J2314" i="1" s="1"/>
  <c r="K2320" i="1" a="1"/>
  <c r="K2320" i="1" s="1"/>
  <c r="K2319" i="1" s="1" a="1"/>
  <c r="K2319" i="1" s="1"/>
  <c r="L2317" i="1" a="1"/>
  <c r="L2317" i="1" s="1"/>
  <c r="L2316" i="1" a="1"/>
  <c r="L2316" i="1" s="1"/>
  <c r="K2314" i="1" a="1"/>
  <c r="K2314" i="1" s="1"/>
  <c r="L2320" i="1" a="1"/>
  <c r="L2320" i="1" s="1"/>
  <c r="L2319" i="1" s="1" a="1"/>
  <c r="L2319" i="1" s="1"/>
  <c r="J2317" i="1" a="1"/>
  <c r="J2317" i="1" s="1"/>
  <c r="J2320" i="1" a="1"/>
  <c r="J2320" i="1" s="1"/>
  <c r="J2319" i="1" s="1" a="1"/>
  <c r="J2319" i="1" s="1"/>
  <c r="K2316" i="1" a="1"/>
  <c r="K2316" i="1" s="1"/>
  <c r="L2314" i="1" a="1"/>
  <c r="L2314" i="1" s="1"/>
  <c r="K2317" i="1" a="1"/>
  <c r="K2317" i="1" s="1"/>
  <c r="K620" i="1" a="1"/>
  <c r="K620" i="1" s="1"/>
  <c r="L619" i="1" a="1"/>
  <c r="L619" i="1" s="1"/>
  <c r="L620" i="1" a="1"/>
  <c r="L620" i="1" s="1"/>
  <c r="J620" i="1" a="1"/>
  <c r="J620" i="1" s="1"/>
  <c r="L609" i="1" a="1"/>
  <c r="L609" i="1" s="1"/>
  <c r="K606" i="1" a="1"/>
  <c r="K606" i="1" s="1"/>
  <c r="J609" i="1" a="1"/>
  <c r="J609" i="1" s="1"/>
  <c r="J610" i="1" a="1"/>
  <c r="J610" i="1" s="1"/>
  <c r="K607" i="1" a="1"/>
  <c r="K607" i="1" s="1"/>
  <c r="J607" i="1" a="1"/>
  <c r="J607" i="1" s="1"/>
  <c r="J619" i="1" a="1"/>
  <c r="J619" i="1" s="1"/>
  <c r="L617" i="1" a="1"/>
  <c r="L617" i="1" s="1"/>
  <c r="J617" i="1" a="1"/>
  <c r="J617" i="1" s="1"/>
  <c r="L610" i="1" a="1"/>
  <c r="L610" i="1" s="1"/>
  <c r="L607" i="1" a="1"/>
  <c r="L607" i="1" s="1"/>
  <c r="K619" i="1" a="1"/>
  <c r="K619" i="1" s="1"/>
  <c r="L618" i="1" a="1"/>
  <c r="L618" i="1" s="1"/>
  <c r="K618" i="1" a="1"/>
  <c r="K618" i="1" s="1"/>
  <c r="K610" i="1" a="1"/>
  <c r="K610" i="1" s="1"/>
  <c r="L606" i="1" a="1"/>
  <c r="L606" i="1" s="1"/>
  <c r="J606" i="1" a="1"/>
  <c r="J606" i="1" s="1"/>
  <c r="J618" i="1" a="1"/>
  <c r="J618" i="1" s="1"/>
  <c r="K617" i="1" a="1"/>
  <c r="K617" i="1" s="1"/>
  <c r="K609" i="1" a="1"/>
  <c r="K609" i="1" s="1"/>
  <c r="K596" i="1" a="1"/>
  <c r="K596" i="1" s="1"/>
  <c r="L595" i="1" a="1"/>
  <c r="L595" i="1" s="1"/>
  <c r="J592" i="1" a="1"/>
  <c r="J592" i="1" s="1"/>
  <c r="K592" i="1" a="1"/>
  <c r="K592" i="1" s="1"/>
  <c r="K595" i="1" a="1"/>
  <c r="K595" i="1" s="1"/>
  <c r="K589" i="1" a="1"/>
  <c r="K589" i="1" s="1"/>
  <c r="K603" i="1" a="1"/>
  <c r="K603" i="1" s="1"/>
  <c r="L596" i="1" a="1"/>
  <c r="L596" i="1" s="1"/>
  <c r="L603" i="1" a="1"/>
  <c r="L603" i="1" s="1"/>
  <c r="J595" i="1" a="1"/>
  <c r="J595" i="1" s="1"/>
  <c r="J603" i="1" a="1"/>
  <c r="J603" i="1" s="1"/>
  <c r="K593" i="1" a="1"/>
  <c r="K593" i="1" s="1"/>
  <c r="J593" i="1" a="1"/>
  <c r="J593" i="1" s="1"/>
  <c r="J602" i="1" a="1"/>
  <c r="J602" i="1" s="1"/>
  <c r="L602" i="1" a="1"/>
  <c r="L602" i="1" s="1"/>
  <c r="K602" i="1" a="1"/>
  <c r="K602" i="1" s="1"/>
  <c r="L593" i="1" a="1"/>
  <c r="L593" i="1" s="1"/>
  <c r="L589" i="1" a="1"/>
  <c r="L589" i="1" s="1"/>
  <c r="J596" i="1" a="1"/>
  <c r="J596" i="1" s="1"/>
  <c r="L592" i="1" a="1"/>
  <c r="L592" i="1" s="1"/>
  <c r="K585" i="1" a="1"/>
  <c r="K585" i="1" s="1"/>
  <c r="J585" i="1" a="1"/>
  <c r="J585" i="1" s="1"/>
  <c r="K584" i="1" a="1"/>
  <c r="K584" i="1" s="1"/>
  <c r="J584" i="1" a="1"/>
  <c r="J584" i="1" s="1"/>
  <c r="J589" i="1" a="1"/>
  <c r="J589" i="1" s="1"/>
  <c r="L588" i="1" a="1"/>
  <c r="L588" i="1" s="1"/>
  <c r="K588" i="1" a="1"/>
  <c r="K588" i="1" s="1"/>
  <c r="J588" i="1" a="1"/>
  <c r="J588" i="1" s="1"/>
  <c r="L585" i="1" a="1"/>
  <c r="L585" i="1" s="1"/>
  <c r="L584" i="1" a="1"/>
  <c r="L584" i="1" s="1"/>
  <c r="L31" i="1" a="1"/>
  <c r="L31" i="1" s="1"/>
  <c r="J31" i="1" a="1"/>
  <c r="J31" i="1" s="1"/>
  <c r="K31" i="1" a="1"/>
  <c r="K31" i="1"/>
  <c r="J727" i="1" a="1"/>
  <c r="J727" i="1" s="1"/>
  <c r="L727" i="1" a="1"/>
  <c r="L727" i="1" s="1"/>
  <c r="L740" i="1" a="1"/>
  <c r="L740" i="1" s="1"/>
  <c r="K740" i="1" a="1"/>
  <c r="K740" i="1" s="1"/>
  <c r="J740" i="1" a="1"/>
  <c r="J740" i="1" s="1"/>
  <c r="K727" i="1" a="1"/>
  <c r="K727" i="1" s="1"/>
  <c r="K716" i="1" a="1"/>
  <c r="K716" i="1" s="1"/>
  <c r="J716" i="1" a="1"/>
  <c r="J716" i="1" s="1"/>
  <c r="L711" i="1" a="1"/>
  <c r="L711" i="1" s="1"/>
  <c r="J720" i="1" a="1"/>
  <c r="J720" i="1" s="1"/>
  <c r="K720" i="1" a="1"/>
  <c r="K720" i="1" s="1"/>
  <c r="K719" i="1" a="1"/>
  <c r="K719" i="1" s="1"/>
  <c r="L718" i="1" a="1"/>
  <c r="L718" i="1" s="1"/>
  <c r="J718" i="1" a="1"/>
  <c r="J718" i="1" s="1"/>
  <c r="L716" i="1" a="1"/>
  <c r="L716" i="1" s="1"/>
  <c r="L719" i="1" a="1"/>
  <c r="L719" i="1" s="1"/>
  <c r="J719" i="1" a="1"/>
  <c r="J719" i="1" s="1"/>
  <c r="K718" i="1" a="1"/>
  <c r="K718" i="1" s="1"/>
  <c r="L724" i="1" a="1"/>
  <c r="L724" i="1" s="1"/>
  <c r="K724" i="1" a="1"/>
  <c r="K724" i="1" s="1"/>
  <c r="J724" i="1" a="1"/>
  <c r="J724" i="1" s="1"/>
  <c r="K711" i="1" a="1"/>
  <c r="K711" i="1" s="1"/>
  <c r="L720" i="1" a="1"/>
  <c r="L720" i="1" s="1"/>
  <c r="L696" i="1" a="1"/>
  <c r="L696" i="1" s="1"/>
  <c r="K688" i="1" a="1"/>
  <c r="K688" i="1" s="1"/>
  <c r="J697" i="1" a="1"/>
  <c r="J697" i="1" s="1"/>
  <c r="J688" i="1" a="1"/>
  <c r="J688" i="1" s="1"/>
  <c r="K696" i="1" a="1"/>
  <c r="K696" i="1" s="1"/>
  <c r="L697" i="1" a="1"/>
  <c r="L697" i="1" s="1"/>
  <c r="L688" i="1" a="1"/>
  <c r="L688" i="1" s="1"/>
  <c r="J696" i="1" a="1"/>
  <c r="J696" i="1" s="1"/>
  <c r="J711" i="1" a="1"/>
  <c r="J711" i="1" s="1"/>
  <c r="L709" i="1" a="1"/>
  <c r="L709" i="1" s="1"/>
  <c r="K697" i="1" a="1"/>
  <c r="K697" i="1" s="1"/>
  <c r="K709" i="1" a="1"/>
  <c r="K709" i="1" s="1"/>
  <c r="J709" i="1" a="1"/>
  <c r="J709" i="1" s="1"/>
  <c r="L681" i="1" a="1"/>
  <c r="L681" i="1" s="1"/>
  <c r="J681" i="1" a="1"/>
  <c r="J681" i="1" s="1"/>
  <c r="K682" i="1" a="1"/>
  <c r="K682" i="1" s="1"/>
  <c r="J682" i="1" a="1"/>
  <c r="J682" i="1" s="1"/>
  <c r="L687" i="1" a="1"/>
  <c r="L687" i="1" s="1"/>
  <c r="J683" i="1" a="1"/>
  <c r="J683" i="1" s="1"/>
  <c r="L682" i="1" a="1"/>
  <c r="L682" i="1" s="1"/>
  <c r="K687" i="1" a="1"/>
  <c r="K687" i="1" s="1"/>
  <c r="J687" i="1" a="1"/>
  <c r="J687" i="1" s="1"/>
  <c r="L683" i="1" a="1"/>
  <c r="L683" i="1" s="1"/>
  <c r="K683" i="1" a="1"/>
  <c r="K683" i="1" s="1"/>
  <c r="L685" i="1" a="1"/>
  <c r="L685" i="1" s="1"/>
  <c r="K685" i="1" a="1"/>
  <c r="K685" i="1" s="1"/>
  <c r="J685" i="1" a="1"/>
  <c r="J685" i="1" s="1"/>
  <c r="K681" i="1" a="1"/>
  <c r="K681" i="1" s="1"/>
  <c r="K666" i="1" a="1"/>
  <c r="K666" i="1" s="1"/>
  <c r="J665" i="1" a="1"/>
  <c r="J665" i="1" s="1"/>
  <c r="L665" i="1" a="1"/>
  <c r="L665" i="1" s="1"/>
  <c r="L653" i="1" a="1"/>
  <c r="L653" i="1" s="1"/>
  <c r="K664" i="1" a="1"/>
  <c r="K664" i="1" s="1"/>
  <c r="J653" i="1" a="1"/>
  <c r="J653" i="1" s="1"/>
  <c r="K653" i="1" a="1"/>
  <c r="K653" i="1" s="1"/>
  <c r="L666" i="1" a="1"/>
  <c r="L666" i="1" s="1"/>
  <c r="L664" i="1" a="1"/>
  <c r="L664" i="1" s="1"/>
  <c r="K665" i="1" a="1"/>
  <c r="K665" i="1" s="1"/>
  <c r="J664" i="1" a="1"/>
  <c r="J664" i="1" s="1"/>
  <c r="J666" i="1" a="1"/>
  <c r="J666" i="1" s="1"/>
  <c r="L645" i="1" a="1"/>
  <c r="L645" i="1" s="1"/>
  <c r="K643" i="1" a="1"/>
  <c r="K643" i="1" s="1"/>
  <c r="K650" i="1" a="1"/>
  <c r="K650" i="1" s="1"/>
  <c r="L649" i="1" a="1"/>
  <c r="L649" i="1" s="1"/>
  <c r="J650" i="1" a="1"/>
  <c r="J650" i="1" s="1"/>
  <c r="J648" i="1" a="1"/>
  <c r="J648" i="1" s="1"/>
  <c r="J647" i="1" a="1"/>
  <c r="J647" i="1" s="1"/>
  <c r="J649" i="1" a="1"/>
  <c r="J649" i="1" s="1"/>
  <c r="K647" i="1" a="1"/>
  <c r="K647" i="1" s="1"/>
  <c r="K645" i="1" a="1"/>
  <c r="K645" i="1" s="1"/>
  <c r="J643" i="1" a="1"/>
  <c r="J643" i="1" s="1"/>
  <c r="L648" i="1" a="1"/>
  <c r="L648" i="1" s="1"/>
  <c r="L643" i="1" a="1"/>
  <c r="L643" i="1" s="1"/>
  <c r="L652" i="1" a="1"/>
  <c r="L652" i="1" s="1"/>
  <c r="K652" i="1" a="1"/>
  <c r="K652" i="1" s="1"/>
  <c r="J652" i="1" a="1"/>
  <c r="J652" i="1" s="1"/>
  <c r="J645" i="1" a="1"/>
  <c r="J645" i="1" s="1"/>
  <c r="K648" i="1" a="1"/>
  <c r="K648" i="1" s="1"/>
  <c r="L650" i="1" a="1"/>
  <c r="L650" i="1" s="1"/>
  <c r="K649" i="1" a="1"/>
  <c r="K649" i="1" s="1"/>
  <c r="L647" i="1" a="1"/>
  <c r="L647" i="1" s="1"/>
  <c r="L640" i="1" a="1"/>
  <c r="L640" i="1" s="1"/>
  <c r="K635" i="1" a="1"/>
  <c r="K635" i="1" s="1"/>
  <c r="L637" i="1" a="1"/>
  <c r="L637" i="1" s="1"/>
  <c r="L633" i="1" a="1"/>
  <c r="L633" i="1" s="1"/>
  <c r="K642" i="1" a="1"/>
  <c r="K642" i="1" s="1"/>
  <c r="J635" i="1" a="1"/>
  <c r="J635" i="1" s="1"/>
  <c r="K640" i="1" a="1"/>
  <c r="K640" i="1" s="1"/>
  <c r="K639" i="1" a="1"/>
  <c r="K639" i="1" s="1"/>
  <c r="J638" i="1" a="1"/>
  <c r="J638" i="1" s="1"/>
  <c r="L642" i="1" a="1"/>
  <c r="L642" i="1" s="1"/>
  <c r="J637" i="1" a="1"/>
  <c r="J637" i="1" s="1"/>
  <c r="J639" i="1" a="1"/>
  <c r="J639" i="1" s="1"/>
  <c r="K637" i="1" a="1"/>
  <c r="K637" i="1" s="1"/>
  <c r="L639" i="1" a="1"/>
  <c r="L639" i="1" s="1"/>
  <c r="J633" i="1" a="1"/>
  <c r="J633" i="1" s="1"/>
  <c r="J642" i="1" a="1"/>
  <c r="J642" i="1" s="1"/>
  <c r="L638" i="1" a="1"/>
  <c r="L638" i="1" s="1"/>
  <c r="K638" i="1" a="1"/>
  <c r="K638" i="1" s="1"/>
  <c r="K633" i="1" a="1"/>
  <c r="K633" i="1" s="1"/>
  <c r="J640" i="1" a="1"/>
  <c r="J640" i="1" s="1"/>
  <c r="L635" i="1" a="1"/>
  <c r="L635" i="1" s="1"/>
  <c r="L625" i="1" a="1"/>
  <c r="L625" i="1" s="1"/>
  <c r="K622" i="1" a="1"/>
  <c r="K622" i="1" s="1"/>
  <c r="J630" i="1" a="1"/>
  <c r="J630" i="1" s="1"/>
  <c r="L629" i="1" a="1"/>
  <c r="L629" i="1" s="1"/>
  <c r="J623" i="1" a="1"/>
  <c r="J623" i="1" s="1"/>
  <c r="L622" i="1" a="1"/>
  <c r="L622" i="1" s="1"/>
  <c r="K629" i="1" a="1"/>
  <c r="K629" i="1" s="1"/>
  <c r="L628" i="1" a="1"/>
  <c r="L628" i="1" s="1"/>
  <c r="J628" i="1" a="1"/>
  <c r="J628" i="1" s="1"/>
  <c r="J629" i="1" a="1"/>
  <c r="J629" i="1" s="1"/>
  <c r="J627" i="1" a="1"/>
  <c r="J627" i="1" s="1"/>
  <c r="K625" i="1" a="1"/>
  <c r="K625" i="1" s="1"/>
  <c r="L632" i="1" a="1"/>
  <c r="L632" i="1" s="1"/>
  <c r="K632" i="1" a="1"/>
  <c r="K632" i="1" s="1"/>
  <c r="J632" i="1" a="1"/>
  <c r="J632" i="1" s="1"/>
  <c r="K628" i="1" a="1"/>
  <c r="K628" i="1" s="1"/>
  <c r="L627" i="1" a="1"/>
  <c r="L627" i="1" s="1"/>
  <c r="K627" i="1" a="1"/>
  <c r="K627" i="1" s="1"/>
  <c r="L623" i="1" a="1"/>
  <c r="L623" i="1" s="1"/>
  <c r="J622" i="1" a="1"/>
  <c r="J622" i="1" s="1"/>
  <c r="J625" i="1" a="1"/>
  <c r="J625" i="1" s="1"/>
  <c r="L630" i="1" a="1"/>
  <c r="L630" i="1" s="1"/>
  <c r="K630" i="1" a="1"/>
  <c r="K630" i="1" s="1"/>
  <c r="K623" i="1" a="1"/>
  <c r="K623" i="1" s="1"/>
  <c r="K1709" i="1" a="1"/>
  <c r="K1709" i="1" s="1"/>
  <c r="K1708" i="1" a="1"/>
  <c r="K1708" i="1" s="1"/>
  <c r="L1709" i="1" a="1"/>
  <c r="L1709" i="1" s="1"/>
  <c r="J1708" i="1" a="1"/>
  <c r="J1708" i="1" s="1"/>
  <c r="J1709" i="1" a="1"/>
  <c r="J1709" i="1" s="1"/>
  <c r="L1708" i="1" a="1"/>
  <c r="L1708" i="1" s="1"/>
  <c r="K2049" i="1" a="1"/>
  <c r="K2049" i="1" s="1"/>
  <c r="K2047" i="1" a="1"/>
  <c r="K2047" i="1" s="1"/>
  <c r="J2047" i="1" a="1"/>
  <c r="J2047" i="1" s="1"/>
  <c r="K2048" i="1" a="1"/>
  <c r="K2048" i="1" s="1"/>
  <c r="L2049" i="1" a="1"/>
  <c r="L2049" i="1" s="1"/>
  <c r="J2049" i="1" a="1"/>
  <c r="J2049" i="1" s="1"/>
  <c r="J2048" i="1" a="1"/>
  <c r="J2048" i="1" s="1"/>
  <c r="L2047" i="1" a="1"/>
  <c r="L2047" i="1" s="1"/>
  <c r="L2048" i="1" a="1"/>
  <c r="L2048" i="1" s="1"/>
  <c r="K2044" i="1" a="1"/>
  <c r="K2044" i="1" s="1"/>
  <c r="K2041" i="1" a="1"/>
  <c r="K2041" i="1" s="1"/>
  <c r="K2040" i="1" a="1"/>
  <c r="K2040" i="1" s="1"/>
  <c r="J2040" i="1" a="1"/>
  <c r="J2040" i="1" s="1"/>
  <c r="J2039" i="1" a="1"/>
  <c r="J2039" i="1" s="1"/>
  <c r="J2043" i="1" a="1"/>
  <c r="J2043" i="1" s="1"/>
  <c r="K2045" i="1" a="1"/>
  <c r="K2045" i="1" s="1"/>
  <c r="K2043" i="1" a="1"/>
  <c r="K2043" i="1" s="1"/>
  <c r="L2038" i="1" a="1"/>
  <c r="L2038" i="1" s="1"/>
  <c r="K2038" i="1" a="1"/>
  <c r="K2038" i="1" s="1"/>
  <c r="K2042" i="1" a="1"/>
  <c r="K2042" i="1" s="1"/>
  <c r="J2038" i="1" a="1"/>
  <c r="J2038" i="1" s="1"/>
  <c r="J2042" i="1" a="1"/>
  <c r="J2042" i="1" s="1"/>
  <c r="L2042" i="1" a="1"/>
  <c r="L2042" i="1" s="1"/>
  <c r="L2046" i="1" a="1"/>
  <c r="L2046" i="1" s="1"/>
  <c r="L2041" i="1" a="1"/>
  <c r="L2041" i="1" s="1"/>
  <c r="L2039" i="1" a="1"/>
  <c r="L2039" i="1" s="1"/>
  <c r="K2046" i="1" a="1"/>
  <c r="K2046" i="1" s="1"/>
  <c r="J2046" i="1" a="1"/>
  <c r="J2046" i="1" s="1"/>
  <c r="L2045" i="1" a="1"/>
  <c r="L2045" i="1" s="1"/>
  <c r="L2040" i="1" a="1"/>
  <c r="L2040" i="1" s="1"/>
  <c r="J2045" i="1" a="1"/>
  <c r="J2045" i="1" s="1"/>
  <c r="J2041" i="1" a="1"/>
  <c r="J2041" i="1" s="1"/>
  <c r="K2039" i="1" a="1"/>
  <c r="K2039" i="1" s="1"/>
  <c r="L2043" i="1" a="1"/>
  <c r="L2043" i="1" s="1"/>
  <c r="L2044" i="1" a="1"/>
  <c r="L2044" i="1" s="1"/>
  <c r="J2044" i="1" a="1"/>
  <c r="J2044" i="1" s="1"/>
  <c r="L2032" i="1" a="1"/>
  <c r="L2032" i="1" s="1"/>
  <c r="L2031" i="1" s="1" a="1"/>
  <c r="L2031" i="1" s="1"/>
  <c r="K2032" i="1" a="1"/>
  <c r="K2032" i="1" s="1"/>
  <c r="K2031" i="1" s="1" a="1"/>
  <c r="K2031" i="1" s="1"/>
  <c r="L2029" i="1" a="1"/>
  <c r="L2029" i="1" s="1"/>
  <c r="L2028" i="1" s="1" a="1"/>
  <c r="L2028" i="1" s="1"/>
  <c r="L2036" i="1" a="1"/>
  <c r="L2036" i="1" s="1"/>
  <c r="K2029" i="1" a="1"/>
  <c r="K2029" i="1" s="1"/>
  <c r="K2028" i="1" s="1" a="1"/>
  <c r="K2028" i="1" s="1"/>
  <c r="J2037" i="1" a="1"/>
  <c r="J2037" i="1" s="1"/>
  <c r="J2036" i="1" a="1"/>
  <c r="J2036" i="1" s="1"/>
  <c r="K2034" i="1" a="1"/>
  <c r="K2034" i="1" s="1"/>
  <c r="J2034" i="1" a="1"/>
  <c r="J2034" i="1" s="1"/>
  <c r="L2034" i="1" a="1"/>
  <c r="L2034" i="1" s="1"/>
  <c r="L2035" i="1" a="1"/>
  <c r="L2035" i="1" s="1"/>
  <c r="J2032" i="1" a="1"/>
  <c r="J2032" i="1" s="1"/>
  <c r="J2031" i="1" s="1" a="1"/>
  <c r="J2031" i="1" s="1"/>
  <c r="K2035" i="1" a="1"/>
  <c r="K2035" i="1" s="1"/>
  <c r="J2029" i="1" a="1"/>
  <c r="J2029" i="1" s="1"/>
  <c r="J2028" i="1" s="1" a="1"/>
  <c r="J2028" i="1" s="1"/>
  <c r="K2036" i="1" a="1"/>
  <c r="K2036" i="1" s="1"/>
  <c r="K2037" i="1" a="1"/>
  <c r="K2037" i="1" s="1"/>
  <c r="J2035" i="1" a="1"/>
  <c r="J2035" i="1" s="1"/>
  <c r="L2037" i="1" a="1"/>
  <c r="L2037" i="1" s="1"/>
  <c r="K2025" i="1" a="1"/>
  <c r="K2025" i="1" s="1"/>
  <c r="J2025" i="1" a="1"/>
  <c r="J2025" i="1" s="1"/>
  <c r="L2023" i="1" a="1"/>
  <c r="L2023" i="1" s="1"/>
  <c r="L2025" i="1" a="1"/>
  <c r="L2025" i="1" s="1"/>
  <c r="K2023" i="1" a="1"/>
  <c r="K2023" i="1" s="1"/>
  <c r="J2023" i="1" a="1"/>
  <c r="J2023" i="1" s="1"/>
  <c r="L2026" i="1" a="1"/>
  <c r="L2026" i="1" s="1"/>
  <c r="K2026" i="1" a="1"/>
  <c r="K2026" i="1" s="1"/>
  <c r="J2026" i="1" a="1"/>
  <c r="J2026" i="1" s="1"/>
  <c r="L19" i="1"/>
  <c r="L18" i="1" s="1"/>
  <c r="K19" i="1"/>
  <c r="K18" i="1" s="1"/>
  <c r="J19" i="1"/>
  <c r="J18" i="1" s="1"/>
  <c r="J275" i="1" a="1"/>
  <c r="J275" i="1" s="1"/>
  <c r="L284" i="1" a="1"/>
  <c r="L284" i="1" s="1"/>
  <c r="K284" i="1" a="1"/>
  <c r="K284" i="1" s="1"/>
  <c r="K283" i="1" s="1"/>
  <c r="L275" i="1" a="1"/>
  <c r="L275" i="1" s="1"/>
  <c r="L274" i="1" s="1"/>
  <c r="K275" i="1" a="1"/>
  <c r="K275" i="1" s="1"/>
  <c r="K274" i="1" s="1"/>
  <c r="J284" i="1" a="1"/>
  <c r="J284" i="1" s="1"/>
  <c r="K242" i="1" a="1"/>
  <c r="K242" i="1" s="1"/>
  <c r="K241" i="1" s="1"/>
  <c r="K199" i="1" a="1"/>
  <c r="K199" i="1" s="1"/>
  <c r="K198" i="1" s="1"/>
  <c r="J242" i="1" a="1"/>
  <c r="J242" i="1" s="1"/>
  <c r="J241" i="1" s="1"/>
  <c r="J199" i="1" a="1"/>
  <c r="J199" i="1" s="1"/>
  <c r="J198" i="1" s="1"/>
  <c r="L199" i="1" a="1"/>
  <c r="L199" i="1" s="1"/>
  <c r="L242" i="1" a="1"/>
  <c r="L242" i="1" s="1"/>
  <c r="L241" i="1" s="1"/>
  <c r="L62" i="1" a="1"/>
  <c r="L62" i="1" s="1"/>
  <c r="L61" i="1" a="1"/>
  <c r="L61" i="1" s="1"/>
  <c r="K59" i="1" a="1"/>
  <c r="K59" i="1" s="1"/>
  <c r="J61" i="1" a="1"/>
  <c r="J61" i="1" s="1"/>
  <c r="J59" i="1" a="1"/>
  <c r="J59" i="1" s="1"/>
  <c r="K62" i="1" a="1"/>
  <c r="K62" i="1" s="1"/>
  <c r="K61" i="1" a="1"/>
  <c r="K61" i="1" s="1"/>
  <c r="L59" i="1" a="1"/>
  <c r="L59" i="1" s="1"/>
  <c r="J62" i="1" a="1"/>
  <c r="J62" i="1" s="1"/>
  <c r="L52" i="1" a="1"/>
  <c r="L52" i="1" s="1"/>
  <c r="K52" i="1" a="1"/>
  <c r="K52" i="1" s="1"/>
  <c r="L55" i="1" a="1"/>
  <c r="L55" i="1" s="1"/>
  <c r="K55" i="1" a="1"/>
  <c r="K55" i="1" s="1"/>
  <c r="J55" i="1" a="1"/>
  <c r="J55" i="1" s="1"/>
  <c r="J53" i="1" a="1"/>
  <c r="J53" i="1" s="1"/>
  <c r="J52" i="1" a="1"/>
  <c r="J52" i="1" s="1"/>
  <c r="L53" i="1" a="1"/>
  <c r="L53" i="1" s="1"/>
  <c r="J54" i="1" a="1"/>
  <c r="J54" i="1" s="1"/>
  <c r="L54" i="1" a="1"/>
  <c r="L54" i="1" s="1"/>
  <c r="K54" i="1" a="1"/>
  <c r="K54" i="1" s="1"/>
  <c r="K53" i="1" a="1"/>
  <c r="K53" i="1" s="1"/>
  <c r="L13" i="1" a="1"/>
  <c r="L13" i="1" s="1"/>
  <c r="J13" i="1" a="1"/>
  <c r="J13" i="1" s="1"/>
  <c r="K13" i="1" a="1"/>
  <c r="K13" i="1" s="1"/>
  <c r="L60" i="1" a="1"/>
  <c r="L60" i="1" s="1"/>
  <c r="K60" i="1" a="1"/>
  <c r="K60" i="1" s="1"/>
  <c r="J60" i="1" a="1"/>
  <c r="J60" i="1" s="1"/>
  <c r="K15" i="1" a="1"/>
  <c r="K15" i="1" s="1"/>
  <c r="J15" i="1" a="1"/>
  <c r="J15" i="1" s="1"/>
  <c r="L15" i="1" a="1"/>
  <c r="L15" i="1" s="1"/>
  <c r="L14" i="1" a="1"/>
  <c r="L14" i="1" s="1"/>
  <c r="J14" i="1" a="1"/>
  <c r="J14" i="1" s="1"/>
  <c r="K14" i="1" a="1"/>
  <c r="K14" i="1" s="1"/>
  <c r="J56" i="1" a="1"/>
  <c r="J56" i="1" s="1"/>
  <c r="L56" i="1" a="1"/>
  <c r="L56" i="1" s="1"/>
  <c r="K56" i="1" a="1"/>
  <c r="K56" i="1" s="1"/>
  <c r="J50" i="1" a="1"/>
  <c r="J50" i="1" s="1"/>
  <c r="K50" i="1" a="1"/>
  <c r="K50" i="1" s="1"/>
  <c r="L44" i="1" a="1"/>
  <c r="L44" i="1" s="1"/>
  <c r="L45" i="1" a="1"/>
  <c r="L45" i="1" s="1"/>
  <c r="J45" i="1" a="1"/>
  <c r="J45" i="1" s="1"/>
  <c r="L50" i="1" a="1"/>
  <c r="L50" i="1" s="1"/>
  <c r="K44" i="1" a="1"/>
  <c r="K44" i="1" s="1"/>
  <c r="K45" i="1" a="1"/>
  <c r="K45" i="1" s="1"/>
  <c r="J43" i="1" a="1"/>
  <c r="J43" i="1" s="1"/>
  <c r="J28" i="1" a="1"/>
  <c r="J28" i="1" s="1"/>
  <c r="L43" i="1" a="1"/>
  <c r="L43" i="1" s="1"/>
  <c r="J44" i="1" a="1"/>
  <c r="J44" i="1" s="1"/>
  <c r="K43" i="1" a="1"/>
  <c r="K43" i="1" s="1"/>
  <c r="L28" i="1" a="1"/>
  <c r="L28" i="1" s="1"/>
  <c r="K28" i="1" a="1"/>
  <c r="K28" i="1" s="1"/>
  <c r="J24" i="1" a="1"/>
  <c r="J24" i="1" s="1"/>
  <c r="L27" i="1" a="1"/>
  <c r="L27" i="1" s="1"/>
  <c r="K25" i="1" a="1"/>
  <c r="K25" i="1" s="1"/>
  <c r="K27" i="1" a="1"/>
  <c r="K27" i="1" s="1"/>
  <c r="L26" i="1" a="1"/>
  <c r="L26" i="1" s="1"/>
  <c r="L24" i="1" a="1"/>
  <c r="L24" i="1" s="1"/>
  <c r="L21" i="1" a="1"/>
  <c r="L21" i="1" s="1"/>
  <c r="J26" i="1" a="1"/>
  <c r="J26" i="1" s="1"/>
  <c r="L25" i="1" a="1"/>
  <c r="L25" i="1" s="1"/>
  <c r="J25" i="1" a="1"/>
  <c r="J25" i="1" s="1"/>
  <c r="K21" i="1" a="1"/>
  <c r="K21" i="1" s="1"/>
  <c r="K26" i="1" a="1"/>
  <c r="K26" i="1" s="1"/>
  <c r="J21" i="1" a="1"/>
  <c r="J21" i="1" s="1"/>
  <c r="K17" i="1" a="1"/>
  <c r="K17" i="1" s="1"/>
  <c r="J11" i="1" a="1"/>
  <c r="J11" i="1" s="1"/>
  <c r="J17" i="1" a="1"/>
  <c r="J17" i="1" s="1"/>
  <c r="J10" i="1" a="1"/>
  <c r="J10" i="1" s="1"/>
  <c r="J16" i="1" a="1"/>
  <c r="J16" i="1" s="1"/>
  <c r="K11" i="1" a="1"/>
  <c r="K11" i="1" s="1"/>
  <c r="L11" i="1" a="1"/>
  <c r="L11" i="1" s="1"/>
  <c r="J9" i="1" a="1"/>
  <c r="J9" i="1" s="1"/>
  <c r="K16" i="1" a="1"/>
  <c r="K16" i="1" s="1"/>
  <c r="L10" i="1" a="1"/>
  <c r="L10" i="1" s="1"/>
  <c r="L16" i="1" a="1"/>
  <c r="L16" i="1" s="1"/>
  <c r="L17" i="1" a="1"/>
  <c r="L17" i="1" s="1"/>
  <c r="K9" i="1" a="1"/>
  <c r="K9" i="1" s="1"/>
  <c r="L9" i="1" a="1"/>
  <c r="L9" i="1" s="1"/>
  <c r="K10" i="1" a="1"/>
  <c r="K10" i="1" s="1"/>
  <c r="J4" i="1" a="1"/>
  <c r="J4" i="1" s="1"/>
  <c r="L7" i="1" a="1"/>
  <c r="L7" i="1" s="1"/>
  <c r="L5" i="1" a="1"/>
  <c r="L5" i="1" s="1"/>
  <c r="K7" i="1" a="1"/>
  <c r="K7" i="1" s="1"/>
  <c r="L4" i="1" a="1"/>
  <c r="L4" i="1" s="1"/>
  <c r="L6" i="1" a="1"/>
  <c r="L6" i="1" s="1"/>
  <c r="J7" i="1" a="1"/>
  <c r="J7" i="1" s="1"/>
  <c r="K4" i="1" a="1"/>
  <c r="K4" i="1" s="1"/>
  <c r="K6" i="1" a="1"/>
  <c r="K6" i="1" s="1"/>
  <c r="J5" i="1" a="1"/>
  <c r="J5" i="1" s="1"/>
  <c r="K5" i="1" a="1"/>
  <c r="K5" i="1" s="1"/>
  <c r="J6" i="1" a="1"/>
  <c r="J6" i="1" s="1"/>
  <c r="K24" i="1" a="1"/>
  <c r="K24" i="1" s="1"/>
  <c r="J27" i="1" a="1"/>
  <c r="J27" i="1" s="1"/>
  <c r="J361" i="1" l="1"/>
  <c r="J428" i="1" s="1"/>
  <c r="L123" i="1"/>
  <c r="L319" i="1"/>
  <c r="L474" i="1" s="1"/>
  <c r="K385" i="1"/>
  <c r="K516" i="1" s="1"/>
  <c r="K380" i="1"/>
  <c r="K437" i="1" s="1"/>
  <c r="L400" i="1"/>
  <c r="L520" i="1" s="1"/>
  <c r="L380" i="1"/>
  <c r="L437" i="1" s="1"/>
  <c r="K398" i="1"/>
  <c r="K439" i="1" s="1"/>
  <c r="J322" i="1"/>
  <c r="J477" i="1" s="1"/>
  <c r="K324" i="1"/>
  <c r="K479" i="1" s="1"/>
  <c r="J325" i="1"/>
  <c r="J480" i="1" s="1"/>
  <c r="L399" i="1"/>
  <c r="L519" i="1" s="1"/>
  <c r="J386" i="1"/>
  <c r="J517" i="1" s="1"/>
  <c r="L386" i="1"/>
  <c r="L517" i="1" s="1"/>
  <c r="L783" i="1"/>
  <c r="K320" i="1"/>
  <c r="K475" i="1" s="1"/>
  <c r="J399" i="1"/>
  <c r="J519" i="1" s="1"/>
  <c r="L398" i="1"/>
  <c r="L439" i="1" s="1"/>
  <c r="J400" i="1"/>
  <c r="J520" i="1" s="1"/>
  <c r="J315" i="1"/>
  <c r="J420" i="1" s="1"/>
  <c r="K400" i="1"/>
  <c r="K520" i="1" s="1"/>
  <c r="J323" i="1"/>
  <c r="J478" i="1" s="1"/>
  <c r="L325" i="1"/>
  <c r="L480" i="1" s="1"/>
  <c r="K386" i="1"/>
  <c r="K517" i="1" s="1"/>
  <c r="J119" i="1"/>
  <c r="L318" i="1"/>
  <c r="L473" i="1" s="1"/>
  <c r="K325" i="1"/>
  <c r="K480" i="1" s="1"/>
  <c r="L320" i="1"/>
  <c r="L475" i="1" s="1"/>
  <c r="L321" i="1"/>
  <c r="L476" i="1" s="1"/>
  <c r="K322" i="1"/>
  <c r="K477" i="1" s="1"/>
  <c r="K300" i="1"/>
  <c r="K413" i="1" s="1"/>
  <c r="J314" i="1"/>
  <c r="J419" i="1" s="1"/>
  <c r="J301" i="1"/>
  <c r="J465" i="1" s="1"/>
  <c r="L301" i="1"/>
  <c r="L465" i="1" s="1"/>
  <c r="K361" i="1"/>
  <c r="K428" i="1" s="1"/>
  <c r="L322" i="1"/>
  <c r="L477" i="1" s="1"/>
  <c r="J300" i="1"/>
  <c r="J413" i="1" s="1"/>
  <c r="J318" i="1"/>
  <c r="J473" i="1" s="1"/>
  <c r="L315" i="1"/>
  <c r="L420" i="1" s="1"/>
  <c r="K318" i="1"/>
  <c r="K473" i="1" s="1"/>
  <c r="J783" i="1"/>
  <c r="K319" i="1"/>
  <c r="K474" i="1" s="1"/>
  <c r="K316" i="1"/>
  <c r="K471" i="1" s="1"/>
  <c r="L300" i="1"/>
  <c r="L413" i="1" s="1"/>
  <c r="J384" i="1"/>
  <c r="J515" i="1" s="1"/>
  <c r="J319" i="1"/>
  <c r="J474" i="1" s="1"/>
  <c r="K384" i="1"/>
  <c r="K515" i="1" s="1"/>
  <c r="J126" i="1"/>
  <c r="L126" i="1"/>
  <c r="L903" i="1"/>
  <c r="L925" i="1"/>
  <c r="L924" i="1" s="1"/>
  <c r="L363" i="1"/>
  <c r="L504" i="1" s="1"/>
  <c r="L385" i="1"/>
  <c r="L516" i="1" s="1"/>
  <c r="K301" i="1"/>
  <c r="K465" i="1" s="1"/>
  <c r="K129" i="1"/>
  <c r="J398" i="1"/>
  <c r="J439" i="1" s="1"/>
  <c r="K122" i="1"/>
  <c r="K899" i="1"/>
  <c r="K902" i="1"/>
  <c r="L384" i="1"/>
  <c r="L515" i="1" s="1"/>
  <c r="K399" i="1"/>
  <c r="K519" i="1" s="1"/>
  <c r="L324" i="1"/>
  <c r="L479" i="1" s="1"/>
  <c r="K315" i="1"/>
  <c r="K420" i="1" s="1"/>
  <c r="L323" i="1"/>
  <c r="L478" i="1" s="1"/>
  <c r="L283" i="1"/>
  <c r="L382" i="1" s="1"/>
  <c r="L513" i="1" s="1"/>
  <c r="L383" i="1"/>
  <c r="L514" i="1" s="1"/>
  <c r="J364" i="1"/>
  <c r="J274" i="1"/>
  <c r="J363" i="1" s="1"/>
  <c r="J504" i="1" s="1"/>
  <c r="K363" i="1"/>
  <c r="K504" i="1" s="1"/>
  <c r="J316" i="1"/>
  <c r="J471" i="1" s="1"/>
  <c r="J383" i="1"/>
  <c r="J514" i="1" s="1"/>
  <c r="J283" i="1"/>
  <c r="J382" i="1" s="1"/>
  <c r="J513" i="1" s="1"/>
  <c r="J742" i="1" a="1"/>
  <c r="J742" i="1" s="1"/>
  <c r="J744" i="1" s="1" a="1"/>
  <c r="J744" i="1" s="1"/>
  <c r="J726" i="1" a="1"/>
  <c r="J726" i="1" s="1"/>
  <c r="J728" i="1" s="1" a="1"/>
  <c r="J728" i="1" s="1"/>
  <c r="K742" i="1" a="1"/>
  <c r="K742" i="1" s="1"/>
  <c r="K744" i="1" s="1" a="1"/>
  <c r="K744" i="1" s="1"/>
  <c r="K726" i="1" a="1"/>
  <c r="K726" i="1" s="1"/>
  <c r="K728" i="1" s="1" a="1"/>
  <c r="K728" i="1" s="1"/>
  <c r="K364" i="1"/>
  <c r="L198" i="1"/>
  <c r="L197" i="1" s="1"/>
  <c r="L362" i="1"/>
  <c r="L429" i="1" s="1"/>
  <c r="L742" i="1" a="1"/>
  <c r="L742" i="1" s="1"/>
  <c r="L744" i="1" s="1" a="1"/>
  <c r="L744" i="1" s="1"/>
  <c r="L726" i="1" a="1"/>
  <c r="L726" i="1" s="1"/>
  <c r="L728" i="1" s="1" a="1"/>
  <c r="L728" i="1" s="1"/>
  <c r="K362" i="1"/>
  <c r="K429" i="1" s="1"/>
  <c r="K383" i="1"/>
  <c r="K514" i="1" s="1"/>
  <c r="L122" i="1"/>
  <c r="L316" i="1"/>
  <c r="L471" i="1" s="1"/>
  <c r="J320" i="1"/>
  <c r="J475" i="1" s="1"/>
  <c r="J123" i="1"/>
  <c r="J324" i="1"/>
  <c r="J479" i="1" s="1"/>
  <c r="L317" i="1"/>
  <c r="L472" i="1" s="1"/>
  <c r="J321" i="1"/>
  <c r="J476" i="1" s="1"/>
  <c r="L314" i="1"/>
  <c r="L419" i="1" s="1"/>
  <c r="K321" i="1"/>
  <c r="K476" i="1" s="1"/>
  <c r="K124" i="1"/>
  <c r="K314" i="1"/>
  <c r="K419" i="1" s="1"/>
  <c r="J317" i="1"/>
  <c r="J472" i="1" s="1"/>
  <c r="L364" i="1"/>
  <c r="K382" i="1"/>
  <c r="K513" i="1" s="1"/>
  <c r="J385" i="1"/>
  <c r="J516" i="1" s="1"/>
  <c r="J121" i="1"/>
  <c r="K786" i="1"/>
  <c r="K787" i="1" s="1"/>
  <c r="K317" i="1"/>
  <c r="K472" i="1" s="1"/>
  <c r="K121" i="1"/>
  <c r="K323" i="1"/>
  <c r="K478" i="1" s="1"/>
  <c r="J118" i="1"/>
  <c r="J362" i="1"/>
  <c r="J429" i="1" s="1"/>
  <c r="K118" i="1"/>
  <c r="J380" i="1"/>
  <c r="J437" i="1" s="1"/>
  <c r="J903" i="1"/>
  <c r="K903" i="1"/>
  <c r="K925" i="1"/>
  <c r="K924" i="1" s="1"/>
  <c r="J899" i="1"/>
  <c r="J902" i="1"/>
  <c r="L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0" i="1" l="1"/>
  <c r="L310" i="1"/>
  <c r="L361" i="1"/>
  <c r="L428" i="1" s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5" i="1" l="1"/>
  <c r="L1002" i="1" s="1"/>
  <c r="L1014" i="1"/>
  <c r="L1011" i="1" s="1"/>
  <c r="L1555" i="1"/>
  <c r="L1160" i="1"/>
  <c r="L1602" i="1"/>
  <c r="L1511" i="1"/>
  <c r="L1652" i="1"/>
  <c r="L1603" i="1"/>
  <c r="L1161" i="1"/>
  <c r="L1512" i="1"/>
  <c r="L1653" i="1"/>
  <c r="L1556" i="1"/>
  <c r="L1037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183" i="1"/>
  <c r="L1414" i="1"/>
  <c r="L1562" i="1"/>
  <c r="L1658" i="1"/>
  <c r="L1659" i="1" s="1"/>
  <c r="L1617" i="1"/>
  <c r="L1570" i="1"/>
  <c r="L1344" i="1"/>
  <c r="L1428" i="1"/>
  <c r="L1207" i="1"/>
  <c r="L1571" i="1"/>
  <c r="L1429" i="1"/>
  <c r="L1618" i="1"/>
  <c r="L1345" i="1"/>
  <c r="L1563" i="1"/>
  <c r="L1610" i="1"/>
  <c r="L1415" i="1"/>
  <c r="L1331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I1653" i="1"/>
  <c r="F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H1571" i="1"/>
  <c r="G1618" i="1"/>
  <c r="H1618" i="1"/>
  <c r="G1571" i="1"/>
  <c r="F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G1603" i="1"/>
  <c r="G1556" i="1"/>
  <c r="G1563" i="1"/>
  <c r="F1563" i="1"/>
  <c r="F1603" i="1"/>
  <c r="H1603" i="1"/>
  <c r="H1563" i="1"/>
  <c r="I1610" i="1"/>
  <c r="F1610" i="1"/>
  <c r="F1556" i="1"/>
  <c r="I1556" i="1"/>
  <c r="I1603" i="1"/>
  <c r="H1556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F1415" i="1"/>
  <c r="H1512" i="1"/>
  <c r="G1429" i="1"/>
  <c r="I1415" i="1"/>
  <c r="G1512" i="1"/>
  <c r="I1429" i="1"/>
  <c r="H1415" i="1"/>
  <c r="G1415" i="1"/>
  <c r="H1429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F1331" i="1"/>
  <c r="F1345" i="1"/>
  <c r="H1345" i="1"/>
  <c r="H1331" i="1"/>
  <c r="I1345" i="1"/>
  <c r="G1345" i="1"/>
  <c r="G1331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I1184" i="1"/>
  <c r="H1184" i="1"/>
  <c r="G1184" i="1"/>
  <c r="G1207" i="1"/>
  <c r="F1207" i="1"/>
  <c r="F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570" i="1" l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G1617" i="1"/>
  <c r="G1616" i="1" s="1"/>
  <c r="G1615" i="1" s="1"/>
  <c r="G1570" i="1"/>
  <c r="G1569" i="1" s="1"/>
  <c r="G1568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69" i="1"/>
  <c r="I1568" i="1" s="1"/>
  <c r="I1616" i="1"/>
  <c r="I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617" i="1" s="1"/>
  <c r="J49" i="1"/>
  <c r="J1570" i="1" s="1"/>
  <c r="J1428" i="1" l="1"/>
  <c r="J1206" i="1"/>
  <c r="J1344" i="1"/>
  <c r="K1344" i="1"/>
  <c r="K1206" i="1"/>
  <c r="K1428" i="1"/>
  <c r="K1207" i="1"/>
  <c r="K1429" i="1"/>
  <c r="K1345" i="1"/>
  <c r="K1571" i="1"/>
  <c r="K1618" i="1"/>
  <c r="K1570" i="1"/>
  <c r="J1207" i="1"/>
  <c r="J1345" i="1"/>
  <c r="J1571" i="1"/>
  <c r="J1429" i="1"/>
  <c r="J1618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F1652" i="1"/>
  <c r="F1555" i="1"/>
  <c r="F1602" i="1"/>
  <c r="F1511" i="1"/>
  <c r="F1160" i="1"/>
  <c r="F1159" i="1" s="1"/>
  <c r="F1158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F1658" i="1"/>
  <c r="F1659" i="1" s="1"/>
  <c r="F1562" i="1"/>
  <c r="F1609" i="1"/>
  <c r="F1414" i="1"/>
  <c r="F1330" i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G1651" i="1"/>
  <c r="G1601" i="1"/>
  <c r="G1600" i="1" s="1"/>
  <c r="G1554" i="1"/>
  <c r="G1553" i="1" s="1"/>
  <c r="G1510" i="1"/>
  <c r="G1509" i="1" s="1"/>
  <c r="G1159" i="1"/>
  <c r="G1158" i="1" s="1"/>
  <c r="I1561" i="1"/>
  <c r="I1560" i="1" s="1"/>
  <c r="F1651" i="1"/>
  <c r="F1601" i="1"/>
  <c r="F1600" i="1" s="1"/>
  <c r="F1554" i="1"/>
  <c r="F1553" i="1" s="1"/>
  <c r="F1510" i="1"/>
  <c r="F1509" i="1" s="1"/>
  <c r="F1561" i="1"/>
  <c r="F1560" i="1" s="1"/>
  <c r="F1413" i="1"/>
  <c r="F1412" i="1" s="1"/>
  <c r="F1329" i="1"/>
  <c r="F1328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555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330" i="1" s="1"/>
  <c r="J1414" i="1" l="1"/>
  <c r="J1562" i="1"/>
  <c r="K1414" i="1"/>
  <c r="K1609" i="1"/>
  <c r="J1609" i="1"/>
  <c r="K1183" i="1"/>
  <c r="K1562" i="1"/>
  <c r="K1658" i="1"/>
  <c r="K1659" i="1" s="1"/>
  <c r="J1658" i="1"/>
  <c r="J1659" i="1" s="1"/>
  <c r="K1160" i="1"/>
  <c r="J1603" i="1"/>
  <c r="J1161" i="1"/>
  <c r="J1653" i="1"/>
  <c r="J1512" i="1"/>
  <c r="J1556" i="1"/>
  <c r="J1602" i="1"/>
  <c r="K1511" i="1"/>
  <c r="K1602" i="1"/>
  <c r="J1160" i="1"/>
  <c r="J1555" i="1"/>
  <c r="J1652" i="1"/>
  <c r="K1415" i="1"/>
  <c r="K1563" i="1"/>
  <c r="K1331" i="1"/>
  <c r="K1610" i="1"/>
  <c r="K1184" i="1"/>
  <c r="J1511" i="1"/>
  <c r="J1610" i="1"/>
  <c r="J1563" i="1"/>
  <c r="J1415" i="1"/>
  <c r="J1331" i="1"/>
  <c r="J1184" i="1"/>
  <c r="K1653" i="1"/>
  <c r="K1603" i="1"/>
  <c r="K1556" i="1"/>
  <c r="K1161" i="1"/>
  <c r="K1512" i="1"/>
  <c r="J1330" i="1"/>
  <c r="K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<sst xmlns="http://schemas.openxmlformats.org/spreadsheetml/2006/main" count="5204" uniqueCount="2482">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</sst>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NUC_Mid_2035.xlsx" TargetMode="External"/><Relationship Id="rId2" Type="http://schemas.openxmlformats.org/officeDocument/2006/relationships/externalLinkPath" Target="file:///J:\WP07%20integrated%20modelling\STEM_Results\SPS2_SECUR_BSM_NUC_Mid_2035.xlsx" TargetMode="External"/><Relationship Id="rId1" Type="http://schemas.openxmlformats.org/officeDocument/2006/relationships/externalLinkPath" Target="/WP07%20integrated%20modelling/STEM_Results/SPS2_SECUR_BSM_NU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2.5520167830229935E-3</v>
          </cell>
          <cell r="J4">
            <v>0.34866065785258765</v>
          </cell>
          <cell r="K4">
            <v>3.9515121026858115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6.8585359748442201E-4</v>
          </cell>
          <cell r="J5">
            <v>2.3107335360681894E-2</v>
          </cell>
          <cell r="K5">
            <v>1.4465396803726387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3.0322458303669444E-4</v>
          </cell>
          <cell r="J6">
            <v>1.1470936738718608E-2</v>
          </cell>
          <cell r="K6">
            <v>3.0327272485963654E-2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3.0279786227042178E-4</v>
          </cell>
          <cell r="J7">
            <v>1.5901541793861423E-2</v>
          </cell>
          <cell r="K7">
            <v>4.6548875621500362E-2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2.9948311588472751E-4</v>
          </cell>
          <cell r="J8">
            <v>1.3871136934955021E-2</v>
          </cell>
          <cell r="K8">
            <v>3.8754792482992483E-2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3.1652166417035391E-4</v>
          </cell>
          <cell r="J9">
            <v>0.13405025559138878</v>
          </cell>
          <cell r="K9">
            <v>1.1896559319001965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3.4131702244275983E-4</v>
          </cell>
          <cell r="J10">
            <v>0.13839598927660807</v>
          </cell>
          <cell r="K10">
            <v>1.1691869706862594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3.0281893773361515E-4</v>
          </cell>
          <cell r="J11">
            <v>1.1863462156373884E-2</v>
          </cell>
          <cell r="K11">
            <v>3.049857913625896E-2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0.42285222059069622</v>
          </cell>
          <cell r="J12">
            <v>1.8059729664829804</v>
          </cell>
          <cell r="K12">
            <v>2.7089792777990707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0.42285222059069622</v>
          </cell>
          <cell r="J13">
            <v>1.8059729664829804</v>
          </cell>
          <cell r="K13">
            <v>2.7089792777990707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3.3449560137333E-7</v>
          </cell>
          <cell r="J14">
            <v>1.00454398094467E-6</v>
          </cell>
          <cell r="K14">
            <v>0.449129827570586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4.4699417567281297E-2</v>
          </cell>
          <cell r="J15">
            <v>0.182471500349213</v>
          </cell>
          <cell r="K15">
            <v>0.273708599327952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0.80469815977680725</v>
          </cell>
          <cell r="J16">
            <v>0.87222046861711378</v>
          </cell>
          <cell r="K16">
            <v>0.75451528676202018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0.80469815977680725</v>
          </cell>
          <cell r="J17">
            <v>0.87222046861711378</v>
          </cell>
          <cell r="K17">
            <v>0.75451528676202018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0.66669288793873538</v>
          </cell>
          <cell r="J18">
            <v>9.5573152304553086E-2</v>
          </cell>
          <cell r="K18">
            <v>0.42410732633901749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1.0850369367577897</v>
          </cell>
          <cell r="J19">
            <v>0.10824692615040589</v>
          </cell>
          <cell r="K19">
            <v>0.46875020279575741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104.498304907093</v>
          </cell>
          <cell r="J20">
            <v>15.0471522907257</v>
          </cell>
          <cell r="K20">
            <v>82.085491770840903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1.8528068245938423</v>
          </cell>
          <cell r="J21">
            <v>0.26679348033201694</v>
          </cell>
          <cell r="K21">
            <v>1.4554165207595908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2.2919799763209799E-2</v>
          </cell>
          <cell r="J22">
            <v>6.4520530446112702E-7</v>
          </cell>
          <cell r="K22">
            <v>2.8463070806567101E-2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2.4958627566987471E-2</v>
          </cell>
          <cell r="J23">
            <v>2.2730748105181851E-2</v>
          </cell>
          <cell r="K23">
            <v>4.6572036616048168E-2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3.5874483691512643E-4</v>
          </cell>
          <cell r="J24">
            <v>2.5310926072297083E-4</v>
          </cell>
          <cell r="K24">
            <v>2.0801013416810825E-4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3.5874483691512643E-4</v>
          </cell>
          <cell r="J25">
            <v>2.5310926072297083E-4</v>
          </cell>
          <cell r="K25">
            <v>2.0801013416810825E-4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1.38315976193484E-6</v>
          </cell>
          <cell r="J26">
            <v>2.09615446299652E-6</v>
          </cell>
          <cell r="K26">
            <v>3.9170060474399603E-6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6.4347884040016901E-4</v>
          </cell>
          <cell r="J27">
            <v>6.4062118834695703E-4</v>
          </cell>
          <cell r="K27">
            <v>6.4128503989380192E-4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0.4228642477308045</v>
          </cell>
          <cell r="J28">
            <v>0.60597442624653974</v>
          </cell>
          <cell r="K28">
            <v>0.89489443383135991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0.42286424773080422</v>
          </cell>
          <cell r="J29">
            <v>0.6059744262465393</v>
          </cell>
          <cell r="K29">
            <v>0.89489443383135914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0.46763205217692422</v>
          </cell>
          <cell r="J30">
            <v>0.67012669631822885</v>
          </cell>
          <cell r="K30">
            <v>0.98963316167096815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0.46763205217692422</v>
          </cell>
          <cell r="J31">
            <v>0.67012669631822885</v>
          </cell>
          <cell r="K31">
            <v>0.98963316167096815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7.83519802846709E-2</v>
          </cell>
          <cell r="J32">
            <v>0.379970921130379</v>
          </cell>
          <cell r="K32">
            <v>0.369630161422982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0.2257707668465844</v>
          </cell>
          <cell r="J33">
            <v>0.47324152810698483</v>
          </cell>
          <cell r="K33">
            <v>0.5739370614564997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7.3644460404777776E-2</v>
          </cell>
          <cell r="J34">
            <v>2.1559553502470189E-2</v>
          </cell>
          <cell r="K34">
            <v>6.1739979150347295E-5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7.3562633226550364E-2</v>
          </cell>
          <cell r="J35">
            <v>2.1559553502470213E-2</v>
          </cell>
          <cell r="K35">
            <v>6.1739979150347309E-5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8.1822033988561013E-2</v>
          </cell>
          <cell r="J36">
            <v>2.3181346305398216E-2</v>
          </cell>
          <cell r="K36">
            <v>6.1739979150347295E-5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8.1822033988561013E-2</v>
          </cell>
          <cell r="J37">
            <v>2.3181346305398216E-2</v>
          </cell>
          <cell r="K37">
            <v>6.1739979150347295E-5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1.4469002272941701E-4</v>
          </cell>
          <cell r="J38">
            <v>1.11118790480195E-3</v>
          </cell>
          <cell r="K38">
            <v>2.1849943924212099E-5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6.3582596907903501E-3</v>
          </cell>
          <cell r="J39">
            <v>2.3349145215099741E-3</v>
          </cell>
          <cell r="K39">
            <v>8.6667151157059617E-4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1.8207700655589495E-3</v>
          </cell>
          <cell r="J40">
            <v>8.8784921371417799E-4</v>
          </cell>
          <cell r="K40">
            <v>0.79427865568873735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5.7335806332702087E-4</v>
          </cell>
          <cell r="J41">
            <v>2.6840604769735551E-4</v>
          </cell>
          <cell r="K41">
            <v>5.2020808708471949E-2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1.6836534208262215E-4</v>
          </cell>
          <cell r="J42">
            <v>9.0228708300893053E-5</v>
          </cell>
          <cell r="K42">
            <v>1.1182253051143529E-4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1.6688089318607624E-4</v>
          </cell>
          <cell r="J43">
            <v>8.969527065030226E-5</v>
          </cell>
          <cell r="K43">
            <v>1.10936977013427E-4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1.6304422174609468E-4</v>
          </cell>
          <cell r="J44">
            <v>8.9090208088239174E-5</v>
          </cell>
          <cell r="K44">
            <v>1.095109653910414E-4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2.7641723238810073E-4</v>
          </cell>
          <cell r="J45">
            <v>1.2774014099910784E-4</v>
          </cell>
          <cell r="K45">
            <v>0.37108968057984365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3.0470770317377554E-4</v>
          </cell>
          <cell r="J46">
            <v>1.3248299369566949E-4</v>
          </cell>
          <cell r="K46">
            <v>0.37072410803611272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1.6799660965526004E-4</v>
          </cell>
          <cell r="J47">
            <v>9.0205844282610832E-5</v>
          </cell>
          <cell r="K47">
            <v>1.1178789139265548E-4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0.18578515796624734</v>
          </cell>
          <cell r="K48">
            <v>0.34302559683475631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0.18766177572348211</v>
          </cell>
          <cell r="K49">
            <v>0.34649050185328922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2.7394519413616901E-6</v>
          </cell>
          <cell r="J50">
            <v>2.9688473365030301E-2</v>
          </cell>
          <cell r="K50">
            <v>4.0237883323127399E-5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3.8042274934918801E-6</v>
          </cell>
          <cell r="J51">
            <v>2.96922775925238E-2</v>
          </cell>
          <cell r="K51">
            <v>2.9732515475847002E-2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0.23736042967985402</v>
          </cell>
          <cell r="J52">
            <v>0.31236168320941515</v>
          </cell>
          <cell r="K52">
            <v>0.45203487121437796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0.23736042967985385</v>
          </cell>
          <cell r="J53">
            <v>0.31236168320941493</v>
          </cell>
          <cell r="K53">
            <v>0.45203487121437763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0.26248991020368279</v>
          </cell>
          <cell r="J54">
            <v>0.34543070003025939</v>
          </cell>
          <cell r="K54">
            <v>0.49989036164059147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0.26248991020368279</v>
          </cell>
          <cell r="J55">
            <v>0.34543070003025939</v>
          </cell>
          <cell r="K55">
            <v>0.49989036164059147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4.3664361100697699E-2</v>
          </cell>
          <cell r="J56">
            <v>0.20249124564187501</v>
          </cell>
          <cell r="K56">
            <v>0.19855789803784701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0.1228181251046488</v>
          </cell>
          <cell r="J57">
            <v>0.25393654295304136</v>
          </cell>
          <cell r="K57">
            <v>0.30777051911666353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2.8247387845066458</v>
          </cell>
          <cell r="K58">
            <v>9.3307238665491692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725.18701043217027</v>
          </cell>
          <cell r="K59">
            <v>2395.4497254983175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-725.18701043217004</v>
          </cell>
          <cell r="K60">
            <v>-2395.4497254983198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783.176533692931</v>
          </cell>
          <cell r="K61">
            <v>2536.2761546310699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8.4394023027255365</v>
          </cell>
          <cell r="K62">
            <v>27.330562011110704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0.136193289653328</v>
          </cell>
          <cell r="K63">
            <v>0.211895609438049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0.136193289653328</v>
          </cell>
          <cell r="K64">
            <v>0.34808885918047988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0.1749482446231671</v>
          </cell>
          <cell r="J65">
            <v>0.18801801150998101</v>
          </cell>
          <cell r="K65">
            <v>0.21793502367562231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6.0639927981741026</v>
          </cell>
          <cell r="J66">
            <v>6.3512680789669158</v>
          </cell>
          <cell r="K66">
            <v>5.7493984342333766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2.3207907486221595</v>
          </cell>
          <cell r="J67">
            <v>2.5043534067129207</v>
          </cell>
          <cell r="K67">
            <v>2.3855969115061759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1.2533178778568108</v>
          </cell>
          <cell r="J68">
            <v>1.4300823153839395</v>
          </cell>
          <cell r="K68">
            <v>3.7029339017948026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0.29821188593114084</v>
          </cell>
          <cell r="J69">
            <v>0.34556189201176285</v>
          </cell>
          <cell r="K69">
            <v>0.42515696069753978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11.069696391322529</v>
          </cell>
          <cell r="J70">
            <v>11.801437651143798</v>
          </cell>
          <cell r="K70">
            <v>13.515039886350923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8.6740525383227705E-7</v>
          </cell>
          <cell r="J71">
            <v>5.6738978972682499E-5</v>
          </cell>
          <cell r="K71">
            <v>3.3917588680142001E-7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0.62769626477629903</v>
          </cell>
          <cell r="J72">
            <v>0.62775300375527199</v>
          </cell>
          <cell r="K72">
            <v>0.62775334293115903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2.9599062389062064E-3</v>
          </cell>
          <cell r="J73">
            <v>1.0817620827118647E-3</v>
          </cell>
          <cell r="K73">
            <v>1.7388821005028207E-4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2.9571882350137371E-3</v>
          </cell>
          <cell r="J74">
            <v>1.0817620827118682E-3</v>
          </cell>
          <cell r="K74">
            <v>1.7388821005028229E-4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3.5929628267152777E-3</v>
          </cell>
          <cell r="J75">
            <v>1.2778582417217509E-3</v>
          </cell>
          <cell r="K75">
            <v>1.4997559273387476E-4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3.5929628267152777E-3</v>
          </cell>
          <cell r="J76">
            <v>1.2778582417217509E-3</v>
          </cell>
          <cell r="K76">
            <v>1.4997559273387476E-4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2.2884844567383801E-3</v>
          </cell>
          <cell r="J77">
            <v>8.1526799696579903E-5</v>
          </cell>
          <cell r="K77">
            <v>2.0214176512092001E-5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3.16966330902985E-3</v>
          </cell>
          <cell r="J78">
            <v>2.374638660188094E-3</v>
          </cell>
          <cell r="K78">
            <v>1.0262891841234492E-3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7.5300251003419735E-3</v>
          </cell>
          <cell r="J79">
            <v>7.7906439708307065E-3</v>
          </cell>
          <cell r="K79">
            <v>2.6586237103366482E-3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2.8481915979951342E-3</v>
          </cell>
          <cell r="J80">
            <v>3.0102772464043748E-3</v>
          </cell>
          <cell r="K80">
            <v>1.0697324904255258E-3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1.2822256474742125E-2</v>
          </cell>
          <cell r="J81">
            <v>1.2407621482677581E-2</v>
          </cell>
          <cell r="K81">
            <v>4.6359545531756271E-3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1.3294195008837099E-4</v>
          </cell>
          <cell r="J82">
            <v>5.25822852973063E-5</v>
          </cell>
          <cell r="K82">
            <v>8.17525226411623E-7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2.5327288874495829E-4</v>
          </cell>
          <cell r="J83">
            <v>2.676391114518585E-4</v>
          </cell>
          <cell r="K83">
            <v>9.5136209914931634E-5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4.7033616135004497E-3</v>
          </cell>
          <cell r="J84">
            <v>4.8860443967901294E-4</v>
          </cell>
          <cell r="K84"/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0.43600162157149203</v>
          </cell>
          <cell r="J85">
            <v>4.52936315582445E-2</v>
          </cell>
          <cell r="K85"/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4.7033616135004497E-3</v>
          </cell>
          <cell r="J86">
            <v>4.8860443967901294E-4</v>
          </cell>
          <cell r="K86"/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1.8100498829596409E-2</v>
          </cell>
          <cell r="J87">
            <v>9.177139318116017E-3</v>
          </cell>
          <cell r="K87">
            <v>4.5601851082548092E-3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1.8083877618549977E-2</v>
          </cell>
          <cell r="J88">
            <v>9.17713931811605E-3</v>
          </cell>
          <cell r="K88">
            <v>4.5601851082548136E-3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2.1945196677562461E-2</v>
          </cell>
          <cell r="J89">
            <v>1.0801831459833449E-2</v>
          </cell>
          <cell r="K89">
            <v>5.0720872411712057E-3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2.1945196677562461E-2</v>
          </cell>
          <cell r="J90">
            <v>1.0801831459833449E-2</v>
          </cell>
          <cell r="K90">
            <v>5.0720872411712057E-3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8.4407479672946196E-3</v>
          </cell>
          <cell r="J91">
            <v>2.0893102033462801E-4</v>
          </cell>
          <cell r="K91">
            <v>2.0406130701379401E-4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9.6308058321134035E-3</v>
          </cell>
          <cell r="J92">
            <v>8.8207105066922271E-3</v>
          </cell>
          <cell r="K92">
            <v>3.8675462050839398E-3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0.47250501723595401</v>
          </cell>
          <cell r="K93">
            <v>1.4943699819078125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808.93094993365639</v>
          </cell>
          <cell r="K94">
            <v>2285.6112138098138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-808.93094993365605</v>
          </cell>
          <cell r="K95">
            <v>-2285.6112138098101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4.4333584460611553</v>
          </cell>
          <cell r="K96">
            <v>13.240118039703225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908.91117970073799</v>
          </cell>
          <cell r="K97">
            <v>2568.10248742676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9.794301505395886</v>
          </cell>
          <cell r="K98">
            <v>27.673518183477995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5.03302278316781E-2</v>
          </cell>
          <cell r="K99">
            <v>3.1315858686224399E-2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5.03302278316781E-2</v>
          </cell>
          <cell r="K100">
            <v>8.1646046594920724E-2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4.4284130571957406E-5</v>
          </cell>
          <cell r="K102">
            <v>0.10562519431362172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1.5866584762515259E-5</v>
          </cell>
          <cell r="K103">
            <v>3.0757596040489306E-3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4.48437215978356E-5</v>
          </cell>
          <cell r="K105">
            <v>0.10598323782400258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5.4643710556756615E-6</v>
          </cell>
          <cell r="K106">
            <v>3.0584942491360635E-3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1.08691017501929E-6</v>
          </cell>
          <cell r="J107">
            <v>3.6632602936602698E-6</v>
          </cell>
          <cell r="K107">
            <v>4.39163869818667E-6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1.0275175174211242</v>
          </cell>
          <cell r="J108">
            <v>1.0275211806814177</v>
          </cell>
          <cell r="K108">
            <v>0.72469025909389595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460.19423361133801</v>
          </cell>
          <cell r="J109">
            <v>254.837597187049</v>
          </cell>
          <cell r="K109">
            <v>5.5034283057583001E-4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6.1846401919200868</v>
          </cell>
          <cell r="J110">
            <v>3.4447813191492065</v>
          </cell>
          <cell r="K110">
            <v>0.26216963129518739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6.2441551371958983</v>
          </cell>
          <cell r="J111">
            <v>3.4577692969748854</v>
          </cell>
          <cell r="K111">
            <v>7.4673382710424559E-6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4.5530841110406582E-2</v>
          </cell>
          <cell r="J112">
            <v>4.5533063200016141E-2</v>
          </cell>
          <cell r="K112">
            <v>0.26662859780681919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5.08194337355465E-6</v>
          </cell>
          <cell r="J116">
            <v>3.2817541968848902E-6</v>
          </cell>
          <cell r="K116">
            <v>2.6073652329221702E-6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-1.7378255958578634E-6</v>
          </cell>
          <cell r="J117">
            <v>-7.716593384534009E-7</v>
          </cell>
          <cell r="K117">
            <v>4.0820708985871102E-6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0.81691556380549113</v>
          </cell>
          <cell r="J118">
            <v>0.4034280982203981</v>
          </cell>
          <cell r="K118">
            <v>3.4765219646494394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0.81691556380549113</v>
          </cell>
          <cell r="J119">
            <v>0.4034280982203981</v>
          </cell>
          <cell r="K119">
            <v>3.4765219646494394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1.38616077880263E-5</v>
          </cell>
          <cell r="J120">
            <v>0.19277890092990699</v>
          </cell>
          <cell r="K120">
            <v>2.0454222142269001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9.0045893055269888E-2</v>
          </cell>
          <cell r="J121">
            <v>9.0045219802399323E-2</v>
          </cell>
          <cell r="K121">
            <v>0.63231182751888704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1.2798582285172238</v>
          </cell>
          <cell r="J122">
            <v>0.91369326462649147</v>
          </cell>
          <cell r="K122">
            <v>3.9792940820329798E-4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12.342958326226519</v>
          </cell>
          <cell r="J123">
            <v>8.5728819887180983</v>
          </cell>
          <cell r="K123">
            <v>3.5256545566812155E-3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2535.93395992463</v>
          </cell>
          <cell r="J124">
            <v>1810.4081585701499</v>
          </cell>
          <cell r="K124">
            <v>0.78846443881879702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27.326874568153329</v>
          </cell>
          <cell r="J125">
            <v>19.508708605281793</v>
          </cell>
          <cell r="K125">
            <v>8.4963840389956583E-3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2.54847945212309E-3</v>
          </cell>
          <cell r="J126">
            <v>7.0441222088806505E-5</v>
          </cell>
          <cell r="K126">
            <v>5.6663904967450698E-8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6.9925988427266314E-2</v>
          </cell>
          <cell r="J127">
            <v>4.9920175686591975E-2</v>
          </cell>
          <cell r="K127">
            <v>8.7835807588958897E-5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1.0937615364478701</v>
          </cell>
          <cell r="J128">
            <v>0.323117053487468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4.7059715227222125E-3</v>
          </cell>
          <cell r="J129">
            <v>1.5581209770929639E-3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1.0662151018899472E-2</v>
          </cell>
          <cell r="J130">
            <v>3.4989383345245492E-3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1.9392935043402046E-2</v>
          </cell>
          <cell r="J131">
            <v>5.7290257710543866E-3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4.1804769395189481E-4</v>
          </cell>
          <cell r="J133">
            <v>1.3838794456341835E-4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0.31781981462140413</v>
          </cell>
          <cell r="J134">
            <v>0.39482158957051089</v>
          </cell>
          <cell r="K134">
            <v>5.8457300499365145E-3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0.8454320191899426</v>
          </cell>
          <cell r="J135">
            <v>1.0502643269363356</v>
          </cell>
          <cell r="K135">
            <v>1.5550217866826217E-2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1.1857340803515766</v>
          </cell>
          <cell r="J136">
            <v>1.4416713874646725</v>
          </cell>
          <cell r="K136">
            <v>2.1072954621089185E-2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2.3271256289409799E-2</v>
          </cell>
          <cell r="J137">
            <v>5.8130149808300899E-3</v>
          </cell>
          <cell r="K137">
            <v>5.4482768638398196E-7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2.3583635261219732E-2</v>
          </cell>
          <cell r="J138">
            <v>2.9297512286882647E-2</v>
          </cell>
          <cell r="K138">
            <v>4.3400973231540012E-4</v>
          </cell>
        </row>
        <row r="139">
          <cell r="B139" t="str">
            <v>ENUC_LRG_BEZ</v>
          </cell>
          <cell r="C139" t="str">
            <v>VAR_fout</v>
          </cell>
          <cell r="D139" t="str">
            <v>LTH</v>
          </cell>
          <cell r="J139"/>
          <cell r="K139">
            <v>2.8419708948311238E-3</v>
          </cell>
        </row>
        <row r="140">
          <cell r="B140" t="str">
            <v>ENUC_LRG_BEZ</v>
          </cell>
          <cell r="C140" t="str">
            <v>VAR_fout</v>
          </cell>
          <cell r="D140" t="str">
            <v>ELC</v>
          </cell>
          <cell r="J140"/>
          <cell r="K140">
            <v>1.0724639351063919E-2</v>
          </cell>
        </row>
        <row r="141">
          <cell r="B141" t="str">
            <v>ENUC_LRG_BEZ</v>
          </cell>
          <cell r="C141" t="str">
            <v>VAR_fin</v>
          </cell>
          <cell r="D141" t="str">
            <v>URN</v>
          </cell>
          <cell r="J141"/>
          <cell r="K141">
            <v>3.7954401441776899E-2</v>
          </cell>
        </row>
        <row r="142">
          <cell r="B142" t="str">
            <v>ENUC_LRG_BEZ</v>
          </cell>
          <cell r="C142" t="str">
            <v>VAR_ncap</v>
          </cell>
          <cell r="D142" t="str">
            <v>-</v>
          </cell>
          <cell r="J142">
            <v>3.6035595836456102E-4</v>
          </cell>
          <cell r="K142">
            <v>1.1837525335321999E-3</v>
          </cell>
        </row>
        <row r="143">
          <cell r="B143" t="str">
            <v>ENUC_LRG_BEZ</v>
          </cell>
          <cell r="C143" t="str">
            <v>VAR_cap</v>
          </cell>
          <cell r="D143" t="str">
            <v>-</v>
          </cell>
          <cell r="J143"/>
          <cell r="K143">
            <v>4.7739353548482001E-4</v>
          </cell>
        </row>
        <row r="144">
          <cell r="B144" t="str">
            <v>G-INTC-IMP00-FR</v>
          </cell>
          <cell r="C144" t="str">
            <v>VAR_fout</v>
          </cell>
          <cell r="D144" t="str">
            <v>ELC</v>
          </cell>
          <cell r="I144">
            <v>17.921579910194794</v>
          </cell>
          <cell r="J144">
            <v>9.0070893644935381</v>
          </cell>
          <cell r="K144">
            <v>6.7486012242959834</v>
          </cell>
        </row>
        <row r="145">
          <cell r="B145" t="str">
            <v>G-INTC-IMP00-FR</v>
          </cell>
          <cell r="C145" t="str">
            <v>VAR_fin</v>
          </cell>
          <cell r="D145" t="str">
            <v>ELC_I-FR</v>
          </cell>
          <cell r="I145">
            <v>17.921579910194794</v>
          </cell>
          <cell r="J145">
            <v>9.0070893644935381</v>
          </cell>
          <cell r="K145">
            <v>6.7486012242959834</v>
          </cell>
        </row>
        <row r="146">
          <cell r="B146" t="str">
            <v>G-INTC-IMP00-FR</v>
          </cell>
          <cell r="C146" t="str">
            <v>VAR_ncap</v>
          </cell>
          <cell r="D146" t="str">
            <v>-</v>
          </cell>
          <cell r="I146">
            <v>2.0631774150538001E-6</v>
          </cell>
          <cell r="J146">
            <v>3.34595051795396E-6</v>
          </cell>
          <cell r="K146">
            <v>5.2952764261730901E-6</v>
          </cell>
        </row>
        <row r="147">
          <cell r="B147" t="str">
            <v>G-INTC-IMP00-FR</v>
          </cell>
          <cell r="C147" t="str">
            <v>VAR_cap</v>
          </cell>
          <cell r="D147" t="str">
            <v>-</v>
          </cell>
          <cell r="I147">
            <v>1.7000037542103668</v>
          </cell>
          <cell r="J147">
            <v>1.1999992367835532</v>
          </cell>
          <cell r="K147">
            <v>1.1999993668519677</v>
          </cell>
        </row>
        <row r="148">
          <cell r="B148" t="str">
            <v>ITOT-CHPWSTCCS</v>
          </cell>
          <cell r="C148" t="str">
            <v>VAR_fout</v>
          </cell>
          <cell r="D148" t="str">
            <v>CO2_O</v>
          </cell>
          <cell r="J148">
            <v>211.77164243347093</v>
          </cell>
          <cell r="K148">
            <v>387.48246504110722</v>
          </cell>
        </row>
        <row r="149">
          <cell r="B149" t="str">
            <v>ITOT-CHPWSTCCS</v>
          </cell>
          <cell r="C149" t="str">
            <v>VAR_fout</v>
          </cell>
          <cell r="D149" t="str">
            <v>CO2</v>
          </cell>
          <cell r="J149">
            <v>-211.77164243347099</v>
          </cell>
          <cell r="K149">
            <v>-387.48246504110699</v>
          </cell>
        </row>
        <row r="150">
          <cell r="B150" t="str">
            <v>ITOT-CHPWSTCCS</v>
          </cell>
          <cell r="C150" t="str">
            <v>VAR_fout</v>
          </cell>
          <cell r="D150" t="str">
            <v>ITOT_LTH_CHP</v>
          </cell>
          <cell r="J150">
            <v>0.84379346411775391</v>
          </cell>
          <cell r="K150">
            <v>1.0897507428591773</v>
          </cell>
        </row>
        <row r="151">
          <cell r="B151" t="str">
            <v>ITOT-CHPWSTCCS</v>
          </cell>
          <cell r="C151" t="str">
            <v>VAR_fout</v>
          </cell>
          <cell r="D151" t="str">
            <v>ITOT_KEV_WST_ELC_CHP</v>
          </cell>
          <cell r="J151">
            <v>0.16659170350126429</v>
          </cell>
          <cell r="K151">
            <v>0.32124743521666799</v>
          </cell>
        </row>
        <row r="152">
          <cell r="B152" t="str">
            <v>ITOT-CHPWSTCCS</v>
          </cell>
          <cell r="C152" t="str">
            <v>VAR_fout</v>
          </cell>
          <cell r="D152" t="str">
            <v>CO2_I</v>
          </cell>
          <cell r="J152">
            <v>277.17800501753197</v>
          </cell>
          <cell r="K152">
            <v>534.49674466939405</v>
          </cell>
        </row>
        <row r="153">
          <cell r="B153" t="str">
            <v>ITOT-CHPWSTCCS</v>
          </cell>
          <cell r="C153" t="str">
            <v>VAR_fin</v>
          </cell>
          <cell r="D153" t="str">
            <v>IWST</v>
          </cell>
          <cell r="J153">
            <v>2.9868319506199565</v>
          </cell>
          <cell r="K153">
            <v>5.7596631968684804</v>
          </cell>
        </row>
        <row r="154">
          <cell r="B154" t="str">
            <v>ITOT-CHPWSTCCS</v>
          </cell>
          <cell r="C154" t="str">
            <v>VAR_ncap</v>
          </cell>
          <cell r="D154" t="str">
            <v>-</v>
          </cell>
          <cell r="J154">
            <v>1.6362037653124498E-2</v>
          </cell>
          <cell r="K154">
            <v>1.5823382553871598E-2</v>
          </cell>
        </row>
        <row r="155">
          <cell r="B155" t="str">
            <v>ITOT-CHPWSTCCS</v>
          </cell>
          <cell r="C155" t="str">
            <v>VAR_cap</v>
          </cell>
          <cell r="D155" t="str">
            <v>-</v>
          </cell>
          <cell r="J155">
            <v>1.6362037653124498E-2</v>
          </cell>
          <cell r="K155">
            <v>3.2185374111562907E-2</v>
          </cell>
        </row>
        <row r="156">
          <cell r="B156" t="str">
            <v>EHYD-RUNS10</v>
          </cell>
          <cell r="C156" t="str">
            <v>VAR_fout</v>
          </cell>
          <cell r="D156" t="str">
            <v>ELC35</v>
          </cell>
          <cell r="I156">
            <v>1.7947825114196195E-2</v>
          </cell>
          <cell r="J156">
            <v>1.9661340546713243E-2</v>
          </cell>
          <cell r="K156">
            <v>2.0163951297968358E-2</v>
          </cell>
        </row>
        <row r="157">
          <cell r="B157" t="str">
            <v>EHYD-RUNS10</v>
          </cell>
          <cell r="C157" t="str">
            <v>VAR_fin</v>
          </cell>
          <cell r="D157" t="str">
            <v>HYDR</v>
          </cell>
          <cell r="I157">
            <v>1.7947825114196195E-2</v>
          </cell>
          <cell r="J157">
            <v>1.9661340546713243E-2</v>
          </cell>
          <cell r="K157">
            <v>2.0163951297968358E-2</v>
          </cell>
        </row>
        <row r="158">
          <cell r="B158" t="str">
            <v>EHYD-RUNS10</v>
          </cell>
          <cell r="C158" t="str">
            <v>VAR_ncap</v>
          </cell>
          <cell r="D158" t="str">
            <v>-</v>
          </cell>
          <cell r="I158">
            <v>4.3769931832056901E-7</v>
          </cell>
          <cell r="J158">
            <v>2.6139210236352001E-8</v>
          </cell>
          <cell r="K158">
            <v>5.6728605617706203E-8</v>
          </cell>
        </row>
        <row r="159">
          <cell r="B159" t="str">
            <v>EHYD-RUNS10</v>
          </cell>
          <cell r="C159" t="str">
            <v>VAR_cap</v>
          </cell>
          <cell r="D159" t="str">
            <v>-</v>
          </cell>
          <cell r="I159">
            <v>1.6237334536829101E-3</v>
          </cell>
          <cell r="J159">
            <v>1.6237595928931499E-3</v>
          </cell>
          <cell r="K159">
            <v>1.6238163214987601E-3</v>
          </cell>
        </row>
        <row r="160">
          <cell r="B160" t="str">
            <v>SUP_WSTBIO</v>
          </cell>
          <cell r="C160" t="str">
            <v>VAR_fout</v>
          </cell>
          <cell r="D160" t="str">
            <v>ELC35</v>
          </cell>
          <cell r="I160">
            <v>0.15291874856458632</v>
          </cell>
          <cell r="J160">
            <v>0.16816114958408013</v>
          </cell>
          <cell r="K160">
            <v>0.19689458964175791</v>
          </cell>
        </row>
        <row r="161">
          <cell r="B161" t="str">
            <v>SUP_WSTBIO</v>
          </cell>
          <cell r="C161" t="str">
            <v>VAR_fout</v>
          </cell>
          <cell r="D161" t="str">
            <v>BIO</v>
          </cell>
          <cell r="I161">
            <v>7.6459374282293204</v>
          </cell>
          <cell r="J161">
            <v>8.4080574792040128</v>
          </cell>
          <cell r="K161">
            <v>9.844729482087887</v>
          </cell>
        </row>
        <row r="162">
          <cell r="B162" t="str">
            <v>SUP_WSTBIO</v>
          </cell>
          <cell r="C162" t="str">
            <v>VAR_fin</v>
          </cell>
          <cell r="D162" t="str">
            <v>CWST</v>
          </cell>
          <cell r="I162">
            <v>13.146643269452571</v>
          </cell>
          <cell r="J162">
            <v>14.457054259957067</v>
          </cell>
          <cell r="K162">
            <v>16.927309149487122</v>
          </cell>
        </row>
        <row r="163">
          <cell r="B163" t="str">
            <v>SUP_WSTBIO</v>
          </cell>
          <cell r="C163" t="str">
            <v>VAR_ncap</v>
          </cell>
          <cell r="D163" t="str">
            <v>-</v>
          </cell>
          <cell r="I163">
            <v>0.14469374598514101</v>
          </cell>
          <cell r="J163">
            <v>6.0867556705707503E-2</v>
          </cell>
          <cell r="K163">
            <v>0.170260317326382</v>
          </cell>
        </row>
        <row r="164">
          <cell r="B164" t="str">
            <v>SUP_WSTBIO</v>
          </cell>
          <cell r="C164" t="str">
            <v>VAR_cap</v>
          </cell>
          <cell r="D164" t="str">
            <v>-</v>
          </cell>
          <cell r="I164">
            <v>0.28884708991680164</v>
          </cell>
          <cell r="J164">
            <v>0.31763759768165006</v>
          </cell>
          <cell r="K164">
            <v>0.37191133599878601</v>
          </cell>
        </row>
        <row r="165">
          <cell r="B165" t="str">
            <v>ITOT-CHPNGACCS</v>
          </cell>
          <cell r="C165" t="str">
            <v>VAR_fout</v>
          </cell>
          <cell r="D165" t="str">
            <v>CO2_O</v>
          </cell>
          <cell r="J165">
            <v>0.48777457801513452</v>
          </cell>
          <cell r="K165">
            <v>37.992817746853689</v>
          </cell>
        </row>
        <row r="166">
          <cell r="B166" t="str">
            <v>ITOT-CHPNGACCS</v>
          </cell>
          <cell r="C166" t="str">
            <v>VAR_fout</v>
          </cell>
          <cell r="D166" t="str">
            <v>CO2</v>
          </cell>
          <cell r="J166">
            <v>-0.48777457801513502</v>
          </cell>
          <cell r="K166">
            <v>-37.992817746853703</v>
          </cell>
        </row>
        <row r="167">
          <cell r="B167" t="str">
            <v>ITOT-CHPNGACCS</v>
          </cell>
          <cell r="C167" t="str">
            <v>VAR_fout</v>
          </cell>
          <cell r="D167" t="str">
            <v>ITOT_NKEV_GAS_ELC_CHP</v>
          </cell>
          <cell r="J167">
            <v>3.1484373909654809E-3</v>
          </cell>
          <cell r="K167">
            <v>0.2452321489756272</v>
          </cell>
        </row>
        <row r="168">
          <cell r="B168" t="str">
            <v>ITOT-CHPNGACCS</v>
          </cell>
          <cell r="C168" t="str">
            <v>VAR_fout</v>
          </cell>
          <cell r="D168" t="str">
            <v>ITOT_LTH_CHP</v>
          </cell>
          <cell r="J168">
            <v>3.5659456817223895E-3</v>
          </cell>
          <cell r="K168">
            <v>0.27104605939411541</v>
          </cell>
        </row>
        <row r="169">
          <cell r="B169" t="str">
            <v>ITOT-CHPNGACCS</v>
          </cell>
          <cell r="C169" t="str">
            <v>VAR_fout</v>
          </cell>
          <cell r="D169" t="str">
            <v>CO2_I</v>
          </cell>
          <cell r="J169">
            <v>0.58488476907934495</v>
          </cell>
          <cell r="K169">
            <v>56.994564889079001</v>
          </cell>
        </row>
        <row r="170">
          <cell r="B170" t="str">
            <v>ITOT-CHPNGACCS</v>
          </cell>
          <cell r="C170" t="str">
            <v>VAR_fin</v>
          </cell>
          <cell r="D170" t="str">
            <v>INGA</v>
          </cell>
          <cell r="J170">
            <v>1.0370297324101852E-2</v>
          </cell>
          <cell r="K170">
            <v>1.0105419306574286</v>
          </cell>
        </row>
        <row r="171">
          <cell r="B171" t="str">
            <v>ITOT-CHPNGACCS</v>
          </cell>
          <cell r="C171" t="str">
            <v>VAR_ncap</v>
          </cell>
          <cell r="D171" t="str">
            <v>-</v>
          </cell>
          <cell r="J171">
            <v>7.4337956790490698E-4</v>
          </cell>
          <cell r="K171">
            <v>3.5844464287603899E-2</v>
          </cell>
        </row>
        <row r="172">
          <cell r="B172" t="str">
            <v>ITOT-CHPNGACCS</v>
          </cell>
          <cell r="C172" t="str">
            <v>VAR_cap</v>
          </cell>
          <cell r="D172" t="str">
            <v>-</v>
          </cell>
          <cell r="J172">
            <v>7.4337956790490698E-4</v>
          </cell>
          <cell r="K172">
            <v>3.6587665164691481E-2</v>
          </cell>
        </row>
        <row r="173">
          <cell r="B173" t="str">
            <v>SCOM-ESOLPV</v>
          </cell>
          <cell r="C173" t="str">
            <v>VAR_fout</v>
          </cell>
          <cell r="D173" t="str">
            <v>SCOM_SOL_ELC</v>
          </cell>
          <cell r="I173">
            <v>18.815559216908561</v>
          </cell>
          <cell r="J173">
            <v>36.724010724306837</v>
          </cell>
          <cell r="K173">
            <v>40.566158155271509</v>
          </cell>
        </row>
        <row r="174">
          <cell r="B174" t="str">
            <v>SCOM-ESOLPV</v>
          </cell>
          <cell r="C174" t="str">
            <v>VAR_fin</v>
          </cell>
          <cell r="D174" t="str">
            <v>SOL</v>
          </cell>
          <cell r="I174">
            <v>18.815559216908561</v>
          </cell>
          <cell r="J174">
            <v>36.724010724306837</v>
          </cell>
          <cell r="K174">
            <v>40.566158155271509</v>
          </cell>
        </row>
        <row r="175">
          <cell r="B175" t="str">
            <v>SCOM-ESOLPV</v>
          </cell>
          <cell r="C175" t="str">
            <v>VAR_fin</v>
          </cell>
          <cell r="D175" t="str">
            <v>SOLPVC</v>
          </cell>
          <cell r="I175">
            <v>18.8155592169086</v>
          </cell>
          <cell r="J175">
            <v>36.7240107243069</v>
          </cell>
          <cell r="K175">
            <v>40.566158155271502</v>
          </cell>
        </row>
        <row r="176">
          <cell r="B176" t="str">
            <v>SCOM-ESOLPV</v>
          </cell>
          <cell r="C176" t="str">
            <v>VAR_ncap</v>
          </cell>
          <cell r="D176" t="str">
            <v>-</v>
          </cell>
          <cell r="I176">
            <v>0.730083089260948</v>
          </cell>
          <cell r="J176">
            <v>5.5699357196277903</v>
          </cell>
          <cell r="K176">
            <v>5.0052664886233202</v>
          </cell>
        </row>
        <row r="177">
          <cell r="B177" t="str">
            <v>SCOM-ESOLPV</v>
          </cell>
          <cell r="C177" t="str">
            <v>VAR_cap</v>
          </cell>
          <cell r="D177" t="str">
            <v>-</v>
          </cell>
          <cell r="I177">
            <v>5.4239794493480984</v>
          </cell>
          <cell r="J177">
            <v>10.586464810380889</v>
          </cell>
          <cell r="K177">
            <v>11.6940434935509</v>
          </cell>
        </row>
        <row r="178">
          <cell r="B178" t="str">
            <v>D-SCOM_LTH</v>
          </cell>
          <cell r="C178" t="str">
            <v>VAR_fout</v>
          </cell>
          <cell r="D178" t="str">
            <v>SCOM_LTH_DH</v>
          </cell>
          <cell r="I178">
            <v>8.330514014434808</v>
          </cell>
          <cell r="J178">
            <v>9.2532932880410623</v>
          </cell>
          <cell r="K178">
            <v>8.9440173309107056</v>
          </cell>
        </row>
        <row r="179">
          <cell r="B179" t="str">
            <v>D-SCOM_LTH</v>
          </cell>
          <cell r="C179" t="str">
            <v>VAR_fin</v>
          </cell>
          <cell r="D179" t="str">
            <v>LTH</v>
          </cell>
          <cell r="I179">
            <v>9.0384963267754195</v>
          </cell>
          <cell r="J179">
            <v>10.033118680755166</v>
          </cell>
          <cell r="K179">
            <v>9.6850816043496764</v>
          </cell>
        </row>
        <row r="180">
          <cell r="B180" t="str">
            <v>D-SCOM_LTH</v>
          </cell>
          <cell r="C180" t="str">
            <v>VAR_ncap</v>
          </cell>
          <cell r="D180" t="str">
            <v>-</v>
          </cell>
          <cell r="I180">
            <v>1.8526739090455199E-7</v>
          </cell>
          <cell r="J180">
            <v>2.7095712985189201E-7</v>
          </cell>
          <cell r="K180">
            <v>2.20883056626052E-7</v>
          </cell>
        </row>
        <row r="181">
          <cell r="B181" t="str">
            <v>D-SCOM_LTH</v>
          </cell>
          <cell r="C181" t="str">
            <v>VAR_cap</v>
          </cell>
          <cell r="D181" t="str">
            <v>-</v>
          </cell>
          <cell r="I181">
            <v>0.84970068080753702</v>
          </cell>
          <cell r="J181">
            <v>0.84970095176466698</v>
          </cell>
          <cell r="K181">
            <v>0.84970117264772405</v>
          </cell>
        </row>
        <row r="182">
          <cell r="B182" t="str">
            <v>EHYD-RUNS15</v>
          </cell>
          <cell r="C182" t="str">
            <v>VAR_fout</v>
          </cell>
          <cell r="D182" t="str">
            <v>ELC35</v>
          </cell>
          <cell r="I182">
            <v>1.2818091678832364E-2</v>
          </cell>
          <cell r="J182">
            <v>1.4502549258325026E-2</v>
          </cell>
          <cell r="K182">
            <v>5.2083107108364293E-2</v>
          </cell>
        </row>
        <row r="183">
          <cell r="B183" t="str">
            <v>EHYD-RUNS15</v>
          </cell>
          <cell r="C183" t="str">
            <v>VAR_fin</v>
          </cell>
          <cell r="D183" t="str">
            <v>HYDR</v>
          </cell>
          <cell r="I183">
            <v>1.2818091678832364E-2</v>
          </cell>
          <cell r="J183">
            <v>1.4502549258325026E-2</v>
          </cell>
          <cell r="K183">
            <v>5.2083107108364293E-2</v>
          </cell>
        </row>
        <row r="184">
          <cell r="B184" t="str">
            <v>EHYD-RUNS15</v>
          </cell>
          <cell r="C184" t="str">
            <v>VAR_ncap</v>
          </cell>
          <cell r="D184" t="str">
            <v>-</v>
          </cell>
          <cell r="I184">
            <v>2.0475428506573599E-7</v>
          </cell>
          <cell r="J184">
            <v>1.85800863108537E-6</v>
          </cell>
          <cell r="K184">
            <v>2.1884821640718801E-3</v>
          </cell>
        </row>
        <row r="185">
          <cell r="B185" t="str">
            <v>EHYD-RUNS15</v>
          </cell>
          <cell r="C185" t="str">
            <v>VAR_cap</v>
          </cell>
          <cell r="D185" t="str">
            <v>-</v>
          </cell>
          <cell r="I185">
            <v>8.9027979435308202E-4</v>
          </cell>
          <cell r="J185">
            <v>8.9213780298416797E-4</v>
          </cell>
          <cell r="K185">
            <v>3.08061996705605E-3</v>
          </cell>
        </row>
        <row r="186">
          <cell r="B186" t="str">
            <v>EHYD-RUN10</v>
          </cell>
          <cell r="C186" t="str">
            <v>VAR_fout</v>
          </cell>
          <cell r="D186" t="str">
            <v>ELC13</v>
          </cell>
          <cell r="I186">
            <v>5.713986972858482E-2</v>
          </cell>
          <cell r="J186">
            <v>6.4120013923306379E-2</v>
          </cell>
          <cell r="K186">
            <v>6.025126323875063E-2</v>
          </cell>
        </row>
        <row r="187">
          <cell r="B187" t="str">
            <v>EHYD-RUN10</v>
          </cell>
          <cell r="C187" t="str">
            <v>VAR_fin</v>
          </cell>
          <cell r="D187" t="str">
            <v>HYDR</v>
          </cell>
          <cell r="I187">
            <v>5.713986972858482E-2</v>
          </cell>
          <cell r="J187">
            <v>6.4120013923306379E-2</v>
          </cell>
          <cell r="K187">
            <v>6.025126323875063E-2</v>
          </cell>
        </row>
        <row r="188">
          <cell r="B188" t="str">
            <v>EHYD-RUN10</v>
          </cell>
          <cell r="C188" t="str">
            <v>VAR_ncap</v>
          </cell>
          <cell r="D188" t="str">
            <v>-</v>
          </cell>
          <cell r="J188"/>
          <cell r="K188">
            <v>5.3713269755019899E-8</v>
          </cell>
        </row>
        <row r="189">
          <cell r="B189" t="str">
            <v>EHYD-RUN10</v>
          </cell>
          <cell r="C189" t="str">
            <v>VAR_cap</v>
          </cell>
          <cell r="D189" t="str">
            <v>-</v>
          </cell>
          <cell r="I189">
            <v>5.0211399634656102E-3</v>
          </cell>
          <cell r="J189">
            <v>5.0211399634656102E-3</v>
          </cell>
          <cell r="K189">
            <v>5.0211936767353598E-3</v>
          </cell>
        </row>
        <row r="190">
          <cell r="B190" t="str">
            <v>ITOT-CHPWOD</v>
          </cell>
          <cell r="C190" t="str">
            <v>VAR_fout</v>
          </cell>
          <cell r="D190" t="str">
            <v>ITOT_LTH_CHP</v>
          </cell>
          <cell r="I190">
            <v>5.7725451611471499</v>
          </cell>
          <cell r="J190">
            <v>5.0972424200460456</v>
          </cell>
          <cell r="K190">
            <v>4.8356892519662891</v>
          </cell>
        </row>
        <row r="191">
          <cell r="B191" t="str">
            <v>ITOT-CHPWOD</v>
          </cell>
          <cell r="C191" t="str">
            <v>VAR_fout</v>
          </cell>
          <cell r="D191" t="str">
            <v>ITOT_KEV_WOD_ELC_CHP</v>
          </cell>
          <cell r="I191">
            <v>2.7288395307241009</v>
          </cell>
          <cell r="J191">
            <v>2.4096055076581235</v>
          </cell>
          <cell r="K191">
            <v>2.2859621918386019</v>
          </cell>
        </row>
        <row r="192">
          <cell r="B192" t="str">
            <v>ITOT-CHPWOD</v>
          </cell>
          <cell r="C192" t="str">
            <v>VAR_fin</v>
          </cell>
          <cell r="D192" t="str">
            <v>IWOD</v>
          </cell>
          <cell r="I192">
            <v>7.8945944004719415</v>
          </cell>
          <cell r="J192">
            <v>6.8297545634737205</v>
          </cell>
          <cell r="K192">
            <v>6.2192889860256528</v>
          </cell>
        </row>
        <row r="193">
          <cell r="B193" t="str">
            <v>ITOT-CHPWOD</v>
          </cell>
          <cell r="C193" t="str">
            <v>VAR_ncap</v>
          </cell>
          <cell r="D193" t="str">
            <v>-</v>
          </cell>
          <cell r="I193">
            <v>6.33954755388524E-2</v>
          </cell>
          <cell r="J193">
            <v>1.89030341990215E-2</v>
          </cell>
          <cell r="K193">
            <v>7.3910131637790394E-2</v>
          </cell>
        </row>
        <row r="194">
          <cell r="B194" t="str">
            <v>ITOT-CHPWOD</v>
          </cell>
          <cell r="C194" t="str">
            <v>VAR_cap</v>
          </cell>
          <cell r="D194" t="str">
            <v>-</v>
          </cell>
          <cell r="I194">
            <v>0.1431447149918425</v>
          </cell>
          <cell r="J194">
            <v>0.11662024529200503</v>
          </cell>
          <cell r="K194">
            <v>0.11444439257389502</v>
          </cell>
        </row>
        <row r="195">
          <cell r="B195" t="str">
            <v>EHYD-RUN15</v>
          </cell>
          <cell r="C195" t="str">
            <v>VAR_fout</v>
          </cell>
          <cell r="D195" t="str">
            <v>ELC13</v>
          </cell>
          <cell r="I195">
            <v>2.0743670962626428</v>
          </cell>
          <cell r="J195">
            <v>2.0743857604334606</v>
          </cell>
          <cell r="K195">
            <v>6.9597321742823972</v>
          </cell>
        </row>
        <row r="196">
          <cell r="B196" t="str">
            <v>EHYD-RUN15</v>
          </cell>
          <cell r="C196" t="str">
            <v>VAR_fin</v>
          </cell>
          <cell r="D196" t="str">
            <v>HYDR</v>
          </cell>
          <cell r="I196">
            <v>2.0743670962626428</v>
          </cell>
          <cell r="J196">
            <v>2.0743857604334606</v>
          </cell>
          <cell r="K196">
            <v>6.9597321742823972</v>
          </cell>
        </row>
        <row r="197">
          <cell r="B197" t="str">
            <v>EHYD-RUN15</v>
          </cell>
          <cell r="C197" t="str">
            <v>VAR_ncap</v>
          </cell>
          <cell r="D197" t="str">
            <v>-</v>
          </cell>
          <cell r="I197">
            <v>3.9374148261821701E-7</v>
          </cell>
          <cell r="J197">
            <v>8.2941971006190697E-7</v>
          </cell>
          <cell r="K197">
            <v>0.60191597280841302</v>
          </cell>
        </row>
        <row r="198">
          <cell r="B198" t="str">
            <v>EHYD-RUN15</v>
          </cell>
          <cell r="C198" t="str">
            <v>VAR_cap</v>
          </cell>
          <cell r="D198" t="str">
            <v>-</v>
          </cell>
          <cell r="I198">
            <v>0.14747211729317999</v>
          </cell>
          <cell r="J198">
            <v>0.147472571140044</v>
          </cell>
          <cell r="K198">
            <v>0.49478207620667503</v>
          </cell>
        </row>
        <row r="199">
          <cell r="B199" t="str">
            <v>SCOM-SWHSTG-CHPWOD</v>
          </cell>
          <cell r="C199" t="str">
            <v>VAR_fout</v>
          </cell>
          <cell r="D199" t="str">
            <v>AUX_SCOM-CHPWOD_OUT</v>
          </cell>
          <cell r="I199">
            <v>3.7116990583727368E-2</v>
          </cell>
          <cell r="J199">
            <v>2.5735057484400199E-2</v>
          </cell>
          <cell r="K199">
            <v>8.4170718138171938E-2</v>
          </cell>
        </row>
        <row r="200">
          <cell r="B200" t="str">
            <v>SCOM-SWHSTG-CHPWOD</v>
          </cell>
          <cell r="C200" t="str">
            <v>VAR_fout</v>
          </cell>
          <cell r="D200" t="str">
            <v>SCOM_LTH_CHPWOD</v>
          </cell>
          <cell r="I200">
            <v>3.7158277558792627E-2</v>
          </cell>
          <cell r="J200">
            <v>2.5735057484400185E-2</v>
          </cell>
          <cell r="K200">
            <v>8.417071813817191E-2</v>
          </cell>
        </row>
        <row r="201">
          <cell r="B201" t="str">
            <v>SCOM-SWHSTG-CHPWOD</v>
          </cell>
          <cell r="C201" t="str">
            <v>VAR_fin</v>
          </cell>
          <cell r="D201" t="str">
            <v>AUX_SCOM-CHPWOD_IN</v>
          </cell>
          <cell r="I201">
            <v>4.1278558602590061E-2</v>
          </cell>
          <cell r="J201">
            <v>2.7667559719301158E-2</v>
          </cell>
          <cell r="K201">
            <v>8.5021744862184265E-2</v>
          </cell>
        </row>
        <row r="202">
          <cell r="B202" t="str">
            <v>SCOM-SWHSTG-CHPWOD</v>
          </cell>
          <cell r="C202" t="str">
            <v>VAR_fin</v>
          </cell>
          <cell r="D202" t="str">
            <v>SCOM_LTH_CHPWOD</v>
          </cell>
          <cell r="I202">
            <v>4.1278558602590061E-2</v>
          </cell>
          <cell r="J202">
            <v>2.7667559719301158E-2</v>
          </cell>
          <cell r="K202">
            <v>8.5021744862184265E-2</v>
          </cell>
        </row>
        <row r="203">
          <cell r="B203" t="str">
            <v>SCOM-SWHSTG-CHPWOD</v>
          </cell>
          <cell r="C203" t="str">
            <v>VAR_ncap</v>
          </cell>
          <cell r="D203" t="str">
            <v>-</v>
          </cell>
          <cell r="I203">
            <v>2.4761562565787502E-3</v>
          </cell>
          <cell r="J203">
            <v>1.86337762766318E-4</v>
          </cell>
          <cell r="K203">
            <v>4.0684977865298099E-3</v>
          </cell>
        </row>
        <row r="204">
          <cell r="B204" t="str">
            <v>SCOM-SWHSTG-CHPWOD</v>
          </cell>
          <cell r="C204" t="str">
            <v>VAR_cap</v>
          </cell>
          <cell r="D204" t="str">
            <v>-</v>
          </cell>
          <cell r="I204">
            <v>3.079317496369552E-3</v>
          </cell>
          <cell r="J204">
            <v>2.6970888777019227E-3</v>
          </cell>
          <cell r="K204">
            <v>5.2350856858890482E-3</v>
          </cell>
        </row>
        <row r="205">
          <cell r="B205" t="str">
            <v>RHNM-ESOLPV</v>
          </cell>
          <cell r="C205" t="str">
            <v>VAR_fout</v>
          </cell>
          <cell r="D205" t="str">
            <v>RHNM_SOL_ELC</v>
          </cell>
          <cell r="I205">
            <v>2.2713888869015397</v>
          </cell>
          <cell r="J205">
            <v>2.3873500626173159</v>
          </cell>
          <cell r="K205">
            <v>2.6371226444326314</v>
          </cell>
        </row>
        <row r="206">
          <cell r="B206" t="str">
            <v>RHNM-ESOLPV</v>
          </cell>
          <cell r="C206" t="str">
            <v>VAR_fin</v>
          </cell>
          <cell r="D206" t="str">
            <v>SOL</v>
          </cell>
          <cell r="I206">
            <v>2.2713888869015397</v>
          </cell>
          <cell r="J206">
            <v>2.3873500626173159</v>
          </cell>
          <cell r="K206">
            <v>2.6371226444326314</v>
          </cell>
        </row>
        <row r="207">
          <cell r="B207" t="str">
            <v>RHNM-ESOLPV</v>
          </cell>
          <cell r="C207" t="str">
            <v>VAR_fin</v>
          </cell>
          <cell r="D207" t="str">
            <v>SOLPVC</v>
          </cell>
          <cell r="I207">
            <v>2.2713888869015402</v>
          </cell>
          <cell r="J207">
            <v>2.3873500626173199</v>
          </cell>
          <cell r="K207">
            <v>2.6371226444326301</v>
          </cell>
        </row>
        <row r="208">
          <cell r="B208" t="str">
            <v>RHNM-ESOLPV</v>
          </cell>
          <cell r="C208" t="str">
            <v>VAR_ncap</v>
          </cell>
          <cell r="D208" t="str">
            <v>-</v>
          </cell>
          <cell r="I208">
            <v>3.1783262821516001E-2</v>
          </cell>
          <cell r="J208">
            <v>3.3437829465470102E-2</v>
          </cell>
          <cell r="K208">
            <v>0.67744246271400999</v>
          </cell>
        </row>
        <row r="209">
          <cell r="B209" t="str">
            <v>RHNM-ESOLPV</v>
          </cell>
          <cell r="C209" t="str">
            <v>VAR_cap</v>
          </cell>
          <cell r="D209" t="str">
            <v>-</v>
          </cell>
          <cell r="I209">
            <v>0.65477700787033799</v>
          </cell>
          <cell r="J209">
            <v>0.68820633336055104</v>
          </cell>
          <cell r="K209">
            <v>0.76020825855667695</v>
          </cell>
        </row>
        <row r="210">
          <cell r="B210" t="str">
            <v>CHPNGA</v>
          </cell>
          <cell r="C210" t="str">
            <v>VAR_fout</v>
          </cell>
          <cell r="D210" t="str">
            <v>ELC35</v>
          </cell>
          <cell r="J210"/>
          <cell r="K210"/>
        </row>
        <row r="211">
          <cell r="B211" t="str">
            <v>CHPNGA</v>
          </cell>
          <cell r="C211" t="str">
            <v>VAR_fout</v>
          </cell>
          <cell r="D211" t="str">
            <v>LTH</v>
          </cell>
          <cell r="J211"/>
          <cell r="K211"/>
        </row>
        <row r="212">
          <cell r="B212" t="str">
            <v>CHPNGA</v>
          </cell>
          <cell r="C212" t="str">
            <v>VAR_fout</v>
          </cell>
          <cell r="D212" t="str">
            <v>CO2_E</v>
          </cell>
          <cell r="J212"/>
          <cell r="K212"/>
        </row>
        <row r="213">
          <cell r="B213" t="str">
            <v>CHPNGA</v>
          </cell>
          <cell r="C213" t="str">
            <v>VAR_fin</v>
          </cell>
          <cell r="D213" t="str">
            <v>ENGA</v>
          </cell>
          <cell r="J213"/>
          <cell r="K213"/>
        </row>
        <row r="214">
          <cell r="B214" t="str">
            <v>CHPNGA</v>
          </cell>
          <cell r="C214" t="str">
            <v>VAR_ncap</v>
          </cell>
          <cell r="D214" t="str">
            <v>-</v>
          </cell>
          <cell r="J214"/>
          <cell r="K214"/>
        </row>
        <row r="215">
          <cell r="B215" t="str">
            <v>CHPNGA</v>
          </cell>
          <cell r="C215" t="str">
            <v>VAR_cap</v>
          </cell>
          <cell r="D215" t="str">
            <v>-</v>
          </cell>
          <cell r="I215">
            <v>-5.4880781095957218E-7</v>
          </cell>
          <cell r="J215"/>
          <cell r="K215"/>
        </row>
        <row r="216">
          <cell r="B216" t="str">
            <v>EHYD-PUM00</v>
          </cell>
          <cell r="C216" t="str">
            <v>VAR_fout</v>
          </cell>
          <cell r="D216" t="str">
            <v>ELC</v>
          </cell>
          <cell r="I216">
            <v>12.800521012157303</v>
          </cell>
          <cell r="J216">
            <v>13.250557396139465</v>
          </cell>
          <cell r="K216">
            <v>13.489369118822488</v>
          </cell>
        </row>
        <row r="217">
          <cell r="B217" t="str">
            <v>EHYD-PUM00</v>
          </cell>
          <cell r="C217" t="str">
            <v>VAR_fout</v>
          </cell>
          <cell r="D217" t="str">
            <v>AUX_PUMP_OUT</v>
          </cell>
          <cell r="I217">
            <v>12.800521012157303</v>
          </cell>
          <cell r="J217">
            <v>13.250557396139465</v>
          </cell>
          <cell r="K217">
            <v>13.489369118822488</v>
          </cell>
        </row>
        <row r="218">
          <cell r="B218" t="str">
            <v>EHYD-PUM00</v>
          </cell>
          <cell r="C218" t="str">
            <v>VAR_fin</v>
          </cell>
          <cell r="D218" t="str">
            <v>AUX_PUMP_IN</v>
          </cell>
          <cell r="I218">
            <v>16.000649447312021</v>
          </cell>
          <cell r="J218">
            <v>16.563195635337195</v>
          </cell>
          <cell r="K218">
            <v>16.861710284240523</v>
          </cell>
        </row>
        <row r="219">
          <cell r="B219" t="str">
            <v>EHYD-PUM00</v>
          </cell>
          <cell r="C219" t="str">
            <v>VAR_fin</v>
          </cell>
          <cell r="D219" t="str">
            <v>ELC</v>
          </cell>
          <cell r="I219">
            <v>16.000649447312021</v>
          </cell>
          <cell r="J219">
            <v>16.563195635337195</v>
          </cell>
          <cell r="K219">
            <v>16.861710284240523</v>
          </cell>
        </row>
        <row r="220">
          <cell r="B220" t="str">
            <v>EHYD-PUM00</v>
          </cell>
          <cell r="C220" t="str">
            <v>VAR_cap</v>
          </cell>
          <cell r="D220" t="str">
            <v>-</v>
          </cell>
          <cell r="I220">
            <v>4.3594499999999998</v>
          </cell>
          <cell r="J220">
            <v>4.3594499999999998</v>
          </cell>
          <cell r="K220">
            <v>4.3594499999999998</v>
          </cell>
        </row>
        <row r="221">
          <cell r="B221" t="str">
            <v>RHNS-SHSTG-CHPNGA</v>
          </cell>
          <cell r="C221" t="str">
            <v>VAR_fout</v>
          </cell>
          <cell r="D221" t="str">
            <v>RHNS_LTH_CHPNGA</v>
          </cell>
          <cell r="I221">
            <v>2.1731483188913146E-3</v>
          </cell>
          <cell r="J221">
            <v>9.4156093456690762E-4</v>
          </cell>
          <cell r="K221">
            <v>1.7389005355467901E-4</v>
          </cell>
        </row>
        <row r="222">
          <cell r="B222" t="str">
            <v>RHNS-SHSTG-CHPNGA</v>
          </cell>
          <cell r="C222" t="str">
            <v>VAR_fout</v>
          </cell>
          <cell r="D222" t="str">
            <v>AUX_RNS-CHPNGA_OUT</v>
          </cell>
          <cell r="I222">
            <v>2.1711527740622171E-3</v>
          </cell>
          <cell r="J222">
            <v>9.4156093456691076E-4</v>
          </cell>
          <cell r="K222">
            <v>1.7389005355467914E-4</v>
          </cell>
        </row>
        <row r="223">
          <cell r="B223" t="str">
            <v>RHNS-SHSTG-CHPNGA</v>
          </cell>
          <cell r="C223" t="str">
            <v>VAR_fin</v>
          </cell>
          <cell r="D223" t="str">
            <v>RHNS_LTH_CHPNGA</v>
          </cell>
          <cell r="I223">
            <v>2.6393166047731314E-3</v>
          </cell>
          <cell r="J223">
            <v>1.112915714483996E-3</v>
          </cell>
          <cell r="K223">
            <v>1.499772140630161E-4</v>
          </cell>
        </row>
        <row r="224">
          <cell r="B224" t="str">
            <v>RHNS-SHSTG-CHPNGA</v>
          </cell>
          <cell r="C224" t="str">
            <v>VAR_fin</v>
          </cell>
          <cell r="D224" t="str">
            <v>AUX_RNS-CHPNGA_IN</v>
          </cell>
          <cell r="I224">
            <v>2.6393166047731314E-3</v>
          </cell>
          <cell r="J224">
            <v>1.112915714483996E-3</v>
          </cell>
          <cell r="K224">
            <v>1.499772140630161E-4</v>
          </cell>
        </row>
        <row r="225">
          <cell r="B225" t="str">
            <v>RHNS-SHSTG-CHPNGA</v>
          </cell>
          <cell r="C225" t="str">
            <v>VAR_ncap</v>
          </cell>
          <cell r="D225" t="str">
            <v>-</v>
          </cell>
          <cell r="I225">
            <v>2.3146197163164202E-3</v>
          </cell>
          <cell r="J225">
            <v>7.3316953063394996E-5</v>
          </cell>
          <cell r="K225">
            <v>1.9925702085744702E-5</v>
          </cell>
        </row>
        <row r="226">
          <cell r="B226" t="str">
            <v>RHNS-SHSTG-CHPNGA</v>
          </cell>
          <cell r="C226" t="str">
            <v>VAR_cap</v>
          </cell>
          <cell r="D226" t="str">
            <v>-</v>
          </cell>
          <cell r="I226">
            <v>3.1197223514223315E-3</v>
          </cell>
          <cell r="J226">
            <v>2.3968004587913341E-3</v>
          </cell>
          <cell r="K226">
            <v>1.0309976967695839E-3</v>
          </cell>
        </row>
        <row r="227">
          <cell r="B227" t="str">
            <v>ITOT-CHPGFC</v>
          </cell>
          <cell r="C227" t="str">
            <v>VAR_fout</v>
          </cell>
          <cell r="D227" t="str">
            <v>ITOT_NKEV_GAS_ELC_CHP</v>
          </cell>
          <cell r="I227">
            <v>3.2805945545802502E-3</v>
          </cell>
          <cell r="J227">
            <v>2.2579167703431092E-3</v>
          </cell>
          <cell r="K227">
            <v>6.9424630378976194E-4</v>
          </cell>
        </row>
        <row r="228">
          <cell r="B228" t="str">
            <v>ITOT-CHPGFC</v>
          </cell>
          <cell r="C228" t="str">
            <v>VAR_fout</v>
          </cell>
          <cell r="D228" t="str">
            <v>ITOT_LTH_CHP</v>
          </cell>
          <cell r="I228">
            <v>1.5575299834819098E-3</v>
          </cell>
          <cell r="J228">
            <v>1.0150268050166287E-3</v>
          </cell>
          <cell r="K228">
            <v>2.8013447345902684E-4</v>
          </cell>
        </row>
        <row r="229">
          <cell r="B229" t="str">
            <v>ITOT-CHPGFC</v>
          </cell>
          <cell r="C229" t="str">
            <v>VAR_fout</v>
          </cell>
          <cell r="D229" t="str">
            <v>CO2_I</v>
          </cell>
          <cell r="I229">
            <v>0.34746578944286599</v>
          </cell>
          <cell r="J229">
            <v>0.233663313481379</v>
          </cell>
          <cell r="K229">
            <v>6.8693844796039599E-2</v>
          </cell>
        </row>
        <row r="230">
          <cell r="B230" t="str">
            <v>ITOT-CHPGFC</v>
          </cell>
          <cell r="C230" t="str">
            <v>VAR_fin</v>
          </cell>
          <cell r="D230" t="str">
            <v>INGA</v>
          </cell>
          <cell r="I230">
            <v>6.1607409475685423E-3</v>
          </cell>
          <cell r="J230">
            <v>4.1429665510882745E-3</v>
          </cell>
          <cell r="K230">
            <v>1.2179759715609854E-3</v>
          </cell>
        </row>
        <row r="231">
          <cell r="B231" t="str">
            <v>ITOT-CHPGFC</v>
          </cell>
          <cell r="C231" t="str">
            <v>VAR_ncap</v>
          </cell>
          <cell r="D231" t="str">
            <v>-</v>
          </cell>
          <cell r="I231">
            <v>2.5465362598920598E-4</v>
          </cell>
          <cell r="J231">
            <v>1.59466488662041E-6</v>
          </cell>
          <cell r="K231">
            <v>1.6649308120721001E-5</v>
          </cell>
        </row>
        <row r="232">
          <cell r="B232" t="str">
            <v>ITOT-CHPGFC</v>
          </cell>
          <cell r="C232" t="str">
            <v>VAR_cap</v>
          </cell>
          <cell r="D232" t="str">
            <v>-</v>
          </cell>
          <cell r="I232">
            <v>2.5465362598920598E-4</v>
          </cell>
          <cell r="J232">
            <v>2.5609987115729813E-4</v>
          </cell>
          <cell r="K232">
            <v>1.2533917836748181E-4</v>
          </cell>
        </row>
        <row r="233">
          <cell r="B233" t="str">
            <v>ITOT-SWSTG-CHP</v>
          </cell>
          <cell r="C233" t="str">
            <v>VAR_fout</v>
          </cell>
          <cell r="D233" t="str">
            <v>ITOT_LTH_CHP</v>
          </cell>
          <cell r="I233">
            <v>0.21032291292339914</v>
          </cell>
          <cell r="J233">
            <v>9.7052811010725062E-2</v>
          </cell>
          <cell r="K233">
            <v>0.13014381641165612</v>
          </cell>
        </row>
        <row r="234">
          <cell r="B234" t="str">
            <v>ITOT-SWSTG-CHP</v>
          </cell>
          <cell r="C234" t="str">
            <v>VAR_fout</v>
          </cell>
          <cell r="D234" t="str">
            <v>AUX_ITOT-CHP_OUT</v>
          </cell>
          <cell r="I234">
            <v>0.21008922079792897</v>
          </cell>
          <cell r="J234">
            <v>9.7052811010725271E-2</v>
          </cell>
          <cell r="K234">
            <v>0.13014381641165618</v>
          </cell>
        </row>
        <row r="235">
          <cell r="B235" t="str">
            <v>ITOT-SWSTG-CHP</v>
          </cell>
          <cell r="C235" t="str">
            <v>VAR_fin</v>
          </cell>
          <cell r="D235" t="str">
            <v>ITOT_LTH_CHP</v>
          </cell>
          <cell r="I235">
            <v>0.23370035821104135</v>
          </cell>
          <cell r="J235">
            <v>0.10436305826977792</v>
          </cell>
          <cell r="K235">
            <v>0.13146359738376348</v>
          </cell>
        </row>
        <row r="236">
          <cell r="B236" t="str">
            <v>ITOT-SWSTG-CHP</v>
          </cell>
          <cell r="C236" t="str">
            <v>VAR_fin</v>
          </cell>
          <cell r="D236" t="str">
            <v>AUX_ITOT-CHP_IN</v>
          </cell>
          <cell r="I236">
            <v>0.23370035821104135</v>
          </cell>
          <cell r="J236">
            <v>0.10436305826977792</v>
          </cell>
          <cell r="K236">
            <v>0.13146359738376348</v>
          </cell>
        </row>
        <row r="237">
          <cell r="B237" t="str">
            <v>ITOT-SWSTG-CHP</v>
          </cell>
          <cell r="C237" t="str">
            <v>VAR_ncap</v>
          </cell>
          <cell r="D237" t="str">
            <v>-</v>
          </cell>
          <cell r="I237">
            <v>4.6219850649848002E-2</v>
          </cell>
          <cell r="J237">
            <v>1.13642247980417E-4</v>
          </cell>
          <cell r="K237">
            <v>1.6485272481092401E-4</v>
          </cell>
        </row>
        <row r="238">
          <cell r="B238" t="str">
            <v>ITOT-SWSTG-CHP</v>
          </cell>
          <cell r="C238" t="str">
            <v>VAR_cap</v>
          </cell>
          <cell r="D238" t="str">
            <v>-</v>
          </cell>
          <cell r="I238">
            <v>4.8602781969588969E-2</v>
          </cell>
          <cell r="J238">
            <v>4.6601660715490503E-2</v>
          </cell>
          <cell r="K238">
            <v>1.977832272494949E-2</v>
          </cell>
        </row>
        <row r="239">
          <cell r="B239" t="str">
            <v>D-ELFO</v>
          </cell>
          <cell r="C239" t="str">
            <v>VAR_fout</v>
          </cell>
          <cell r="D239" t="str">
            <v>CO2</v>
          </cell>
          <cell r="I239">
            <v>2.0384788701407301</v>
          </cell>
          <cell r="J239">
            <v>1.83316369163059</v>
          </cell>
          <cell r="K239">
            <v>1.9339498254235098E-2</v>
          </cell>
        </row>
        <row r="240">
          <cell r="B240" t="str">
            <v>D-ELFO</v>
          </cell>
          <cell r="C240" t="str">
            <v>VAR_fout</v>
          </cell>
          <cell r="D240" t="str">
            <v>ELFO</v>
          </cell>
          <cell r="I240">
            <v>2.7197203492204277E-2</v>
          </cell>
          <cell r="J240">
            <v>2.4457906670553722E-2</v>
          </cell>
          <cell r="K240">
            <v>2.5802586289317363E-4</v>
          </cell>
        </row>
        <row r="241">
          <cell r="B241" t="str">
            <v>D-ELFO</v>
          </cell>
          <cell r="C241" t="str">
            <v>VAR_fin</v>
          </cell>
          <cell r="D241" t="str">
            <v>LFO</v>
          </cell>
          <cell r="I241">
            <v>2.7659143421176785E-2</v>
          </cell>
          <cell r="J241">
            <v>2.487332010353591E-2</v>
          </cell>
          <cell r="K241">
            <v>2.6240838879559224E-4</v>
          </cell>
        </row>
        <row r="242">
          <cell r="B242" t="str">
            <v>EHYD-DAM00</v>
          </cell>
          <cell r="C242" t="str">
            <v>VAR_fout</v>
          </cell>
          <cell r="D242" t="str">
            <v>ELC</v>
          </cell>
          <cell r="I242">
            <v>69.877566335832682</v>
          </cell>
          <cell r="J242">
            <v>71.398204364527246</v>
          </cell>
          <cell r="K242">
            <v>71.397175521503598</v>
          </cell>
        </row>
        <row r="243">
          <cell r="B243" t="str">
            <v>EHYD-DAM00</v>
          </cell>
          <cell r="C243" t="str">
            <v>VAR_fin</v>
          </cell>
          <cell r="D243" t="str">
            <v>HYDD</v>
          </cell>
          <cell r="I243">
            <v>69.877566335832682</v>
          </cell>
          <cell r="J243">
            <v>71.398204364527246</v>
          </cell>
          <cell r="K243">
            <v>71.397175521503598</v>
          </cell>
        </row>
        <row r="244">
          <cell r="B244" t="str">
            <v>EHYD-DAM00</v>
          </cell>
          <cell r="C244" t="str">
            <v>VAR_cap</v>
          </cell>
          <cell r="D244" t="str">
            <v>-</v>
          </cell>
          <cell r="I244">
            <v>7.3394300010600002</v>
          </cell>
          <cell r="J244">
            <v>7.3394300010600002</v>
          </cell>
          <cell r="K244">
            <v>7.3394300010600002</v>
          </cell>
        </row>
        <row r="245">
          <cell r="B245" t="str">
            <v>RHES-SHSTG-CHPWOD</v>
          </cell>
          <cell r="C245" t="str">
            <v>VAR_fout</v>
          </cell>
          <cell r="D245" t="str">
            <v>AUX_RES-CHPWOD_OUT</v>
          </cell>
          <cell r="I245">
            <v>2.5499063578024021E-3</v>
          </cell>
          <cell r="J245">
            <v>1.2702759462228346E-3</v>
          </cell>
          <cell r="K245">
            <v>2.211139679924565E-3</v>
          </cell>
        </row>
        <row r="246">
          <cell r="B246" t="str">
            <v>RHES-SHSTG-CHPWOD</v>
          </cell>
          <cell r="C246" t="str">
            <v>VAR_fout</v>
          </cell>
          <cell r="D246" t="str">
            <v>RHES_LTH_CHPWOD</v>
          </cell>
          <cell r="I246">
            <v>2.5522500217341993E-3</v>
          </cell>
          <cell r="J246">
            <v>1.2702759462228312E-3</v>
          </cell>
          <cell r="K246">
            <v>2.2111396799245628E-3</v>
          </cell>
        </row>
        <row r="247">
          <cell r="B247" t="str">
            <v>RHES-SHSTG-CHPWOD</v>
          </cell>
          <cell r="C247" t="str">
            <v>VAR_fin</v>
          </cell>
          <cell r="D247" t="str">
            <v>AUX_RES-CHPWOD_IN</v>
          </cell>
          <cell r="I247">
            <v>3.0988355734429705E-3</v>
          </cell>
          <cell r="J247">
            <v>1.499639257616087E-3</v>
          </cell>
          <cell r="K247">
            <v>2.4620340626925873E-3</v>
          </cell>
        </row>
        <row r="248">
          <cell r="B248" t="str">
            <v>RHES-SHSTG-CHPWOD</v>
          </cell>
          <cell r="C248" t="str">
            <v>VAR_fin</v>
          </cell>
          <cell r="D248" t="str">
            <v>RHES_LTH_CHPWOD</v>
          </cell>
          <cell r="I248">
            <v>3.0988355734429705E-3</v>
          </cell>
          <cell r="J248">
            <v>1.499639257616087E-3</v>
          </cell>
          <cell r="K248">
            <v>2.4620340626925873E-3</v>
          </cell>
        </row>
        <row r="249">
          <cell r="B249" t="str">
            <v>RHES-SHSTG-CHPWOD</v>
          </cell>
          <cell r="C249" t="str">
            <v>VAR_ncap</v>
          </cell>
          <cell r="D249" t="str">
            <v>-</v>
          </cell>
          <cell r="I249">
            <v>2.4650376276011401E-3</v>
          </cell>
          <cell r="J249">
            <v>2.0454408710272301E-4</v>
          </cell>
          <cell r="K249">
            <v>4.2488725166949502E-4</v>
          </cell>
        </row>
        <row r="250">
          <cell r="B250" t="str">
            <v>RHES-SHSTG-CHPWOD</v>
          </cell>
          <cell r="C250" t="str">
            <v>VAR_cap</v>
          </cell>
          <cell r="D250" t="str">
            <v>-</v>
          </cell>
          <cell r="I250">
            <v>3.0960234625614165E-3</v>
          </cell>
          <cell r="J250">
            <v>2.6944818030921452E-3</v>
          </cell>
          <cell r="K250">
            <v>1.6000409969526056E-3</v>
          </cell>
        </row>
        <row r="251">
          <cell r="B251" t="str">
            <v>ENUC_GOE_EXT</v>
          </cell>
          <cell r="C251" t="str">
            <v>VAR_fout</v>
          </cell>
          <cell r="D251" t="str">
            <v>ELC</v>
          </cell>
          <cell r="I251">
            <v>29.71016488891313</v>
          </cell>
          <cell r="J251">
            <v>29.710171659540258</v>
          </cell>
          <cell r="K251">
            <v>9.760469081913115</v>
          </cell>
        </row>
        <row r="252">
          <cell r="B252" t="str">
            <v>ENUC_GOE_EXT</v>
          </cell>
          <cell r="C252" t="str">
            <v>VAR_fin</v>
          </cell>
          <cell r="D252" t="str">
            <v>URN</v>
          </cell>
          <cell r="I252">
            <v>89.601980642494723</v>
          </cell>
          <cell r="J252">
            <v>89.602001061822762</v>
          </cell>
          <cell r="K252">
            <v>29.436301178712199</v>
          </cell>
        </row>
        <row r="253">
          <cell r="B253" t="str">
            <v>ENUC_GOE_EXT</v>
          </cell>
          <cell r="C253" t="str">
            <v>VAR_ncap</v>
          </cell>
          <cell r="D253" t="str">
            <v>-</v>
          </cell>
          <cell r="I253"/>
          <cell r="J253"/>
          <cell r="K253"/>
        </row>
        <row r="254">
          <cell r="B254" t="str">
            <v>ENUC_GOE_EXT</v>
          </cell>
          <cell r="C254" t="str">
            <v>VAR_cap</v>
          </cell>
          <cell r="D254" t="str">
            <v>-</v>
          </cell>
          <cell r="I254">
            <v>1.009856183888201</v>
          </cell>
          <cell r="J254">
            <v>1.0098561954367953</v>
          </cell>
          <cell r="K254">
            <v>0.34589715926224973</v>
          </cell>
        </row>
        <row r="255">
          <cell r="B255" t="str">
            <v>ESOL-PV_A</v>
          </cell>
          <cell r="C255" t="str">
            <v>VAR_fout</v>
          </cell>
          <cell r="D255" t="str">
            <v>ELC35</v>
          </cell>
          <cell r="I255">
            <v>0.49005157082779854</v>
          </cell>
          <cell r="J255">
            <v>0.49007786802986564</v>
          </cell>
          <cell r="K255">
            <v>7.3861873249123429</v>
          </cell>
        </row>
        <row r="256">
          <cell r="B256" t="str">
            <v>ESOL-PV_A</v>
          </cell>
          <cell r="C256" t="str">
            <v>VAR_fin</v>
          </cell>
          <cell r="D256" t="str">
            <v>SOL</v>
          </cell>
          <cell r="I256">
            <v>0.49005157082779854</v>
          </cell>
          <cell r="J256">
            <v>0.49007786802986564</v>
          </cell>
          <cell r="K256">
            <v>7.3861873249123429</v>
          </cell>
        </row>
        <row r="257">
          <cell r="B257" t="str">
            <v>ESOL-PV_A</v>
          </cell>
          <cell r="C257" t="str">
            <v>VAR_fin</v>
          </cell>
          <cell r="D257" t="str">
            <v>SOLPVC</v>
          </cell>
          <cell r="I257">
            <v>0.49005157082779899</v>
          </cell>
          <cell r="J257">
            <v>0.49007786802986603</v>
          </cell>
          <cell r="K257">
            <v>7.38618732491235</v>
          </cell>
        </row>
        <row r="258">
          <cell r="B258" t="str">
            <v>ESOL-PV_A</v>
          </cell>
          <cell r="C258" t="str">
            <v>VAR_ncap</v>
          </cell>
          <cell r="D258" t="str">
            <v>-</v>
          </cell>
          <cell r="I258">
            <v>6.4208414863037396E-6</v>
          </cell>
          <cell r="J258">
            <v>8.9557367553142102E-7</v>
          </cell>
          <cell r="K258">
            <v>1.8739249257216899</v>
          </cell>
        </row>
        <row r="259">
          <cell r="B259" t="str">
            <v>ESOL-PV_A</v>
          </cell>
          <cell r="C259" t="str">
            <v>VAR_cap</v>
          </cell>
          <cell r="D259" t="str">
            <v>-</v>
          </cell>
          <cell r="I259">
            <v>7.5744376409506695E-2</v>
          </cell>
          <cell r="J259">
            <v>7.5749800181231799E-2</v>
          </cell>
          <cell r="K259">
            <v>1.14163063398169</v>
          </cell>
        </row>
        <row r="260">
          <cell r="B260" t="str">
            <v>G-INTC-IND</v>
          </cell>
          <cell r="C260" t="str">
            <v>VAR_fout</v>
          </cell>
          <cell r="D260" t="str">
            <v>ELC35</v>
          </cell>
          <cell r="I260">
            <v>3.122393892049922E-3</v>
          </cell>
          <cell r="J260">
            <v>1.8282238284967414E-3</v>
          </cell>
          <cell r="K260">
            <v>1.3252863107938752E-3</v>
          </cell>
        </row>
        <row r="261">
          <cell r="B261" t="str">
            <v>G-INTC-IND</v>
          </cell>
          <cell r="C261" t="str">
            <v>VAR_fout</v>
          </cell>
          <cell r="D261" t="str">
            <v>ITOT_ELC</v>
          </cell>
          <cell r="I261">
            <v>66.396677360678808</v>
          </cell>
          <cell r="J261">
            <v>58.417024564547582</v>
          </cell>
          <cell r="K261">
            <v>58.378045505037882</v>
          </cell>
        </row>
        <row r="262">
          <cell r="B262" t="str">
            <v>G-INTC-IND</v>
          </cell>
          <cell r="C262" t="str">
            <v>VAR_fout</v>
          </cell>
          <cell r="D262" t="str">
            <v>ELC13</v>
          </cell>
          <cell r="I262">
            <v>2.2435217419649271E-3</v>
          </cell>
          <cell r="J262">
            <v>1.3710430579129257E-3</v>
          </cell>
          <cell r="K262">
            <v>1.1310204659604965E-3</v>
          </cell>
        </row>
        <row r="263">
          <cell r="B263" t="str">
            <v>G-INTC-IND</v>
          </cell>
          <cell r="C263" t="str">
            <v>VAR_fin</v>
          </cell>
          <cell r="D263" t="str">
            <v>ELC3</v>
          </cell>
          <cell r="I263">
            <v>66.374028933492411</v>
          </cell>
          <cell r="J263">
            <v>26.534297450761471</v>
          </cell>
          <cell r="K263">
            <v>26.345564668294084</v>
          </cell>
        </row>
        <row r="264">
          <cell r="B264" t="str">
            <v>G-INTC-IND</v>
          </cell>
          <cell r="C264" t="str">
            <v>VAR_fin</v>
          </cell>
          <cell r="D264" t="str">
            <v>ELC5</v>
          </cell>
          <cell r="I264">
            <v>2.7991873153883209E-2</v>
          </cell>
          <cell r="J264">
            <v>31.885926380672508</v>
          </cell>
          <cell r="K264">
            <v>32.034896619183691</v>
          </cell>
        </row>
        <row r="265">
          <cell r="B265" t="str">
            <v>G-INTC-IND</v>
          </cell>
          <cell r="C265" t="str">
            <v>VAR_ncap</v>
          </cell>
          <cell r="D265" t="str">
            <v>-</v>
          </cell>
          <cell r="I265">
            <v>3.73228859141098E-6</v>
          </cell>
          <cell r="J265">
            <v>2.7186097648604402E-6</v>
          </cell>
          <cell r="K265">
            <v>4.5094709644119798E-6</v>
          </cell>
        </row>
        <row r="266">
          <cell r="B266" t="str">
            <v>G-INTC-IND</v>
          </cell>
          <cell r="C266" t="str">
            <v>VAR_cap</v>
          </cell>
          <cell r="D266" t="str">
            <v>-</v>
          </cell>
          <cell r="I266">
            <v>4.4927452604402731</v>
          </cell>
          <cell r="J266">
            <v>4.4927494029077613</v>
          </cell>
          <cell r="K266">
            <v>4.492754149382959</v>
          </cell>
        </row>
        <row r="267">
          <cell r="B267" t="str">
            <v>D-IH2R</v>
          </cell>
          <cell r="C267" t="str">
            <v>VAR_fout</v>
          </cell>
          <cell r="D267" t="str">
            <v>IH2</v>
          </cell>
          <cell r="I267">
            <v>7.8374680449933241</v>
          </cell>
          <cell r="J267">
            <v>9.937127298277888</v>
          </cell>
          <cell r="K267">
            <v>8.3232699873795166</v>
          </cell>
        </row>
        <row r="268">
          <cell r="B268" t="str">
            <v>D-IH2R</v>
          </cell>
          <cell r="C268" t="str">
            <v>VAR_fin</v>
          </cell>
          <cell r="D268" t="str">
            <v>H2</v>
          </cell>
          <cell r="I268">
            <v>7.8374680449933241</v>
          </cell>
          <cell r="J268">
            <v>9.937127298277888</v>
          </cell>
          <cell r="K268">
            <v>8.3232699873795166</v>
          </cell>
        </row>
        <row r="269">
          <cell r="B269" t="str">
            <v>D-IH2R</v>
          </cell>
          <cell r="C269" t="str">
            <v>VAR_ncap</v>
          </cell>
          <cell r="D269" t="str">
            <v>-</v>
          </cell>
          <cell r="I269">
            <v>0.28169826144194798</v>
          </cell>
          <cell r="J269">
            <v>0.43019364803086002</v>
          </cell>
          <cell r="K269">
            <v>0.145912091581443</v>
          </cell>
        </row>
        <row r="270">
          <cell r="B270" t="str">
            <v>D-IH2R</v>
          </cell>
          <cell r="C270" t="str">
            <v>VAR_cap</v>
          </cell>
          <cell r="D270" t="str">
            <v>-</v>
          </cell>
          <cell r="I270">
            <v>0.281698806783172</v>
          </cell>
          <cell r="J270">
            <v>0.48008858587675701</v>
          </cell>
          <cell r="K270">
            <v>0.29326255624647002</v>
          </cell>
        </row>
        <row r="271">
          <cell r="B271" t="str">
            <v>ESOL-PV_E</v>
          </cell>
          <cell r="C271" t="str">
            <v>VAR_fout</v>
          </cell>
          <cell r="D271" t="str">
            <v>CELC_E</v>
          </cell>
          <cell r="I271">
            <v>1.0090806725312034E-4</v>
          </cell>
          <cell r="J271">
            <v>23.056843049362193</v>
          </cell>
          <cell r="K271">
            <v>23.056854884286889</v>
          </cell>
        </row>
        <row r="272">
          <cell r="B272" t="str">
            <v>ESOL-PV_E</v>
          </cell>
          <cell r="C272" t="str">
            <v>VAR_fin</v>
          </cell>
          <cell r="D272" t="str">
            <v>SOL</v>
          </cell>
          <cell r="I272">
            <v>1.0090806725312034E-4</v>
          </cell>
          <cell r="J272">
            <v>23.056843049362193</v>
          </cell>
          <cell r="K272">
            <v>23.056854884286889</v>
          </cell>
        </row>
        <row r="273">
          <cell r="B273" t="str">
            <v>ESOL-PV_E</v>
          </cell>
          <cell r="C273" t="str">
            <v>VAR_fin</v>
          </cell>
          <cell r="D273" t="str">
            <v>SOLPVC</v>
          </cell>
          <cell r="I273">
            <v>1.0090806725312E-4</v>
          </cell>
          <cell r="J273">
            <v>23.0568430493622</v>
          </cell>
          <cell r="K273">
            <v>23.056854884286899</v>
          </cell>
        </row>
        <row r="274">
          <cell r="B274" t="str">
            <v>ESOL-PV_E</v>
          </cell>
          <cell r="C274" t="str">
            <v>VAR_ncap</v>
          </cell>
          <cell r="D274" t="str">
            <v>-</v>
          </cell>
          <cell r="I274">
            <v>9.9064842467409503E-6</v>
          </cell>
          <cell r="J274">
            <v>6.6465866614209803</v>
          </cell>
          <cell r="K274">
            <v>4.42870177504669E-6</v>
          </cell>
        </row>
        <row r="275">
          <cell r="B275" t="str">
            <v>ESOL-PV_E</v>
          </cell>
          <cell r="C275" t="str">
            <v>VAR_cap</v>
          </cell>
          <cell r="D275" t="str">
            <v>-</v>
          </cell>
          <cell r="I275">
            <v>2.90981224499651E-5</v>
          </cell>
          <cell r="J275">
            <v>6.6466157595434296</v>
          </cell>
          <cell r="K275">
            <v>6.6466201882452101</v>
          </cell>
        </row>
        <row r="276">
          <cell r="B276" t="str">
            <v>EWSTINC</v>
          </cell>
          <cell r="C276" t="str">
            <v>VAR_fout</v>
          </cell>
          <cell r="D276" t="str">
            <v>ELC35</v>
          </cell>
          <cell r="I276">
            <v>7.4918631539825533</v>
          </cell>
          <cell r="J276">
            <v>5.4622476169491501</v>
          </cell>
          <cell r="K276">
            <v>2.5561314129188008E-3</v>
          </cell>
        </row>
        <row r="277">
          <cell r="B277" t="str">
            <v>EWSTINC</v>
          </cell>
          <cell r="C277" t="str">
            <v>VAR_fout</v>
          </cell>
          <cell r="D277" t="str">
            <v>CO2_E</v>
          </cell>
          <cell r="I277">
            <v>1944.97517358706</v>
          </cell>
          <cell r="J277">
            <v>1418.0632759293901</v>
          </cell>
          <cell r="K277">
            <v>0.66360156831084904</v>
          </cell>
        </row>
        <row r="278">
          <cell r="B278" t="str">
            <v>EWSTINC</v>
          </cell>
          <cell r="C278" t="str">
            <v>VAR_fin</v>
          </cell>
          <cell r="D278" t="str">
            <v>EWST</v>
          </cell>
          <cell r="I278">
            <v>20.958784198136431</v>
          </cell>
          <cell r="J278">
            <v>15.28085426648048</v>
          </cell>
          <cell r="K278">
            <v>7.150878968866908E-3</v>
          </cell>
        </row>
        <row r="279">
          <cell r="B279" t="str">
            <v>EWSTINC</v>
          </cell>
          <cell r="C279" t="str">
            <v>VAR_ncap</v>
          </cell>
          <cell r="D279" t="str">
            <v>-</v>
          </cell>
          <cell r="I279">
            <v>7.6090234114611605E-2</v>
          </cell>
          <cell r="J279">
            <v>7.3239350054763404E-8</v>
          </cell>
          <cell r="K279">
            <v>5.4027971944295199E-8</v>
          </cell>
        </row>
        <row r="280">
          <cell r="B280" t="str">
            <v>EWSTINC</v>
          </cell>
          <cell r="C280" t="str">
            <v>VAR_cap</v>
          </cell>
          <cell r="D280" t="str">
            <v>-</v>
          </cell>
          <cell r="I280">
            <v>0.27948885925981187</v>
          </cell>
          <cell r="J280">
            <v>0.2177846760961859</v>
          </cell>
          <cell r="K280">
            <v>1.576116429677088E-4</v>
          </cell>
        </row>
        <row r="281">
          <cell r="B281" t="str">
            <v>D-IBIO</v>
          </cell>
          <cell r="C281" t="str">
            <v>VAR_fout</v>
          </cell>
          <cell r="D281" t="str">
            <v>IBIO</v>
          </cell>
          <cell r="I281">
            <v>2.6601921377869875</v>
          </cell>
          <cell r="J281">
            <v>2.6601994510599067</v>
          </cell>
          <cell r="K281">
            <v>5.4553533771495308</v>
          </cell>
        </row>
        <row r="282">
          <cell r="B282" t="str">
            <v>D-IBIO</v>
          </cell>
          <cell r="C282" t="str">
            <v>VAR_fin</v>
          </cell>
          <cell r="D282" t="str">
            <v>BIO</v>
          </cell>
          <cell r="I282">
            <v>2.6601921377869875</v>
          </cell>
          <cell r="J282">
            <v>2.6601994510599067</v>
          </cell>
          <cell r="K282">
            <v>5.4553533771495308</v>
          </cell>
        </row>
        <row r="283">
          <cell r="B283" t="str">
            <v>D-EWOD</v>
          </cell>
          <cell r="C283" t="str">
            <v>VAR_fout</v>
          </cell>
          <cell r="D283" t="str">
            <v>EWOD</v>
          </cell>
          <cell r="I283">
            <v>5.6497346350041084</v>
          </cell>
          <cell r="J283">
            <v>6.0218878504003284</v>
          </cell>
          <cell r="K283">
            <v>11.561929255500328</v>
          </cell>
        </row>
        <row r="284">
          <cell r="B284" t="str">
            <v>D-EWOD</v>
          </cell>
          <cell r="C284" t="str">
            <v>VAR_fin</v>
          </cell>
          <cell r="D284" t="str">
            <v>WOD</v>
          </cell>
          <cell r="I284">
            <v>5.6497346350041084</v>
          </cell>
          <cell r="J284">
            <v>6.0218878504003284</v>
          </cell>
          <cell r="K284">
            <v>11.561929255500328</v>
          </cell>
        </row>
        <row r="285">
          <cell r="B285" t="str">
            <v>HPLWOD</v>
          </cell>
          <cell r="C285" t="str">
            <v>VAR_fout</v>
          </cell>
          <cell r="D285" t="str">
            <v>LTH</v>
          </cell>
          <cell r="I285">
            <v>2.7433684906792566</v>
          </cell>
          <cell r="J285">
            <v>2.1352371226919304</v>
          </cell>
          <cell r="K285">
            <v>2.4202094847437596</v>
          </cell>
        </row>
        <row r="286">
          <cell r="B286" t="str">
            <v>HPLWOD</v>
          </cell>
          <cell r="C286" t="str">
            <v>VAR_fin</v>
          </cell>
          <cell r="D286" t="str">
            <v>EWOD</v>
          </cell>
          <cell r="I286">
            <v>3.9190978438275081</v>
          </cell>
          <cell r="J286">
            <v>3.050338746702757</v>
          </cell>
          <cell r="K286">
            <v>3.4574421210625164</v>
          </cell>
        </row>
        <row r="287">
          <cell r="B287" t="str">
            <v>HPLWOD</v>
          </cell>
          <cell r="C287" t="str">
            <v>VAR_ncap</v>
          </cell>
          <cell r="D287" t="str">
            <v>-</v>
          </cell>
          <cell r="I287">
            <v>6.43683852707453E-6</v>
          </cell>
          <cell r="J287">
            <v>2.4419985999480399E-2</v>
          </cell>
          <cell r="K287">
            <v>0.32923808823171502</v>
          </cell>
        </row>
        <row r="288">
          <cell r="B288" t="str">
            <v>HPLWOD</v>
          </cell>
          <cell r="C288" t="str">
            <v>VAR_cap</v>
          </cell>
          <cell r="D288" t="str">
            <v>-</v>
          </cell>
          <cell r="I288">
            <v>0.44936632017558198</v>
          </cell>
          <cell r="J288">
            <v>0.27087011957762402</v>
          </cell>
          <cell r="K288">
            <v>0.38934326227814903</v>
          </cell>
        </row>
        <row r="289">
          <cell r="B289" t="str">
            <v>ENGA-GTCC</v>
          </cell>
          <cell r="C289" t="str">
            <v>VAR_fout</v>
          </cell>
          <cell r="D289" t="str">
            <v>ELC13</v>
          </cell>
          <cell r="I289"/>
          <cell r="J289">
            <v>1.1173463836200557E-5</v>
          </cell>
          <cell r="K289">
            <v>3.4672935056736282E-3</v>
          </cell>
        </row>
        <row r="290">
          <cell r="B290" t="str">
            <v>ENGA-GTCC</v>
          </cell>
          <cell r="C290" t="str">
            <v>VAR_fout</v>
          </cell>
          <cell r="D290" t="str">
            <v>CO2_E</v>
          </cell>
          <cell r="I290"/>
          <cell r="J290">
            <v>1.4453215516718799E-3</v>
          </cell>
          <cell r="K290">
            <v>0.343268109885289</v>
          </cell>
        </row>
        <row r="291">
          <cell r="B291" t="str">
            <v>ENGA-GTCC</v>
          </cell>
          <cell r="C291" t="str">
            <v>VAR_fin</v>
          </cell>
          <cell r="D291" t="str">
            <v>ENGA</v>
          </cell>
          <cell r="I291"/>
          <cell r="J291">
            <v>2.562626864666452E-5</v>
          </cell>
          <cell r="K291">
            <v>6.0863140050583225E-3</v>
          </cell>
        </row>
        <row r="292">
          <cell r="B292" t="str">
            <v>ENGA-GTCC</v>
          </cell>
          <cell r="C292" t="str">
            <v>VAR_fin</v>
          </cell>
          <cell r="D292" t="str">
            <v>GTC</v>
          </cell>
          <cell r="I292"/>
          <cell r="J292">
            <v>4.7822167191112297E-6</v>
          </cell>
          <cell r="K292">
            <v>4.4335545504898074E-4</v>
          </cell>
        </row>
        <row r="293">
          <cell r="B293" t="str">
            <v>ENGA-GTCC</v>
          </cell>
          <cell r="C293" t="str">
            <v>VAR_ncap</v>
          </cell>
          <cell r="D293" t="str">
            <v>-</v>
          </cell>
          <cell r="I293"/>
          <cell r="J293">
            <v>9.9321410871788093E-6</v>
          </cell>
          <cell r="K293">
            <v>5.8611485428167003E-4</v>
          </cell>
        </row>
        <row r="294">
          <cell r="B294" t="str">
            <v>ENGA-GTCC</v>
          </cell>
          <cell r="C294" t="str">
            <v>VAR_cap</v>
          </cell>
          <cell r="D294" t="str">
            <v>-</v>
          </cell>
          <cell r="I294"/>
          <cell r="J294">
            <v>4.7822167191112297E-6</v>
          </cell>
          <cell r="K294">
            <v>4.4335545504897998E-4</v>
          </cell>
        </row>
        <row r="295">
          <cell r="B295" t="str">
            <v>D-SNGA</v>
          </cell>
          <cell r="C295" t="str">
            <v>VAR_fout</v>
          </cell>
          <cell r="D295" t="str">
            <v>CO2</v>
          </cell>
          <cell r="I295">
            <v>801.67149733091003</v>
          </cell>
          <cell r="J295">
            <v>553.36994414510104</v>
          </cell>
          <cell r="K295">
            <v>314.99224641692302</v>
          </cell>
        </row>
        <row r="296">
          <cell r="B296" t="str">
            <v>D-SNGA</v>
          </cell>
          <cell r="C296" t="str">
            <v>VAR_fout</v>
          </cell>
          <cell r="D296" t="str">
            <v>SNGA</v>
          </cell>
          <cell r="I296">
            <v>15.481218295160835</v>
          </cell>
          <cell r="J296">
            <v>11.245149655939198</v>
          </cell>
          <cell r="K296">
            <v>7.2063658260693435</v>
          </cell>
        </row>
        <row r="297">
          <cell r="B297" t="str">
            <v>D-SNGA</v>
          </cell>
          <cell r="C297" t="str">
            <v>VAR_fout</v>
          </cell>
          <cell r="D297" t="str">
            <v>RSH2</v>
          </cell>
          <cell r="I297">
            <v>2.908835965689163E-3</v>
          </cell>
          <cell r="J297">
            <v>9.1968886077066995E-3</v>
          </cell>
          <cell r="K297">
            <v>3.6763929043969459E-3</v>
          </cell>
        </row>
        <row r="298">
          <cell r="B298" t="str">
            <v>D-SNGA</v>
          </cell>
          <cell r="C298" t="str">
            <v>VAR_fin</v>
          </cell>
          <cell r="D298" t="str">
            <v>NGA</v>
          </cell>
          <cell r="I298">
            <v>14.214033640618968</v>
          </cell>
          <cell r="J298">
            <v>9.8115238323599403</v>
          </cell>
          <cell r="K298">
            <v>5.5849689081014624</v>
          </cell>
        </row>
        <row r="299">
          <cell r="B299" t="str">
            <v>D-SNGA</v>
          </cell>
          <cell r="C299" t="str">
            <v>VAR_fin</v>
          </cell>
          <cell r="D299" t="str">
            <v>BNGA</v>
          </cell>
          <cell r="I299">
            <v>1.3166656893030941</v>
          </cell>
          <cell r="J299">
            <v>1.4695943097312512</v>
          </cell>
          <cell r="K299">
            <v>1.64460912297827</v>
          </cell>
        </row>
        <row r="300">
          <cell r="B300" t="str">
            <v>D-SNGA</v>
          </cell>
          <cell r="C300" t="str">
            <v>VAR_fin</v>
          </cell>
          <cell r="D300" t="str">
            <v>H2</v>
          </cell>
          <cell r="I300">
            <v>2.9060251706949313E-3</v>
          </cell>
          <cell r="J300">
            <v>9.1896925757614205E-3</v>
          </cell>
          <cell r="K300">
            <v>3.6702511659645709E-3</v>
          </cell>
        </row>
        <row r="301">
          <cell r="B301" t="str">
            <v>D-SNGA</v>
          </cell>
          <cell r="C301" t="str">
            <v>VAR_ncap</v>
          </cell>
          <cell r="D301" t="str">
            <v>-</v>
          </cell>
          <cell r="I301">
            <v>6.5183483080573202E-7</v>
          </cell>
          <cell r="J301">
            <v>6.40883126133821E-7</v>
          </cell>
          <cell r="K301">
            <v>1.6523443534709699E-6</v>
          </cell>
        </row>
        <row r="302">
          <cell r="B302" t="str">
            <v>D-SNGA</v>
          </cell>
          <cell r="C302" t="str">
            <v>VAR_cap</v>
          </cell>
          <cell r="D302" t="str">
            <v>-</v>
          </cell>
          <cell r="I302">
            <v>2.2350561289921833</v>
          </cell>
          <cell r="J302">
            <v>2.2350567698753094</v>
          </cell>
          <cell r="K302">
            <v>1.1208967230833826</v>
          </cell>
        </row>
        <row r="303">
          <cell r="B303" t="str">
            <v>RHES-CHPWOD</v>
          </cell>
          <cell r="C303" t="str">
            <v>VAR_fout</v>
          </cell>
          <cell r="D303" t="str">
            <v>RHES_KEV_WOD_ELC_CHP</v>
          </cell>
          <cell r="I303">
            <v>1.3055076884234012E-3</v>
          </cell>
          <cell r="J303">
            <v>1.4498086495855727E-3</v>
          </cell>
          <cell r="K303">
            <v>5.6476682538790545E-4</v>
          </cell>
        </row>
        <row r="304">
          <cell r="B304" t="str">
            <v>RHES-CHPWOD</v>
          </cell>
          <cell r="C304" t="str">
            <v>VAR_fout</v>
          </cell>
          <cell r="D304" t="str">
            <v>RHES_LTH_CHPWOD</v>
          </cell>
          <cell r="I304">
            <v>3.4514902963120242E-3</v>
          </cell>
          <cell r="J304">
            <v>3.7521271597967571E-3</v>
          </cell>
          <cell r="K304">
            <v>1.4036242576782585E-3</v>
          </cell>
        </row>
        <row r="305">
          <cell r="B305" t="str">
            <v>RHES-CHPWOD</v>
          </cell>
          <cell r="C305" t="str">
            <v>VAR_fin</v>
          </cell>
          <cell r="D305" t="str">
            <v>RWOD</v>
          </cell>
          <cell r="I305">
            <v>6.6254212143585772E-3</v>
          </cell>
          <cell r="J305">
            <v>6.2961184929683674E-3</v>
          </cell>
          <cell r="K305">
            <v>2.7205289213187208E-3</v>
          </cell>
        </row>
        <row r="306">
          <cell r="B306" t="str">
            <v>RHES-CHPWOD</v>
          </cell>
          <cell r="C306" t="str">
            <v>VAR_ncap</v>
          </cell>
          <cell r="D306" t="str">
            <v>-</v>
          </cell>
          <cell r="I306">
            <v>5.5466327715203702E-5</v>
          </cell>
          <cell r="J306">
            <v>3.2004658570163702E-5</v>
          </cell>
          <cell r="K306">
            <v>3.48676372294667E-6</v>
          </cell>
        </row>
        <row r="307">
          <cell r="B307" t="str">
            <v>RHES-CHPWOD</v>
          </cell>
          <cell r="C307" t="str">
            <v>VAR_cap</v>
          </cell>
          <cell r="D307" t="str">
            <v>-</v>
          </cell>
          <cell r="I307">
            <v>1.1608033352125285E-4</v>
          </cell>
          <cell r="J307">
            <v>1.2881542435969214E-4</v>
          </cell>
          <cell r="K307">
            <v>5.0127572382072664E-5</v>
          </cell>
        </row>
        <row r="308">
          <cell r="B308" t="str">
            <v>G-INTC-RES</v>
          </cell>
          <cell r="C308" t="str">
            <v>VAR_fout</v>
          </cell>
          <cell r="D308" t="str">
            <v>RHNS_ELC</v>
          </cell>
          <cell r="I308">
            <v>10.746369276763375</v>
          </cell>
          <cell r="J308">
            <v>10.398595536143825</v>
          </cell>
          <cell r="K308">
            <v>9.2577702806814504</v>
          </cell>
        </row>
        <row r="309">
          <cell r="B309" t="str">
            <v>G-INTC-RES</v>
          </cell>
          <cell r="C309" t="str">
            <v>VAR_fout</v>
          </cell>
          <cell r="D309" t="str">
            <v>ELC35</v>
          </cell>
          <cell r="I309">
            <v>1.9366115664113772E-3</v>
          </cell>
          <cell r="J309">
            <v>3.377608321419262E-2</v>
          </cell>
          <cell r="K309">
            <v>4.6848333546004551E-3</v>
          </cell>
        </row>
        <row r="310">
          <cell r="B310" t="str">
            <v>G-INTC-RES</v>
          </cell>
          <cell r="C310" t="str">
            <v>VAR_fout</v>
          </cell>
          <cell r="D310" t="str">
            <v>RHES_ELC</v>
          </cell>
          <cell r="I310">
            <v>14.867554143867642</v>
          </cell>
          <cell r="J310">
            <v>14.521314039596152</v>
          </cell>
          <cell r="K310">
            <v>12.366944367260079</v>
          </cell>
        </row>
        <row r="311">
          <cell r="B311" t="str">
            <v>G-INTC-RES</v>
          </cell>
          <cell r="C311" t="str">
            <v>VAR_fout</v>
          </cell>
          <cell r="D311" t="str">
            <v>RHNM_ELC</v>
          </cell>
          <cell r="I311">
            <v>11.424740267732314</v>
          </cell>
          <cell r="J311">
            <v>11.045501010833993</v>
          </cell>
          <cell r="K311">
            <v>10.022329229376572</v>
          </cell>
        </row>
        <row r="312">
          <cell r="B312" t="str">
            <v>G-INTC-RES</v>
          </cell>
          <cell r="C312" t="str">
            <v>VAR_fout</v>
          </cell>
          <cell r="D312" t="str">
            <v>RHEM_ELC</v>
          </cell>
          <cell r="I312">
            <v>13.682431742765136</v>
          </cell>
          <cell r="J312">
            <v>13.780932755020784</v>
          </cell>
          <cell r="K312">
            <v>12.391281801446194</v>
          </cell>
        </row>
        <row r="313">
          <cell r="B313" t="str">
            <v>G-INTC-RES</v>
          </cell>
          <cell r="C313" t="str">
            <v>VAR_fin</v>
          </cell>
          <cell r="D313" t="str">
            <v>ELC5</v>
          </cell>
          <cell r="I313">
            <v>50.723032042694861</v>
          </cell>
          <cell r="J313">
            <v>49.780092056254858</v>
          </cell>
          <cell r="K313">
            <v>44.042981819399422</v>
          </cell>
        </row>
        <row r="314">
          <cell r="B314" t="str">
            <v>G-INTC-RES</v>
          </cell>
          <cell r="C314" t="str">
            <v>VAR_ncap</v>
          </cell>
          <cell r="D314" t="str">
            <v>-</v>
          </cell>
          <cell r="I314">
            <v>1.9182071034101699E-7</v>
          </cell>
          <cell r="J314">
            <v>2.6138362909472402E-7</v>
          </cell>
          <cell r="K314">
            <v>4.6205491298489001E-7</v>
          </cell>
        </row>
        <row r="315">
          <cell r="B315" t="str">
            <v>G-INTC-RES</v>
          </cell>
          <cell r="C315" t="str">
            <v>VAR_cap</v>
          </cell>
          <cell r="D315" t="str">
            <v>-</v>
          </cell>
          <cell r="I315">
            <v>4.3300930641982474</v>
          </cell>
          <cell r="J315">
            <v>4.3300933356784448</v>
          </cell>
          <cell r="K315">
            <v>4.3300938131127289</v>
          </cell>
        </row>
        <row r="316">
          <cell r="B316" t="str">
            <v>SCOM-CHPNGA</v>
          </cell>
          <cell r="C316" t="str">
            <v>VAR_fout</v>
          </cell>
          <cell r="D316" t="str">
            <v>CO2_S</v>
          </cell>
          <cell r="I316">
            <v>1.0482561215947701</v>
          </cell>
          <cell r="J316">
            <v>0.185520016486489</v>
          </cell>
          <cell r="K316"/>
        </row>
        <row r="317">
          <cell r="B317" t="str">
            <v>SCOM-CHPNGA</v>
          </cell>
          <cell r="C317" t="str">
            <v>VAR_fout</v>
          </cell>
          <cell r="D317" t="str">
            <v>SCOM_NKEV_GAS_ELC_CHP</v>
          </cell>
          <cell r="I317">
            <v>5.7739269865047221E-3</v>
          </cell>
          <cell r="J317">
            <v>1.0811952019520118E-3</v>
          </cell>
          <cell r="K317"/>
        </row>
        <row r="318">
          <cell r="B318" t="str">
            <v>SCOM-CHPNGA</v>
          </cell>
          <cell r="C318" t="str">
            <v>VAR_fout</v>
          </cell>
          <cell r="D318" t="str">
            <v>SCOM_LTH_CHPNGA</v>
          </cell>
          <cell r="I318">
            <v>8.1775735837831837E-3</v>
          </cell>
          <cell r="J318">
            <v>1.6217928029280187E-3</v>
          </cell>
          <cell r="K318"/>
        </row>
        <row r="319">
          <cell r="B319" t="str">
            <v>SCOM-CHPNGA</v>
          </cell>
          <cell r="C319" t="str">
            <v>VAR_fin</v>
          </cell>
          <cell r="D319" t="str">
            <v>SNGA</v>
          </cell>
          <cell r="I319">
            <v>1.8586101446715884E-2</v>
          </cell>
          <cell r="J319">
            <v>3.2893619944413038E-3</v>
          </cell>
          <cell r="K319"/>
        </row>
        <row r="320">
          <cell r="B320" t="str">
            <v>SCOM-CHPNGA</v>
          </cell>
          <cell r="C320" t="str">
            <v>VAR_ncap</v>
          </cell>
          <cell r="D320" t="str">
            <v>-</v>
          </cell>
          <cell r="I320"/>
          <cell r="J320"/>
          <cell r="K320"/>
        </row>
        <row r="321">
          <cell r="B321" t="str">
            <v>SCOM-CHPNGA</v>
          </cell>
          <cell r="C321" t="str">
            <v>VAR_cap</v>
          </cell>
          <cell r="D321" t="str">
            <v>-</v>
          </cell>
          <cell r="I321">
            <v>3.3874997631213807E-4</v>
          </cell>
          <cell r="J321">
            <v>1.7492768542590013E-4</v>
          </cell>
          <cell r="K321"/>
        </row>
        <row r="322">
          <cell r="B322" t="str">
            <v>D-IPLT</v>
          </cell>
          <cell r="C322" t="str">
            <v>VAR_fout</v>
          </cell>
          <cell r="D322" t="str">
            <v>IPLT</v>
          </cell>
          <cell r="I322">
            <v>0.73330798148505627</v>
          </cell>
          <cell r="J322">
            <v>0.73127015257346017</v>
          </cell>
          <cell r="K322">
            <v>0.72723668647780715</v>
          </cell>
        </row>
        <row r="323">
          <cell r="B323" t="str">
            <v>D-IPLT</v>
          </cell>
          <cell r="C323" t="str">
            <v>VAR_fin</v>
          </cell>
          <cell r="D323" t="str">
            <v>PLT</v>
          </cell>
          <cell r="I323">
            <v>0.73330798148505627</v>
          </cell>
          <cell r="J323">
            <v>0.73127015257346017</v>
          </cell>
          <cell r="K323">
            <v>0.72723668647780715</v>
          </cell>
        </row>
        <row r="324">
          <cell r="B324" t="str">
            <v>LTH-STG</v>
          </cell>
          <cell r="C324" t="str">
            <v>VAR_fout</v>
          </cell>
          <cell r="D324" t="str">
            <v>AUX_LTH-STG_OUT</v>
          </cell>
          <cell r="I324">
            <v>2.552500252575749E-3</v>
          </cell>
          <cell r="J324">
            <v>1.5721294653153037E-3</v>
          </cell>
          <cell r="K324">
            <v>0.34751868062145175</v>
          </cell>
        </row>
        <row r="325">
          <cell r="B325" t="str">
            <v>LTH-STG</v>
          </cell>
          <cell r="C325" t="str">
            <v>VAR_fout</v>
          </cell>
          <cell r="D325" t="str">
            <v>LTH</v>
          </cell>
          <cell r="I325">
            <v>2.5548463006020089E-3</v>
          </cell>
          <cell r="J325">
            <v>1.5721294653152985E-3</v>
          </cell>
          <cell r="K325">
            <v>0.34751868062145141</v>
          </cell>
        </row>
        <row r="326">
          <cell r="B326" t="str">
            <v>LTH-STG</v>
          </cell>
          <cell r="C326" t="str">
            <v>VAR_fin</v>
          </cell>
          <cell r="D326" t="str">
            <v>AUX_LTH-STG_IN</v>
          </cell>
          <cell r="I326">
            <v>3.1003915970915993E-3</v>
          </cell>
          <cell r="J326">
            <v>1.851376164010823E-3</v>
          </cell>
          <cell r="K326">
            <v>0.38613320325998068</v>
          </cell>
        </row>
        <row r="327">
          <cell r="B327" t="str">
            <v>LTH-STG</v>
          </cell>
          <cell r="C327" t="str">
            <v>VAR_fin</v>
          </cell>
          <cell r="D327" t="str">
            <v>LTH</v>
          </cell>
          <cell r="I327">
            <v>3.1003915970915993E-3</v>
          </cell>
          <cell r="J327">
            <v>1.851376164010823E-3</v>
          </cell>
          <cell r="K327">
            <v>0.38613320325998068</v>
          </cell>
        </row>
        <row r="328">
          <cell r="B328" t="str">
            <v>LTH-STG</v>
          </cell>
          <cell r="C328" t="str">
            <v>VAR_ncap</v>
          </cell>
          <cell r="D328" t="str">
            <v>-</v>
          </cell>
          <cell r="I328">
            <v>7.1315877870910802E-5</v>
          </cell>
          <cell r="J328">
            <v>6.6199204070024694E-5</v>
          </cell>
          <cell r="K328">
            <v>4.6054663815278299E-2</v>
          </cell>
        </row>
        <row r="329">
          <cell r="B329" t="str">
            <v>LTH-STG</v>
          </cell>
          <cell r="C329" t="str">
            <v>VAR_cap</v>
          </cell>
          <cell r="D329" t="str">
            <v>-</v>
          </cell>
          <cell r="I329">
            <v>3.2823178997347775E-4</v>
          </cell>
          <cell r="J329">
            <v>2.2506494370212602E-4</v>
          </cell>
          <cell r="K329">
            <v>4.6175839579928463E-2</v>
          </cell>
        </row>
        <row r="330">
          <cell r="B330" t="str">
            <v>ITOT-CHPOIL</v>
          </cell>
          <cell r="C330" t="str">
            <v>VAR_fout</v>
          </cell>
          <cell r="D330" t="str">
            <v>ITOT_LTH_CHP</v>
          </cell>
          <cell r="I330">
            <v>0.8211705239078162</v>
          </cell>
          <cell r="J330"/>
          <cell r="K330"/>
        </row>
        <row r="331">
          <cell r="B331" t="str">
            <v>ITOT-CHPOIL</v>
          </cell>
          <cell r="C331" t="str">
            <v>VAR_fout</v>
          </cell>
          <cell r="D331" t="str">
            <v>ITOT_NKEV_OIL_ELC_CHP</v>
          </cell>
          <cell r="I331">
            <v>0.16562554092157006</v>
          </cell>
          <cell r="J331"/>
          <cell r="K331"/>
        </row>
        <row r="332">
          <cell r="B332" t="str">
            <v>ITOT-CHPOIL</v>
          </cell>
          <cell r="C332" t="str">
            <v>VAR_fout</v>
          </cell>
          <cell r="D332" t="str">
            <v>CO2_I</v>
          </cell>
          <cell r="I332">
            <v>46.414187026739199</v>
          </cell>
          <cell r="J332"/>
          <cell r="K332"/>
        </row>
        <row r="333">
          <cell r="B333" t="str">
            <v>ITOT-CHPOIL</v>
          </cell>
          <cell r="C333" t="str">
            <v>VAR_fin</v>
          </cell>
          <cell r="D333" t="str">
            <v>ILFO</v>
          </cell>
          <cell r="I333">
            <v>0.62977187281871416</v>
          </cell>
          <cell r="J333"/>
          <cell r="K333"/>
        </row>
        <row r="334">
          <cell r="B334" t="str">
            <v>ITOT-CHPOIL</v>
          </cell>
          <cell r="C334" t="str">
            <v>VAR_ncap</v>
          </cell>
          <cell r="D334" t="str">
            <v>-</v>
          </cell>
          <cell r="I334"/>
          <cell r="J334"/>
          <cell r="K334"/>
        </row>
        <row r="335">
          <cell r="B335" t="str">
            <v>ITOT-CHPOIL</v>
          </cell>
          <cell r="C335" t="str">
            <v>VAR_cap</v>
          </cell>
          <cell r="D335" t="str">
            <v>-</v>
          </cell>
          <cell r="I335">
            <v>1.0182352996744635E-2</v>
          </cell>
          <cell r="J335"/>
          <cell r="K335"/>
        </row>
        <row r="336">
          <cell r="B336" t="str">
            <v>ENUC_GOE</v>
          </cell>
          <cell r="C336" t="str">
            <v>VAR_fout</v>
          </cell>
          <cell r="D336" t="str">
            <v>ELC</v>
          </cell>
          <cell r="I336"/>
          <cell r="J336"/>
          <cell r="K336"/>
        </row>
        <row r="337">
          <cell r="B337" t="str">
            <v>ENUC_GOE</v>
          </cell>
          <cell r="C337" t="str">
            <v>VAR_fin</v>
          </cell>
          <cell r="D337" t="str">
            <v>URN</v>
          </cell>
          <cell r="I337"/>
          <cell r="J337"/>
          <cell r="K337"/>
        </row>
        <row r="338">
          <cell r="B338" t="str">
            <v>ENUC_GOE</v>
          </cell>
          <cell r="C338" t="str">
            <v>VAR_cap</v>
          </cell>
          <cell r="D338" t="str">
            <v>-</v>
          </cell>
          <cell r="I338"/>
          <cell r="J338"/>
          <cell r="K338"/>
        </row>
        <row r="339">
          <cell r="B339" t="str">
            <v>D-RNGA</v>
          </cell>
          <cell r="C339" t="str">
            <v>VAR_fout</v>
          </cell>
          <cell r="D339" t="str">
            <v>CO2</v>
          </cell>
          <cell r="I339">
            <v>1605.0830776456801</v>
          </cell>
          <cell r="J339">
            <v>1085.0471121682399</v>
          </cell>
          <cell r="K339">
            <v>720.33163203666595</v>
          </cell>
        </row>
        <row r="340">
          <cell r="B340" t="str">
            <v>D-RNGA</v>
          </cell>
          <cell r="C340" t="str">
            <v>VAR_fout</v>
          </cell>
          <cell r="D340" t="str">
            <v>RNGA</v>
          </cell>
          <cell r="I340">
            <v>30.400244733311446</v>
          </cell>
          <cell r="J340">
            <v>21.839540885371584</v>
          </cell>
          <cell r="K340">
            <v>14.838812487140329</v>
          </cell>
        </row>
        <row r="341">
          <cell r="B341" t="str">
            <v>D-RNGA</v>
          </cell>
          <cell r="C341" t="str">
            <v>VAR_fout</v>
          </cell>
          <cell r="D341" t="str">
            <v>RSH2</v>
          </cell>
          <cell r="I341">
            <v>6.4609885456964359E-3</v>
          </cell>
          <cell r="J341">
            <v>2.9158479983927191E-2</v>
          </cell>
          <cell r="K341">
            <v>1.4082332853967736E-2</v>
          </cell>
        </row>
        <row r="342">
          <cell r="B342" t="str">
            <v>D-RNGA</v>
          </cell>
          <cell r="C342" t="str">
            <v>VAR_fin</v>
          </cell>
          <cell r="D342" t="str">
            <v>NGA</v>
          </cell>
          <cell r="I342">
            <v>28.458919816412791</v>
          </cell>
          <cell r="J342">
            <v>19.238423974614133</v>
          </cell>
          <cell r="K342">
            <v>12.771837447458635</v>
          </cell>
        </row>
        <row r="343">
          <cell r="B343" t="str">
            <v>D-RNGA</v>
          </cell>
          <cell r="C343" t="str">
            <v>VAR_fin</v>
          </cell>
          <cell r="D343" t="str">
            <v>BNGA</v>
          </cell>
          <cell r="I343">
            <v>2.0384909218283713</v>
          </cell>
          <cell r="J343">
            <v>2.6709993118078152</v>
          </cell>
          <cell r="K343">
            <v>2.11461363649516</v>
          </cell>
        </row>
        <row r="344">
          <cell r="B344" t="str">
            <v>D-RNGA</v>
          </cell>
          <cell r="C344" t="str">
            <v>VAR_fin</v>
          </cell>
          <cell r="D344" t="str">
            <v>H2</v>
          </cell>
          <cell r="I344">
            <v>6.4581777506996698E-3</v>
          </cell>
          <cell r="J344">
            <v>2.9156385123301813E-2</v>
          </cell>
          <cell r="K344">
            <v>1.4077186813483966E-2</v>
          </cell>
        </row>
        <row r="345">
          <cell r="B345" t="str">
            <v>D-RNGA</v>
          </cell>
          <cell r="C345" t="str">
            <v>VAR_ncap</v>
          </cell>
          <cell r="D345" t="str">
            <v>-</v>
          </cell>
          <cell r="I345">
            <v>1.8341795553737801E-7</v>
          </cell>
          <cell r="J345">
            <v>2.4166088516414899E-7</v>
          </cell>
          <cell r="K345">
            <v>4.44352430015461E-7</v>
          </cell>
        </row>
        <row r="346">
          <cell r="B346" t="str">
            <v>D-RNGA</v>
          </cell>
          <cell r="C346" t="str">
            <v>VAR_cap</v>
          </cell>
          <cell r="D346" t="str">
            <v>-</v>
          </cell>
          <cell r="I346">
            <v>3.0972409467058872</v>
          </cell>
          <cell r="J346">
            <v>3.0972411883667723</v>
          </cell>
          <cell r="K346">
            <v>1.5532838733595022</v>
          </cell>
        </row>
        <row r="347">
          <cell r="B347" t="str">
            <v>ITOT-CHPHFC</v>
          </cell>
          <cell r="C347" t="str">
            <v>VAR_fout</v>
          </cell>
          <cell r="D347" t="str">
            <v>ITOT_LTH_CHP</v>
          </cell>
          <cell r="I347">
            <v>5.4235908955352847E-3</v>
          </cell>
          <cell r="J347">
            <v>0.12914936805496441</v>
          </cell>
          <cell r="K347">
            <v>8.9897835455545305E-2</v>
          </cell>
        </row>
        <row r="348">
          <cell r="B348" t="str">
            <v>ITOT-CHPHFC</v>
          </cell>
          <cell r="C348" t="str">
            <v>VAR_fout</v>
          </cell>
          <cell r="D348" t="str">
            <v>ITOT_KEV_HFC_ELC_CHP</v>
          </cell>
          <cell r="I348">
            <v>8.0500074761318229E-3</v>
          </cell>
          <cell r="J348">
            <v>0.21524894675827408</v>
          </cell>
          <cell r="K348">
            <v>0.17979567091109055</v>
          </cell>
        </row>
        <row r="349">
          <cell r="B349" t="str">
            <v>ITOT-CHPHFC</v>
          </cell>
          <cell r="C349" t="str">
            <v>VAR_fin</v>
          </cell>
          <cell r="D349" t="str">
            <v>IH2</v>
          </cell>
          <cell r="I349">
            <v>1.5406712872979575E-2</v>
          </cell>
          <cell r="J349">
            <v>0.39136172137867981</v>
          </cell>
          <cell r="K349">
            <v>0.29965945151848383</v>
          </cell>
        </row>
        <row r="350">
          <cell r="B350" t="str">
            <v>ITOT-CHPHFC</v>
          </cell>
          <cell r="C350" t="str">
            <v>VAR_ncap</v>
          </cell>
          <cell r="D350" t="str">
            <v>-</v>
          </cell>
          <cell r="I350">
            <v>6.38884001034666E-4</v>
          </cell>
          <cell r="J350">
            <v>2.3313543925237799E-2</v>
          </cell>
          <cell r="K350">
            <v>2.11363661883042E-4</v>
          </cell>
        </row>
        <row r="351">
          <cell r="B351" t="str">
            <v>ITOT-CHPHFC</v>
          </cell>
          <cell r="C351" t="str">
            <v>VAR_cap</v>
          </cell>
          <cell r="D351" t="str">
            <v>-</v>
          </cell>
          <cell r="I351">
            <v>6.38884001034666E-4</v>
          </cell>
          <cell r="J351">
            <v>2.3952347354426893E-2</v>
          </cell>
          <cell r="K351">
            <v>1.7400806312949848E-2</v>
          </cell>
        </row>
        <row r="352">
          <cell r="B352" t="str">
            <v>G-INTC-TRA</v>
          </cell>
          <cell r="C352" t="str">
            <v>VAR_fout</v>
          </cell>
          <cell r="D352" t="str">
            <v>TRAN_ELC</v>
          </cell>
          <cell r="I352">
            <v>40.266249045731463</v>
          </cell>
          <cell r="J352">
            <v>34.150630812810057</v>
          </cell>
          <cell r="K352">
            <v>35.777411848832301</v>
          </cell>
        </row>
        <row r="353">
          <cell r="B353" t="str">
            <v>G-INTC-TRA</v>
          </cell>
          <cell r="C353" t="str">
            <v>VAR_fin</v>
          </cell>
          <cell r="D353" t="str">
            <v>ELC3</v>
          </cell>
          <cell r="I353">
            <v>40.15191498873773</v>
          </cell>
          <cell r="J353">
            <v>17.828638144922913</v>
          </cell>
          <cell r="K353">
            <v>16.416850373673054</v>
          </cell>
        </row>
        <row r="354">
          <cell r="B354" t="str">
            <v>G-INTC-TRA</v>
          </cell>
          <cell r="C354" t="str">
            <v>VAR_fin</v>
          </cell>
          <cell r="D354" t="str">
            <v>ELC5</v>
          </cell>
          <cell r="I354">
            <v>0.11433405699372989</v>
          </cell>
          <cell r="J354">
            <v>16.321992667887145</v>
          </cell>
          <cell r="K354">
            <v>19.360561475159244</v>
          </cell>
        </row>
        <row r="355">
          <cell r="B355" t="str">
            <v>G-INTC-TRA</v>
          </cell>
          <cell r="C355" t="str">
            <v>VAR_ncap</v>
          </cell>
          <cell r="D355" t="str">
            <v>-</v>
          </cell>
          <cell r="I355">
            <v>4.3944347988958898E-6</v>
          </cell>
          <cell r="J355">
            <v>5.6232057116774204E-6</v>
          </cell>
          <cell r="K355">
            <v>8.8706299078026804E-5</v>
          </cell>
        </row>
        <row r="356">
          <cell r="B356" t="str">
            <v>G-INTC-TRA</v>
          </cell>
          <cell r="C356" t="str">
            <v>VAR_cap</v>
          </cell>
          <cell r="D356" t="str">
            <v>-</v>
          </cell>
          <cell r="I356">
            <v>1.2915650172733211</v>
          </cell>
          <cell r="J356">
            <v>1.291571060961382</v>
          </cell>
          <cell r="K356">
            <v>1.291639616122644</v>
          </cell>
        </row>
        <row r="357">
          <cell r="B357" t="str">
            <v>SCOM-SWHSTG-CHPBIO</v>
          </cell>
          <cell r="C357" t="str">
            <v>VAR_fout</v>
          </cell>
          <cell r="D357" t="str">
            <v>AUX_SCOM-CHPBIO_OUT</v>
          </cell>
          <cell r="I357">
            <v>10.472988561980976</v>
          </cell>
          <cell r="J357">
            <v>13.364719549485148</v>
          </cell>
          <cell r="K357">
            <v>99.587944594080597</v>
          </cell>
        </row>
        <row r="358">
          <cell r="B358" t="str">
            <v>SCOM-SWHSTG-CHPBIO</v>
          </cell>
          <cell r="C358" t="str">
            <v>VAR_fout</v>
          </cell>
          <cell r="D358" t="str">
            <v>SCOM_LTH_CHPBIO</v>
          </cell>
          <cell r="I358">
            <v>10.484638159936454</v>
          </cell>
          <cell r="J358">
            <v>13.364719549485134</v>
          </cell>
          <cell r="K358">
            <v>99.587944594080582</v>
          </cell>
        </row>
        <row r="359">
          <cell r="B359" t="str">
            <v>SCOM-SWHSTG-CHPBIO</v>
          </cell>
          <cell r="C359" t="str">
            <v>VAR_fin</v>
          </cell>
          <cell r="D359" t="str">
            <v>SCOM_LTH_CHPBIO</v>
          </cell>
          <cell r="I359">
            <v>11.649591182799204</v>
          </cell>
          <cell r="J359">
            <v>14.370662157725048</v>
          </cell>
          <cell r="K359">
            <v>100.59388751163686</v>
          </cell>
        </row>
        <row r="360">
          <cell r="B360" t="str">
            <v>SCOM-SWHSTG-CHPBIO</v>
          </cell>
          <cell r="C360" t="str">
            <v>VAR_fin</v>
          </cell>
          <cell r="D360" t="str">
            <v>AUX_SCOM-CHPBIO_IN</v>
          </cell>
          <cell r="I360">
            <v>11.649591182799204</v>
          </cell>
          <cell r="J360">
            <v>14.370662157725048</v>
          </cell>
          <cell r="K360">
            <v>100.59388751163686</v>
          </cell>
        </row>
        <row r="361">
          <cell r="B361" t="str">
            <v>SCOM-SWHSTG-CHPBIO</v>
          </cell>
          <cell r="C361" t="str">
            <v>VAR_ncap</v>
          </cell>
          <cell r="D361" t="str">
            <v>-</v>
          </cell>
          <cell r="I361">
            <v>0.103479745587251</v>
          </cell>
          <cell r="J361">
            <v>0.59936382403159605</v>
          </cell>
          <cell r="K361">
            <v>5.7095019373057596</v>
          </cell>
        </row>
        <row r="362">
          <cell r="B362" t="str">
            <v>SCOM-SWHSTG-CHPBIO</v>
          </cell>
          <cell r="C362" t="str">
            <v>VAR_cap</v>
          </cell>
          <cell r="D362" t="str">
            <v>-</v>
          </cell>
          <cell r="I362">
            <v>0.65545053368764972</v>
          </cell>
          <cell r="J362">
            <v>0.83392524345782038</v>
          </cell>
          <cell r="K362">
            <v>6.18823582458886</v>
          </cell>
        </row>
        <row r="363">
          <cell r="B363" t="str">
            <v>SCOM-SWHSTG-CHPHFC</v>
          </cell>
          <cell r="C363" t="str">
            <v>VAR_fout</v>
          </cell>
          <cell r="D363" t="str">
            <v>AUX_SCOM-CHPHFC_OUT</v>
          </cell>
          <cell r="I363">
            <v>3.2286180523275691E-2</v>
          </cell>
          <cell r="J363">
            <v>0.1762768751743912</v>
          </cell>
          <cell r="K363">
            <v>0.58892695406077755</v>
          </cell>
        </row>
        <row r="364">
          <cell r="B364" t="str">
            <v>SCOM-SWHSTG-CHPHFC</v>
          </cell>
          <cell r="C364" t="str">
            <v>VAR_fout</v>
          </cell>
          <cell r="D364" t="str">
            <v>SCOM_LTH_CHPHFC</v>
          </cell>
          <cell r="I364">
            <v>3.2322093961010087E-2</v>
          </cell>
          <cell r="J364">
            <v>0.17627687517439097</v>
          </cell>
          <cell r="K364">
            <v>0.58892695406077755</v>
          </cell>
        </row>
        <row r="365">
          <cell r="B365" t="str">
            <v>SCOM-SWHSTG-CHPHFC</v>
          </cell>
          <cell r="C365" t="str">
            <v>VAR_fin</v>
          </cell>
          <cell r="D365" t="str">
            <v>SCOM_LTH_CHPHFC</v>
          </cell>
          <cell r="I365">
            <v>3.5904541205651098E-2</v>
          </cell>
          <cell r="J365">
            <v>0.18954283146112147</v>
          </cell>
          <cell r="K365">
            <v>0.59487772428280394</v>
          </cell>
        </row>
        <row r="366">
          <cell r="B366" t="str">
            <v>SCOM-SWHSTG-CHPHFC</v>
          </cell>
          <cell r="C366" t="str">
            <v>VAR_fin</v>
          </cell>
          <cell r="D366" t="str">
            <v>AUX_SCOM-CHPHFC_IN</v>
          </cell>
          <cell r="I366">
            <v>3.5904541205651098E-2</v>
          </cell>
          <cell r="J366">
            <v>0.18954283146112147</v>
          </cell>
          <cell r="K366">
            <v>0.59487772428280394</v>
          </cell>
        </row>
        <row r="367">
          <cell r="B367" t="str">
            <v>SCOM-SWHSTG-CHPHFC</v>
          </cell>
          <cell r="C367" t="str">
            <v>VAR_ncap</v>
          </cell>
          <cell r="D367" t="str">
            <v>-</v>
          </cell>
          <cell r="I367">
            <v>2.512623113149E-3</v>
          </cell>
          <cell r="J367">
            <v>8.5071715341653795E-3</v>
          </cell>
          <cell r="K367">
            <v>2.9374159871593902E-2</v>
          </cell>
        </row>
        <row r="368">
          <cell r="B368" t="str">
            <v>SCOM-SWHSTG-CHPHFC</v>
          </cell>
          <cell r="C368" t="str">
            <v>VAR_cap</v>
          </cell>
          <cell r="D368" t="str">
            <v>-</v>
          </cell>
          <cell r="I368">
            <v>3.1136845180807326E-3</v>
          </cell>
          <cell r="J368">
            <v>1.1053698336893427E-2</v>
          </cell>
          <cell r="K368">
            <v>3.659506685973677E-2</v>
          </cell>
        </row>
        <row r="369">
          <cell r="B369" t="str">
            <v>D-IHFO</v>
          </cell>
          <cell r="C369" t="str">
            <v>VAR_fout</v>
          </cell>
          <cell r="D369" t="str">
            <v>CO2</v>
          </cell>
          <cell r="I369">
            <v>0.50886110772034099</v>
          </cell>
          <cell r="J369">
            <v>3.8349520494097802E-2</v>
          </cell>
          <cell r="K369"/>
        </row>
        <row r="370">
          <cell r="B370" t="str">
            <v>D-IHFO</v>
          </cell>
          <cell r="C370" t="str">
            <v>VAR_fout</v>
          </cell>
          <cell r="D370" t="str">
            <v>IHFO</v>
          </cell>
          <cell r="I370">
            <v>6.4982147298313225E-3</v>
          </cell>
          <cell r="J370">
            <v>4.8972777674663893E-4</v>
          </cell>
          <cell r="K370"/>
        </row>
        <row r="371">
          <cell r="B371" t="str">
            <v>D-IHFO</v>
          </cell>
          <cell r="C371" t="str">
            <v>VAR_fin</v>
          </cell>
          <cell r="D371" t="str">
            <v>HFO</v>
          </cell>
          <cell r="I371">
            <v>6.6085858145498869E-3</v>
          </cell>
          <cell r="J371">
            <v>4.9804572070256947E-4</v>
          </cell>
          <cell r="K371"/>
        </row>
        <row r="372">
          <cell r="B372" t="str">
            <v>RHNM-CHPNGA</v>
          </cell>
          <cell r="C372" t="str">
            <v>VAR_fout</v>
          </cell>
          <cell r="D372" t="str">
            <v>CO2_R</v>
          </cell>
          <cell r="I372">
            <v>1.1299800560203901</v>
          </cell>
          <cell r="J372">
            <v>0.51418617428824898</v>
          </cell>
          <cell r="K372"/>
        </row>
        <row r="373">
          <cell r="B373" t="str">
            <v>RHNM-CHPNGA</v>
          </cell>
          <cell r="C373" t="str">
            <v>VAR_fout</v>
          </cell>
          <cell r="D373" t="str">
            <v>RHNM_NKEV_GAS_ELC_CHP</v>
          </cell>
          <cell r="I373">
            <v>5.2461086753225247E-3</v>
          </cell>
          <cell r="J373">
            <v>2.711050264918038E-3</v>
          </cell>
          <cell r="K373"/>
        </row>
        <row r="374">
          <cell r="B374" t="str">
            <v>RHNM-CHPNGA</v>
          </cell>
          <cell r="C374" t="str">
            <v>VAR_fout</v>
          </cell>
          <cell r="D374" t="str">
            <v>RHNM_LTH_CHPNGA</v>
          </cell>
          <cell r="I374">
            <v>1.0710088530603809E-2</v>
          </cell>
          <cell r="J374">
            <v>5.4665439768019448E-3</v>
          </cell>
          <cell r="K374"/>
        </row>
        <row r="375">
          <cell r="B375" t="str">
            <v>RHNM-CHPNGA</v>
          </cell>
          <cell r="C375" t="str">
            <v>VAR_fin</v>
          </cell>
          <cell r="D375" t="str">
            <v>RNGA</v>
          </cell>
          <cell r="I375">
            <v>2.003510737624804E-2</v>
          </cell>
          <cell r="J375">
            <v>9.1167761398625799E-3</v>
          </cell>
          <cell r="K375"/>
        </row>
        <row r="376">
          <cell r="B376" t="str">
            <v>RHNM-CHPNGA</v>
          </cell>
          <cell r="C376" t="str">
            <v>VAR_ncap</v>
          </cell>
          <cell r="D376" t="str">
            <v>-</v>
          </cell>
          <cell r="I376"/>
          <cell r="J376"/>
          <cell r="K376"/>
        </row>
        <row r="377">
          <cell r="B377" t="str">
            <v>RHNM-CHPNGA</v>
          </cell>
          <cell r="C377" t="str">
            <v>VAR_cap</v>
          </cell>
          <cell r="D377" t="str">
            <v>-</v>
          </cell>
          <cell r="I377">
            <v>3.889875008619527E-4</v>
          </cell>
          <cell r="J377">
            <v>2.0160679104610837E-4</v>
          </cell>
          <cell r="K377"/>
        </row>
        <row r="378">
          <cell r="B378" t="str">
            <v>G-INTC-EXP00-DE</v>
          </cell>
          <cell r="C378" t="str">
            <v>VAR_fout</v>
          </cell>
          <cell r="D378" t="str">
            <v>ELC_E-DE</v>
          </cell>
          <cell r="I378">
            <v>1.0477325491719651E-3</v>
          </cell>
          <cell r="J378">
            <v>2.1670895891541557E-3</v>
          </cell>
          <cell r="K378">
            <v>5.7512870476627263E-4</v>
          </cell>
        </row>
        <row r="379">
          <cell r="B379" t="str">
            <v>G-INTC-EXP00-DE</v>
          </cell>
          <cell r="C379" t="str">
            <v>VAR_fin</v>
          </cell>
          <cell r="D379" t="str">
            <v>ELC</v>
          </cell>
          <cell r="I379">
            <v>1.0477325491719651E-3</v>
          </cell>
          <cell r="J379">
            <v>2.1670895891541557E-3</v>
          </cell>
          <cell r="K379">
            <v>5.7512870476627263E-4</v>
          </cell>
        </row>
        <row r="380">
          <cell r="B380" t="str">
            <v>G-INTC-EXP00-DE</v>
          </cell>
          <cell r="C380" t="str">
            <v>VAR_ncap</v>
          </cell>
          <cell r="D380" t="str">
            <v>-</v>
          </cell>
          <cell r="I380">
            <v>3.5193279595356101E-6</v>
          </cell>
          <cell r="J380">
            <v>5.8558307373497898E-6</v>
          </cell>
          <cell r="K380">
            <v>1.0289331255660999E-5</v>
          </cell>
        </row>
        <row r="381">
          <cell r="B381" t="str">
            <v>G-INTC-EXP00-DE</v>
          </cell>
          <cell r="C381" t="str">
            <v>VAR_cap</v>
          </cell>
          <cell r="D381" t="str">
            <v>-</v>
          </cell>
          <cell r="I381">
            <v>1.0183776597489924E-3</v>
          </cell>
          <cell r="J381">
            <v>1.0185481927837969E-3</v>
          </cell>
          <cell r="K381">
            <v>5.164834474888913E-4</v>
          </cell>
        </row>
        <row r="382">
          <cell r="B382" t="str">
            <v>ENUC_BMGL_EXT</v>
          </cell>
          <cell r="C382" t="str">
            <v>VAR_fout</v>
          </cell>
          <cell r="D382" t="str">
            <v>ELC</v>
          </cell>
          <cell r="I382">
            <v>33.168458899351172</v>
          </cell>
          <cell r="J382">
            <v>33.168461572059663</v>
          </cell>
          <cell r="K382">
            <v>24.071461396277702</v>
          </cell>
        </row>
        <row r="383">
          <cell r="B383" t="str">
            <v>ENUC_BMGL_EXT</v>
          </cell>
          <cell r="C383" t="str">
            <v>VAR_fin</v>
          </cell>
          <cell r="D383" t="str">
            <v>URN</v>
          </cell>
          <cell r="I383">
            <v>100.03174413044353</v>
          </cell>
          <cell r="J383">
            <v>100.03175219098361</v>
          </cell>
          <cell r="K383">
            <v>72.596386661950191</v>
          </cell>
        </row>
        <row r="384">
          <cell r="B384" t="str">
            <v>ENUC_BMGL_EXT</v>
          </cell>
          <cell r="C384" t="str">
            <v>VAR_ncap</v>
          </cell>
          <cell r="D384" t="str">
            <v>-</v>
          </cell>
          <cell r="I384"/>
          <cell r="J384"/>
          <cell r="K384"/>
        </row>
        <row r="385">
          <cell r="B385" t="str">
            <v>ENUC_BMGL_EXT</v>
          </cell>
          <cell r="C385" t="str">
            <v>VAR_cap</v>
          </cell>
          <cell r="D385" t="str">
            <v>-</v>
          </cell>
          <cell r="I385">
            <v>1.2329230701524714</v>
          </cell>
          <cell r="J385">
            <v>1.2329230954546486</v>
          </cell>
          <cell r="K385">
            <v>0.89477352589234727</v>
          </cell>
        </row>
        <row r="386">
          <cell r="B386" t="str">
            <v>CEN-EBAT</v>
          </cell>
          <cell r="C386" t="str">
            <v>VAR_fout</v>
          </cell>
          <cell r="D386" t="str">
            <v>ELC13</v>
          </cell>
          <cell r="I386">
            <v>4.8876595985109982E-2</v>
          </cell>
          <cell r="J386">
            <v>0.63355848115340319</v>
          </cell>
          <cell r="K386">
            <v>2.4807742745496175</v>
          </cell>
        </row>
        <row r="387">
          <cell r="B387" t="str">
            <v>CEN-EBAT</v>
          </cell>
          <cell r="C387" t="str">
            <v>VAR_fout</v>
          </cell>
          <cell r="D387" t="str">
            <v>AUX_CEN-EBAT_OUT</v>
          </cell>
          <cell r="I387">
            <v>4.8876595985109808E-2</v>
          </cell>
          <cell r="J387">
            <v>0.6335584811534013</v>
          </cell>
          <cell r="K387">
            <v>2.4807742745496082</v>
          </cell>
        </row>
        <row r="388">
          <cell r="B388" t="str">
            <v>CEN-EBAT</v>
          </cell>
          <cell r="C388" t="str">
            <v>VAR_fin</v>
          </cell>
          <cell r="D388" t="str">
            <v>AUX_CEN-EBAT_IN</v>
          </cell>
          <cell r="I388">
            <v>5.6374723243034025E-2</v>
          </cell>
          <cell r="J388">
            <v>0.73071770584135132</v>
          </cell>
          <cell r="K388">
            <v>2.8612023666225617</v>
          </cell>
        </row>
        <row r="389">
          <cell r="B389" t="str">
            <v>CEN-EBAT</v>
          </cell>
          <cell r="C389" t="str">
            <v>VAR_fin</v>
          </cell>
          <cell r="D389" t="str">
            <v>ELC13</v>
          </cell>
          <cell r="I389">
            <v>5.6374723243034025E-2</v>
          </cell>
          <cell r="J389">
            <v>0.73071770584135132</v>
          </cell>
          <cell r="K389">
            <v>2.8612023666225617</v>
          </cell>
        </row>
        <row r="390">
          <cell r="B390" t="str">
            <v>CEN-EBAT</v>
          </cell>
          <cell r="C390" t="str">
            <v>VAR_ncap</v>
          </cell>
          <cell r="D390" t="str">
            <v>-</v>
          </cell>
          <cell r="I390">
            <v>7.9178265102388401E-3</v>
          </cell>
          <cell r="J390">
            <v>0.47957345997532203</v>
          </cell>
          <cell r="K390">
            <v>0.54217031573006802</v>
          </cell>
        </row>
        <row r="391">
          <cell r="B391" t="str">
            <v>CEN-EBAT</v>
          </cell>
          <cell r="C391" t="str">
            <v>VAR_cap</v>
          </cell>
          <cell r="D391" t="str">
            <v>-</v>
          </cell>
          <cell r="I391">
            <v>1.2660144489774377E-2</v>
          </cell>
          <cell r="J391">
            <v>0.48782876871667097</v>
          </cell>
          <cell r="K391">
            <v>0.78406756162370306</v>
          </cell>
        </row>
        <row r="392">
          <cell r="B392" t="str">
            <v>ESOL-PV</v>
          </cell>
          <cell r="C392" t="str">
            <v>VAR_fout</v>
          </cell>
          <cell r="D392" t="str">
            <v>ELC35</v>
          </cell>
          <cell r="I392">
            <v>0.24413119892111929</v>
          </cell>
          <cell r="J392">
            <v>1.4212565567090529</v>
          </cell>
          <cell r="K392">
            <v>5.8670504465228897</v>
          </cell>
        </row>
        <row r="393">
          <cell r="B393" t="str">
            <v>ESOL-PV</v>
          </cell>
          <cell r="C393" t="str">
            <v>VAR_fin</v>
          </cell>
          <cell r="D393" t="str">
            <v>SOL</v>
          </cell>
          <cell r="I393">
            <v>0.24413119892111929</v>
          </cell>
          <cell r="J393">
            <v>1.4212565567090529</v>
          </cell>
          <cell r="K393">
            <v>5.8670504465228897</v>
          </cell>
        </row>
        <row r="394">
          <cell r="B394" t="str">
            <v>ESOL-PV</v>
          </cell>
          <cell r="C394" t="str">
            <v>VAR_fin</v>
          </cell>
          <cell r="D394" t="str">
            <v>SOLPVC</v>
          </cell>
          <cell r="I394">
            <v>0.24413119892111901</v>
          </cell>
          <cell r="J394">
            <v>1.42125655670905</v>
          </cell>
          <cell r="K394">
            <v>5.8670504465228897</v>
          </cell>
        </row>
        <row r="395">
          <cell r="B395" t="str">
            <v>ESOL-PV</v>
          </cell>
          <cell r="C395" t="str">
            <v>VAR_ncap</v>
          </cell>
          <cell r="D395" t="str">
            <v>-</v>
          </cell>
          <cell r="I395">
            <v>1.75213017161582E-3</v>
          </cell>
          <cell r="J395">
            <v>0.33933332406175298</v>
          </cell>
          <cell r="K395">
            <v>1.3444064201644601</v>
          </cell>
        </row>
        <row r="396">
          <cell r="B396" t="str">
            <v>ESOL-PV</v>
          </cell>
          <cell r="C396" t="str">
            <v>VAR_cap</v>
          </cell>
          <cell r="D396" t="str">
            <v>-</v>
          </cell>
          <cell r="I396">
            <v>7.0378148609301402E-2</v>
          </cell>
          <cell r="J396">
            <v>0.40971147267105401</v>
          </cell>
          <cell r="K396">
            <v>1.6913051658323499</v>
          </cell>
        </row>
        <row r="397">
          <cell r="B397" t="str">
            <v>RHEM-SHSTG-CHPNGA</v>
          </cell>
          <cell r="C397" t="str">
            <v>VAR_fout</v>
          </cell>
          <cell r="D397" t="str">
            <v>RHEM_LTH_CHPNGA</v>
          </cell>
          <cell r="I397">
            <v>3.6103366784762734E-3</v>
          </cell>
          <cell r="J397">
            <v>1.0855829504677298E-3</v>
          </cell>
          <cell r="K397">
            <v>2.5742874210792955E-4</v>
          </cell>
        </row>
        <row r="398">
          <cell r="B398" t="str">
            <v>RHEM-SHSTG-CHPNGA</v>
          </cell>
          <cell r="C398" t="str">
            <v>VAR_fout</v>
          </cell>
          <cell r="D398" t="str">
            <v>AUX_REM-CHPNGA_OUT</v>
          </cell>
          <cell r="I398">
            <v>3.6070214014528828E-3</v>
          </cell>
          <cell r="J398">
            <v>1.0855829504677332E-3</v>
          </cell>
          <cell r="K398">
            <v>2.5742874210792977E-4</v>
          </cell>
        </row>
        <row r="399">
          <cell r="B399" t="str">
            <v>RHEM-SHSTG-CHPNGA</v>
          </cell>
          <cell r="C399" t="str">
            <v>VAR_fin</v>
          </cell>
          <cell r="D399" t="str">
            <v>AUX_REM-CHPNGA_IN</v>
          </cell>
          <cell r="I399">
            <v>4.3813630942103107E-3</v>
          </cell>
          <cell r="J399">
            <v>1.2823533802520804E-3</v>
          </cell>
          <cell r="K399">
            <v>2.2040529990720393E-4</v>
          </cell>
        </row>
        <row r="400">
          <cell r="B400" t="str">
            <v>RHEM-SHSTG-CHPNGA</v>
          </cell>
          <cell r="C400" t="str">
            <v>VAR_fin</v>
          </cell>
          <cell r="D400" t="str">
            <v>RHEM_LTH_CHPNGA</v>
          </cell>
          <cell r="I400">
            <v>4.3813630942103107E-3</v>
          </cell>
          <cell r="J400">
            <v>1.2823533802520804E-3</v>
          </cell>
          <cell r="K400">
            <v>2.2040529990720393E-4</v>
          </cell>
        </row>
        <row r="401">
          <cell r="B401" t="str">
            <v>RHEM-SHSTG-CHPNGA</v>
          </cell>
          <cell r="C401" t="str">
            <v>VAR_ncap</v>
          </cell>
          <cell r="D401" t="str">
            <v>-</v>
          </cell>
          <cell r="I401">
            <v>3.6413483684287402E-3</v>
          </cell>
          <cell r="J401">
            <v>1.3546282802669E-4</v>
          </cell>
          <cell r="K401">
            <v>2.7362104898746499E-5</v>
          </cell>
        </row>
        <row r="402">
          <cell r="B402" t="str">
            <v>RHEM-SHSTG-CHPNGA</v>
          </cell>
          <cell r="C402" t="str">
            <v>VAR_cap</v>
          </cell>
          <cell r="D402" t="str">
            <v>-</v>
          </cell>
          <cell r="I402">
            <v>5.0405262066989392E-3</v>
          </cell>
          <cell r="J402">
            <v>3.784460633824338E-3</v>
          </cell>
          <cell r="K402">
            <v>1.631503368634694E-3</v>
          </cell>
        </row>
        <row r="403">
          <cell r="B403" t="str">
            <v>RHNS-ESOLPV</v>
          </cell>
          <cell r="C403" t="str">
            <v>VAR_fout</v>
          </cell>
          <cell r="D403" t="str">
            <v>RHNS_SOL_ELC</v>
          </cell>
          <cell r="I403">
            <v>7.1907802055185437</v>
          </cell>
          <cell r="J403">
            <v>7.5575845728496063</v>
          </cell>
          <cell r="K403">
            <v>8.3482772868913298</v>
          </cell>
        </row>
        <row r="404">
          <cell r="B404" t="str">
            <v>RHNS-ESOLPV</v>
          </cell>
          <cell r="C404" t="str">
            <v>VAR_fin</v>
          </cell>
          <cell r="D404" t="str">
            <v>SOL</v>
          </cell>
          <cell r="I404">
            <v>7.1907802055185437</v>
          </cell>
          <cell r="J404">
            <v>7.5575845728496063</v>
          </cell>
          <cell r="K404">
            <v>8.3482772868913298</v>
          </cell>
        </row>
        <row r="405">
          <cell r="B405" t="str">
            <v>RHNS-ESOLPV</v>
          </cell>
          <cell r="C405" t="str">
            <v>VAR_fin</v>
          </cell>
          <cell r="D405" t="str">
            <v>SOLPVC</v>
          </cell>
          <cell r="I405">
            <v>7.1907802055185499</v>
          </cell>
          <cell r="J405">
            <v>7.5575845728496098</v>
          </cell>
          <cell r="K405">
            <v>8.3482772868913209</v>
          </cell>
        </row>
        <row r="406">
          <cell r="B406" t="str">
            <v>RHNS-ESOLPV</v>
          </cell>
          <cell r="C406" t="str">
            <v>VAR_ncap</v>
          </cell>
          <cell r="D406" t="str">
            <v>-</v>
          </cell>
          <cell r="I406">
            <v>0.10060784041111601</v>
          </cell>
          <cell r="J406">
            <v>0.105746623202956</v>
          </cell>
          <cell r="K406">
            <v>1.7079159249892</v>
          </cell>
        </row>
        <row r="407">
          <cell r="B407" t="str">
            <v>RHNS-ESOLPV</v>
          </cell>
          <cell r="C407" t="str">
            <v>VAR_cap</v>
          </cell>
          <cell r="D407" t="str">
            <v>-</v>
          </cell>
          <cell r="I407">
            <v>2.0728940560027498</v>
          </cell>
          <cell r="J407">
            <v>2.1786335775172101</v>
          </cell>
          <cell r="K407">
            <v>2.4065664235812401</v>
          </cell>
        </row>
        <row r="408">
          <cell r="B408" t="str">
            <v>RHSA-WHSTG-CHP</v>
          </cell>
          <cell r="C408" t="str">
            <v>VAR_fout</v>
          </cell>
          <cell r="D408" t="str">
            <v>AUX_RHSA-CHP_OUT</v>
          </cell>
          <cell r="I408">
            <v>2.3486368604906195E-2</v>
          </cell>
          <cell r="J408">
            <v>1.3306757331946598E-2</v>
          </cell>
          <cell r="K408">
            <v>0.35506563512884093</v>
          </cell>
        </row>
        <row r="409">
          <cell r="B409" t="str">
            <v>RHSA-WHSTG-CHP</v>
          </cell>
          <cell r="C409" t="str">
            <v>VAR_fout</v>
          </cell>
          <cell r="D409" t="str">
            <v>RHSA_LTH</v>
          </cell>
          <cell r="I409">
            <v>2.3507955340756236E-2</v>
          </cell>
          <cell r="J409">
            <v>1.3306757331946544E-2</v>
          </cell>
          <cell r="K409">
            <v>0.35506563512884048</v>
          </cell>
        </row>
        <row r="410">
          <cell r="B410" t="str">
            <v>RHSA-WHSTG-CHP</v>
          </cell>
          <cell r="C410" t="str">
            <v>VAR_fin</v>
          </cell>
          <cell r="D410" t="str">
            <v>RHSA_LTH</v>
          </cell>
          <cell r="I410">
            <v>2.8499689639241758E-2</v>
          </cell>
          <cell r="J410">
            <v>1.5660205593756697E-2</v>
          </cell>
          <cell r="K410">
            <v>0.39452259504175785</v>
          </cell>
        </row>
        <row r="411">
          <cell r="B411" t="str">
            <v>RHSA-WHSTG-CHP</v>
          </cell>
          <cell r="C411" t="str">
            <v>VAR_fin</v>
          </cell>
          <cell r="D411" t="str">
            <v>AUX_RHSA-CHP_IN</v>
          </cell>
          <cell r="I411">
            <v>2.8499689639241758E-2</v>
          </cell>
          <cell r="J411">
            <v>1.5660205593756697E-2</v>
          </cell>
          <cell r="K411">
            <v>0.39452259504175785</v>
          </cell>
        </row>
        <row r="412">
          <cell r="B412" t="str">
            <v>RHSA-WHSTG-CHP</v>
          </cell>
          <cell r="C412" t="str">
            <v>VAR_ncap</v>
          </cell>
          <cell r="D412" t="str">
            <v>-</v>
          </cell>
          <cell r="I412">
            <v>1.0597564340838E-2</v>
          </cell>
          <cell r="J412">
            <v>2.18498554411019E-3</v>
          </cell>
          <cell r="K412">
            <v>0.192422409160101</v>
          </cell>
        </row>
        <row r="413">
          <cell r="B413" t="str">
            <v>RHSA-WHSTG-CHP</v>
          </cell>
          <cell r="C413" t="str">
            <v>VAR_cap</v>
          </cell>
          <cell r="D413" t="str">
            <v>-</v>
          </cell>
          <cell r="I413">
            <v>1.2087313176204265E-2</v>
          </cell>
          <cell r="J413">
            <v>1.2783330320901022E-2</v>
          </cell>
          <cell r="K413">
            <v>0.19846748890589422</v>
          </cell>
        </row>
        <row r="414">
          <cell r="B414" t="str">
            <v>G-INTC-SER</v>
          </cell>
          <cell r="C414" t="str">
            <v>VAR_fout</v>
          </cell>
          <cell r="D414" t="str">
            <v>ELC35</v>
          </cell>
          <cell r="I414">
            <v>1.978963256264578E-3</v>
          </cell>
          <cell r="J414">
            <v>4.5409671170747762E-2</v>
          </cell>
          <cell r="K414">
            <v>5.0486241371552401E-3</v>
          </cell>
        </row>
        <row r="415">
          <cell r="B415" t="str">
            <v>G-INTC-SER</v>
          </cell>
          <cell r="C415" t="str">
            <v>VAR_fout</v>
          </cell>
          <cell r="D415" t="str">
            <v>SCOM_ELC</v>
          </cell>
          <cell r="I415">
            <v>39.285715294967432</v>
          </cell>
          <cell r="J415">
            <v>31.486324880870075</v>
          </cell>
          <cell r="K415">
            <v>28.251062279578257</v>
          </cell>
        </row>
        <row r="416">
          <cell r="B416" t="str">
            <v>G-INTC-SER</v>
          </cell>
          <cell r="C416" t="str">
            <v>VAR_fin</v>
          </cell>
          <cell r="D416" t="str">
            <v>ELC5</v>
          </cell>
          <cell r="I416">
            <v>39.287694258223667</v>
          </cell>
          <cell r="J416">
            <v>31.531727380374679</v>
          </cell>
          <cell r="K416">
            <v>28.256102664125116</v>
          </cell>
        </row>
        <row r="417">
          <cell r="B417" t="str">
            <v>G-INTC-SER</v>
          </cell>
          <cell r="C417" t="str">
            <v>VAR_ncap</v>
          </cell>
          <cell r="D417" t="str">
            <v>-</v>
          </cell>
          <cell r="I417">
            <v>3.1432884505601098E-7</v>
          </cell>
          <cell r="J417">
            <v>4.25905987326707E-7</v>
          </cell>
          <cell r="K417">
            <v>6.23007092648324E-7</v>
          </cell>
        </row>
        <row r="418">
          <cell r="B418" t="str">
            <v>G-INTC-SER</v>
          </cell>
          <cell r="C418" t="str">
            <v>VAR_cap</v>
          </cell>
          <cell r="D418" t="str">
            <v>-</v>
          </cell>
          <cell r="I418">
            <v>4.3683895508783923</v>
          </cell>
          <cell r="J418">
            <v>4.3683899945802818</v>
          </cell>
          <cell r="K418">
            <v>4.3683906764200353</v>
          </cell>
        </row>
        <row r="419">
          <cell r="B419" t="str">
            <v>CHPWOD</v>
          </cell>
          <cell r="C419" t="str">
            <v>VAR_fout</v>
          </cell>
          <cell r="D419" t="str">
            <v>ELC35</v>
          </cell>
          <cell r="I419">
            <v>0.50272464468763922</v>
          </cell>
          <cell r="J419">
            <v>0.90771404203834771</v>
          </cell>
          <cell r="K419">
            <v>1.1437039309219159</v>
          </cell>
        </row>
        <row r="420">
          <cell r="B420" t="str">
            <v>CHPWOD</v>
          </cell>
          <cell r="C420" t="str">
            <v>VAR_fout</v>
          </cell>
          <cell r="D420" t="str">
            <v>LTH</v>
          </cell>
          <cell r="I420">
            <v>1.3147178169359066</v>
          </cell>
          <cell r="J420">
            <v>2.3738399069180693</v>
          </cell>
          <cell r="K420">
            <v>2.9909970620536148</v>
          </cell>
        </row>
        <row r="421">
          <cell r="B421" t="str">
            <v>CHPWOD</v>
          </cell>
          <cell r="C421" t="str">
            <v>VAR_fin</v>
          </cell>
          <cell r="D421" t="str">
            <v>EWOD</v>
          </cell>
          <cell r="I421">
            <v>1.7306367911765985</v>
          </cell>
          <cell r="J421">
            <v>2.9645646205512759</v>
          </cell>
          <cell r="K421">
            <v>3.7353223123960255</v>
          </cell>
        </row>
        <row r="422">
          <cell r="B422" t="str">
            <v>CHPWOD</v>
          </cell>
          <cell r="C422" t="str">
            <v>VAR_ncap</v>
          </cell>
          <cell r="D422" t="str">
            <v>-</v>
          </cell>
          <cell r="I422">
            <v>1.7856132707955601E-2</v>
          </cell>
          <cell r="J422">
            <v>3.71709693818362E-2</v>
          </cell>
          <cell r="K422">
            <v>4.8090950762766101E-2</v>
          </cell>
        </row>
        <row r="423">
          <cell r="B423" t="str">
            <v>CHPWOD</v>
          </cell>
          <cell r="C423" t="str">
            <v>VAR_cap</v>
          </cell>
          <cell r="D423" t="str">
            <v>-</v>
          </cell>
          <cell r="I423">
            <v>1.8779266621928088E-2</v>
          </cell>
          <cell r="J423">
            <v>5.5911564232885715E-2</v>
          </cell>
          <cell r="K423">
            <v>9.9703807453077511E-2</v>
          </cell>
        </row>
        <row r="424">
          <cell r="B424" t="str">
            <v>D-EH2R</v>
          </cell>
          <cell r="C424" t="str">
            <v>VAR_fout</v>
          </cell>
          <cell r="D424" t="str">
            <v>EH2</v>
          </cell>
          <cell r="I424"/>
          <cell r="J424">
            <v>6.6310951343723475E-3</v>
          </cell>
          <cell r="K424">
            <v>1.2873170843040412E-2</v>
          </cell>
        </row>
        <row r="425">
          <cell r="B425" t="str">
            <v>D-EH2R</v>
          </cell>
          <cell r="C425" t="str">
            <v>VAR_fin</v>
          </cell>
          <cell r="D425" t="str">
            <v>H2</v>
          </cell>
          <cell r="I425"/>
          <cell r="J425">
            <v>6.6310951343723475E-3</v>
          </cell>
          <cell r="K425">
            <v>1.2873170843040412E-2</v>
          </cell>
        </row>
        <row r="426">
          <cell r="B426" t="str">
            <v>D-EH2R</v>
          </cell>
          <cell r="C426" t="str">
            <v>VAR_ncap</v>
          </cell>
          <cell r="D426" t="str">
            <v>-</v>
          </cell>
          <cell r="I426">
            <v>1.5829892925503999E-6</v>
          </cell>
          <cell r="J426">
            <v>7.8721625615330005E-4</v>
          </cell>
          <cell r="K426">
            <v>5.51360210314086E-4</v>
          </cell>
        </row>
        <row r="427">
          <cell r="B427" t="str">
            <v>D-EH2R</v>
          </cell>
          <cell r="C427" t="str">
            <v>VAR_cap</v>
          </cell>
          <cell r="D427" t="str">
            <v>-</v>
          </cell>
          <cell r="I427">
            <v>1.5829892925503999E-6</v>
          </cell>
          <cell r="J427">
            <v>7.8749663826129803E-4</v>
          </cell>
          <cell r="K427">
            <v>8.20998503829129E-4</v>
          </cell>
        </row>
        <row r="428">
          <cell r="B428" t="str">
            <v>G-INTC1</v>
          </cell>
          <cell r="C428" t="str">
            <v>VAR_fout</v>
          </cell>
          <cell r="D428" t="str">
            <v>ELC13</v>
          </cell>
          <cell r="I428">
            <v>145.37596651639817</v>
          </cell>
          <cell r="J428">
            <v>130.62060080467759</v>
          </cell>
          <cell r="K428">
            <v>110.2737598497594</v>
          </cell>
        </row>
        <row r="429">
          <cell r="B429" t="str">
            <v>G-INTC1</v>
          </cell>
          <cell r="C429" t="str">
            <v>VAR_fin</v>
          </cell>
          <cell r="D429" t="str">
            <v>ELC</v>
          </cell>
          <cell r="I429">
            <v>147.75121893297054</v>
          </cell>
          <cell r="J429">
            <v>132.27962757863787</v>
          </cell>
          <cell r="K429">
            <v>110.88065366798861</v>
          </cell>
        </row>
        <row r="430">
          <cell r="B430" t="str">
            <v>G-INTC1</v>
          </cell>
          <cell r="C430" t="str">
            <v>VAR_ncap</v>
          </cell>
          <cell r="D430" t="str">
            <v>-</v>
          </cell>
          <cell r="I430">
            <v>4.568631455334E-7</v>
          </cell>
          <cell r="J430">
            <v>8.39572447453773E-7</v>
          </cell>
          <cell r="K430">
            <v>3.1693163069954801E-6</v>
          </cell>
        </row>
        <row r="431">
          <cell r="B431" t="str">
            <v>G-INTC1</v>
          </cell>
          <cell r="C431" t="str">
            <v>VAR_cap</v>
          </cell>
          <cell r="D431" t="str">
            <v>-</v>
          </cell>
          <cell r="I431">
            <v>15.305609857934192</v>
          </cell>
          <cell r="J431">
            <v>15.305610096254876</v>
          </cell>
          <cell r="K431">
            <v>15.305611748933071</v>
          </cell>
        </row>
        <row r="432">
          <cell r="B432" t="str">
            <v>EHYD-RUNS00</v>
          </cell>
          <cell r="C432" t="str">
            <v>VAR_fout</v>
          </cell>
          <cell r="D432" t="str">
            <v>ELC35</v>
          </cell>
          <cell r="I432">
            <v>12.246531903552377</v>
          </cell>
          <cell r="J432">
            <v>12.252996643343185</v>
          </cell>
          <cell r="K432">
            <v>12.268847048829816</v>
          </cell>
        </row>
        <row r="433">
          <cell r="B433" t="str">
            <v>EHYD-RUNS00</v>
          </cell>
          <cell r="C433" t="str">
            <v>VAR_fin</v>
          </cell>
          <cell r="D433" t="str">
            <v>HYDR</v>
          </cell>
          <cell r="I433">
            <v>12.246531903552377</v>
          </cell>
          <cell r="J433">
            <v>12.252996643343185</v>
          </cell>
          <cell r="K433">
            <v>12.268847048829816</v>
          </cell>
        </row>
        <row r="434">
          <cell r="B434" t="str">
            <v>EHYD-RUNS00</v>
          </cell>
          <cell r="C434" t="str">
            <v>VAR_cap</v>
          </cell>
          <cell r="D434" t="str">
            <v>-</v>
          </cell>
          <cell r="I434">
            <v>0.89707999999999899</v>
          </cell>
          <cell r="J434">
            <v>0.89707999999999899</v>
          </cell>
          <cell r="K434">
            <v>0.89707999999999899</v>
          </cell>
        </row>
        <row r="435">
          <cell r="B435" t="str">
            <v>RHNS-SHSTG-CHPWOD</v>
          </cell>
          <cell r="C435" t="str">
            <v>VAR_fout</v>
          </cell>
          <cell r="D435" t="str">
            <v>AUX_RNS-CHPWOD_OUT</v>
          </cell>
          <cell r="I435">
            <v>3.1572133400769118E-3</v>
          </cell>
          <cell r="J435">
            <v>1.4417481588934616E-3</v>
          </cell>
          <cell r="K435">
            <v>2.5846170002631359E-3</v>
          </cell>
        </row>
        <row r="436">
          <cell r="B436" t="str">
            <v>RHNS-SHSTG-CHPWOD</v>
          </cell>
          <cell r="C436" t="str">
            <v>VAR_fout</v>
          </cell>
          <cell r="D436" t="str">
            <v>RHNS_LTH_CHPWOD</v>
          </cell>
          <cell r="I436">
            <v>3.1601151905732996E-3</v>
          </cell>
          <cell r="J436">
            <v>1.4417481588934581E-3</v>
          </cell>
          <cell r="K436">
            <v>2.5846170002631333E-3</v>
          </cell>
        </row>
        <row r="437">
          <cell r="B437" t="str">
            <v>RHNS-SHSTG-CHPWOD</v>
          </cell>
          <cell r="C437" t="str">
            <v>VAR_fin</v>
          </cell>
          <cell r="D437" t="str">
            <v>AUX_RNS-CHPWOD_IN</v>
          </cell>
          <cell r="I437">
            <v>3.8356417933244264E-3</v>
          </cell>
          <cell r="J437">
            <v>1.7013712725205033E-3</v>
          </cell>
          <cell r="K437">
            <v>2.8770090543253084E-3</v>
          </cell>
        </row>
        <row r="438">
          <cell r="B438" t="str">
            <v>RHNS-SHSTG-CHPWOD</v>
          </cell>
          <cell r="C438" t="str">
            <v>VAR_fin</v>
          </cell>
          <cell r="D438" t="str">
            <v>RHNS_LTH_CHPWOD</v>
          </cell>
          <cell r="I438">
            <v>3.8356417933244264E-3</v>
          </cell>
          <cell r="J438">
            <v>1.7013712725205033E-3</v>
          </cell>
          <cell r="K438">
            <v>2.8770090543253084E-3</v>
          </cell>
        </row>
        <row r="439">
          <cell r="B439" t="str">
            <v>RHNS-SHSTG-CHPWOD</v>
          </cell>
          <cell r="C439" t="str">
            <v>VAR_ncap</v>
          </cell>
          <cell r="D439" t="str">
            <v>-</v>
          </cell>
          <cell r="I439">
            <v>2.4668549033660999E-3</v>
          </cell>
          <cell r="J439">
            <v>2.03955621137324E-4</v>
          </cell>
          <cell r="K439">
            <v>4.2535866058589499E-4</v>
          </cell>
        </row>
        <row r="440">
          <cell r="B440" t="str">
            <v>RHNS-SHSTG-CHPWOD</v>
          </cell>
          <cell r="C440" t="str">
            <v>VAR_cap</v>
          </cell>
          <cell r="D440" t="str">
            <v>-</v>
          </cell>
          <cell r="I440">
            <v>3.0978693054531537E-3</v>
          </cell>
          <cell r="J440">
            <v>2.6957052306131012E-3</v>
          </cell>
          <cell r="K440">
            <v>1.6008540311449122E-3</v>
          </cell>
        </row>
        <row r="441">
          <cell r="B441" t="str">
            <v>HPLOIL</v>
          </cell>
          <cell r="C441" t="str">
            <v>VAR_fout</v>
          </cell>
          <cell r="D441" t="str">
            <v>LTH</v>
          </cell>
          <cell r="I441">
            <v>9.1064230973127662E-5</v>
          </cell>
          <cell r="J441">
            <v>3.140044379463477E-4</v>
          </cell>
          <cell r="K441">
            <v>6.0308411017564392E-6</v>
          </cell>
        </row>
        <row r="442">
          <cell r="B442" t="str">
            <v>HPLOIL</v>
          </cell>
          <cell r="C442" t="str">
            <v>VAR_fout</v>
          </cell>
          <cell r="D442" t="str">
            <v>CO2_E</v>
          </cell>
          <cell r="I442">
            <v>7.8546368567614308E-3</v>
          </cell>
          <cell r="J442">
            <v>2.70840790629183E-2</v>
          </cell>
          <cell r="K442">
            <v>5.2018302124690898E-4</v>
          </cell>
        </row>
        <row r="443">
          <cell r="B443" t="str">
            <v>HPLOIL</v>
          </cell>
          <cell r="C443" t="str">
            <v>VAR_fin</v>
          </cell>
          <cell r="D443" t="str">
            <v>ELFO</v>
          </cell>
          <cell r="I443">
            <v>1.065758053834658E-4</v>
          </cell>
          <cell r="J443">
            <v>3.6749089637609623E-4</v>
          </cell>
          <cell r="K443">
            <v>7.0581142638657905E-6</v>
          </cell>
        </row>
        <row r="444">
          <cell r="B444" t="str">
            <v>HPLOIL</v>
          </cell>
          <cell r="C444" t="str">
            <v>VAR_ncap</v>
          </cell>
          <cell r="D444" t="str">
            <v>-</v>
          </cell>
          <cell r="I444">
            <v>5.2621923792600699E-4</v>
          </cell>
          <cell r="J444">
            <v>3.9127609738446203E-5</v>
          </cell>
          <cell r="K444">
            <v>1.8309038373365599E-5</v>
          </cell>
        </row>
        <row r="445">
          <cell r="B445" t="str">
            <v>HPLOIL</v>
          </cell>
          <cell r="C445" t="str">
            <v>VAR_cap</v>
          </cell>
          <cell r="D445" t="str">
            <v>-</v>
          </cell>
          <cell r="I445">
            <v>5.6832638239210373E-4</v>
          </cell>
          <cell r="J445">
            <v>5.8672991609497952E-4</v>
          </cell>
          <cell r="K445">
            <v>4.7148142339613217E-4</v>
          </cell>
        </row>
        <row r="446">
          <cell r="B446" t="str">
            <v>V2G</v>
          </cell>
          <cell r="C446" t="str">
            <v>VAR_fout</v>
          </cell>
          <cell r="D446" t="str">
            <v>ELC35</v>
          </cell>
          <cell r="I446">
            <v>9.1669440924757026E-2</v>
          </cell>
          <cell r="J446">
            <v>0.95933778977667983</v>
          </cell>
          <cell r="K446">
            <v>0.94604364793586138</v>
          </cell>
        </row>
        <row r="447">
          <cell r="B447" t="str">
            <v>V2G</v>
          </cell>
          <cell r="C447" t="str">
            <v>VAR_fin</v>
          </cell>
          <cell r="D447" t="str">
            <v>T-ELC-Bus_c_BatSTGout_S1</v>
          </cell>
          <cell r="I447">
            <v>3.1047488631637259E-3</v>
          </cell>
          <cell r="J447">
            <v>2.6959316603735683E-3</v>
          </cell>
          <cell r="K447">
            <v>1.2991325978601897E-3</v>
          </cell>
        </row>
        <row r="448">
          <cell r="B448" t="str">
            <v>V2G</v>
          </cell>
          <cell r="C448" t="str">
            <v>VAR_fin</v>
          </cell>
          <cell r="D448" t="str">
            <v>T-ELC-Bus_c_BatSTGout_S2</v>
          </cell>
          <cell r="I448">
            <v>3.0574125782083976E-3</v>
          </cell>
          <cell r="J448">
            <v>3.1731260688971983E-3</v>
          </cell>
          <cell r="K448">
            <v>1.461857215510989E-3</v>
          </cell>
        </row>
        <row r="449">
          <cell r="B449" t="str">
            <v>V2G</v>
          </cell>
          <cell r="C449" t="str">
            <v>VAR_fin</v>
          </cell>
          <cell r="D449" t="str">
            <v>T-ELC-Bus_c_BatSTGout_S3</v>
          </cell>
          <cell r="I449">
            <v>1.6730959011980564E-3</v>
          </cell>
          <cell r="J449">
            <v>1.4794512808342982E-3</v>
          </cell>
          <cell r="K449">
            <v>8.5076900049638714E-4</v>
          </cell>
        </row>
        <row r="450">
          <cell r="B450" t="str">
            <v>V2G</v>
          </cell>
          <cell r="C450" t="str">
            <v>VAR_fin</v>
          </cell>
          <cell r="D450" t="str">
            <v>T-ELC-Bus_c_BatSTGout_S4</v>
          </cell>
          <cell r="I450">
            <v>4.3063377940602131E-5</v>
          </cell>
          <cell r="J450">
            <v>4.025732701747589E-4</v>
          </cell>
          <cell r="K450">
            <v>3.217439581895965E-4</v>
          </cell>
        </row>
        <row r="451">
          <cell r="B451" t="str">
            <v>V2G</v>
          </cell>
          <cell r="C451" t="str">
            <v>VAR_fin</v>
          </cell>
          <cell r="D451" t="str">
            <v>T-ELC-car-BatSTGOut_S1</v>
          </cell>
          <cell r="I451">
            <v>1.0995738140477041E-2</v>
          </cell>
          <cell r="J451">
            <v>0.34850163778312554</v>
          </cell>
          <cell r="K451">
            <v>0.31742912790289496</v>
          </cell>
        </row>
        <row r="452">
          <cell r="B452" t="str">
            <v>V2G</v>
          </cell>
          <cell r="C452" t="str">
            <v>VAR_fin</v>
          </cell>
          <cell r="D452" t="str">
            <v>T-ELC-car-BatSTGOut_S2</v>
          </cell>
          <cell r="I452">
            <v>7.2312494980832477E-3</v>
          </cell>
          <cell r="J452">
            <v>0.12342352287807257</v>
          </cell>
          <cell r="K452">
            <v>0.12538393975949044</v>
          </cell>
        </row>
        <row r="453">
          <cell r="B453" t="str">
            <v>V2G</v>
          </cell>
          <cell r="C453" t="str">
            <v>VAR_fin</v>
          </cell>
          <cell r="D453" t="str">
            <v>T-ELC-car-BatSTGOut_S3</v>
          </cell>
          <cell r="I453">
            <v>8.2988896309075955E-3</v>
          </cell>
          <cell r="J453">
            <v>0.11629859015294373</v>
          </cell>
          <cell r="K453">
            <v>0.12222714134931455</v>
          </cell>
        </row>
        <row r="454">
          <cell r="B454" t="str">
            <v>V2G</v>
          </cell>
          <cell r="C454" t="str">
            <v>VAR_fin</v>
          </cell>
          <cell r="D454" t="str">
            <v>T-ELC-car-BatSTGOut_S4</v>
          </cell>
          <cell r="I454">
            <v>7.0633962958072463E-3</v>
          </cell>
          <cell r="J454">
            <v>0.12652490354869536</v>
          </cell>
          <cell r="K454">
            <v>0.11327533582272901</v>
          </cell>
        </row>
        <row r="455">
          <cell r="B455" t="str">
            <v>V2G</v>
          </cell>
          <cell r="C455" t="str">
            <v>VAR_fin</v>
          </cell>
          <cell r="D455" t="str">
            <v>T-ELC-car-PlgSTGOut_S1</v>
          </cell>
          <cell r="I455">
            <v>2.7775113753673898E-3</v>
          </cell>
          <cell r="J455">
            <v>2.1882980376029711E-3</v>
          </cell>
          <cell r="K455">
            <v>5.3209801938677523E-4</v>
          </cell>
        </row>
        <row r="456">
          <cell r="B456" t="str">
            <v>V2G</v>
          </cell>
          <cell r="C456" t="str">
            <v>VAR_fin</v>
          </cell>
          <cell r="D456" t="str">
            <v>T-ELC-car-PlgSTGOut_S2</v>
          </cell>
          <cell r="I456">
            <v>5.0007079877852762E-4</v>
          </cell>
          <cell r="J456">
            <v>5.0645673877889642E-4</v>
          </cell>
          <cell r="K456">
            <v>1.2831816375048542E-3</v>
          </cell>
        </row>
        <row r="457">
          <cell r="B457" t="str">
            <v>V2G</v>
          </cell>
          <cell r="C457" t="str">
            <v>VAR_fin</v>
          </cell>
          <cell r="D457" t="str">
            <v>T-ELC-car-PlgSTGOut_S3</v>
          </cell>
          <cell r="I457">
            <v>8.5296927905211678E-3</v>
          </cell>
          <cell r="J457">
            <v>0.16824081766855156</v>
          </cell>
          <cell r="K457">
            <v>0.21483846391381795</v>
          </cell>
        </row>
        <row r="458">
          <cell r="B458" t="str">
            <v>V2G</v>
          </cell>
          <cell r="C458" t="str">
            <v>VAR_fin</v>
          </cell>
          <cell r="D458" t="str">
            <v>T-ELC-TWSTGout_S1</v>
          </cell>
          <cell r="I458">
            <v>2.4531990331406093E-3</v>
          </cell>
          <cell r="J458">
            <v>1.5863904786212267E-3</v>
          </cell>
          <cell r="K458">
            <v>1.056033040822209E-3</v>
          </cell>
        </row>
        <row r="459">
          <cell r="B459" t="str">
            <v>V2G</v>
          </cell>
          <cell r="C459" t="str">
            <v>VAR_fin</v>
          </cell>
          <cell r="D459" t="str">
            <v>T-ELC-car-PlgSTGOut_S4</v>
          </cell>
          <cell r="I459">
            <v>2.1008908248558848E-3</v>
          </cell>
          <cell r="J459">
            <v>5.279832853662657E-3</v>
          </cell>
          <cell r="K459">
            <v>1.7394770560340419E-3</v>
          </cell>
        </row>
        <row r="460">
          <cell r="B460" t="str">
            <v>V2G</v>
          </cell>
          <cell r="C460" t="str">
            <v>VAR_fin</v>
          </cell>
          <cell r="D460" t="str">
            <v>T-ELC-TWSTGout_S2</v>
          </cell>
          <cell r="I460">
            <v>5.5722456469527335E-3</v>
          </cell>
          <cell r="J460">
            <v>4.806788635827574E-3</v>
          </cell>
          <cell r="K460">
            <v>3.2452204443698856E-3</v>
          </cell>
        </row>
        <row r="461">
          <cell r="B461" t="str">
            <v>V2G</v>
          </cell>
          <cell r="C461" t="str">
            <v>VAR_fin</v>
          </cell>
          <cell r="D461" t="str">
            <v>T-ELC-TWSTGout_S3</v>
          </cell>
          <cell r="I461">
            <v>8.0015023818366931E-3</v>
          </cell>
          <cell r="J461">
            <v>7.8037509501328256E-3</v>
          </cell>
          <cell r="K461">
            <v>5.0465409111180278E-3</v>
          </cell>
        </row>
        <row r="462">
          <cell r="B462" t="str">
            <v>V2G</v>
          </cell>
          <cell r="C462" t="str">
            <v>VAR_fin</v>
          </cell>
          <cell r="D462" t="str">
            <v>T-ELC-TWSTGout_S4</v>
          </cell>
          <cell r="I462">
            <v>7.9368237368783196E-3</v>
          </cell>
          <cell r="J462">
            <v>8.9644701175762998E-3</v>
          </cell>
          <cell r="K462">
            <v>7.3628604608815852E-3</v>
          </cell>
        </row>
        <row r="463">
          <cell r="B463" t="str">
            <v>V2G</v>
          </cell>
          <cell r="C463" t="str">
            <v>VAR_fin</v>
          </cell>
          <cell r="D463" t="str">
            <v>T-ELC-Bus_u_BatSTGout_S1</v>
          </cell>
          <cell r="I463">
            <v>3.5874931680112922E-4</v>
          </cell>
          <cell r="J463">
            <v>2.8293691924695277E-4</v>
          </cell>
          <cell r="K463">
            <v>1.9458843623526112E-4</v>
          </cell>
        </row>
        <row r="464">
          <cell r="B464" t="str">
            <v>V2G</v>
          </cell>
          <cell r="C464" t="str">
            <v>VAR_fin</v>
          </cell>
          <cell r="D464" t="str">
            <v>T-ELC-Bus_u_BatSTGout_S2</v>
          </cell>
          <cell r="I464">
            <v>3.363477476983927E-4</v>
          </cell>
          <cell r="J464">
            <v>2.6176937911347479E-4</v>
          </cell>
          <cell r="K464">
            <v>1.8804356697819878E-4</v>
          </cell>
        </row>
        <row r="465">
          <cell r="B465" t="str">
            <v>V2G</v>
          </cell>
          <cell r="C465" t="str">
            <v>VAR_fin</v>
          </cell>
          <cell r="D465" t="str">
            <v>T-ELC-Bus_u_BatSTGout_S3</v>
          </cell>
          <cell r="I465">
            <v>1.4182397810360553E-4</v>
          </cell>
          <cell r="J465">
            <v>1.2322342070560094E-4</v>
          </cell>
          <cell r="K465">
            <v>1.0070844076701005E-4</v>
          </cell>
        </row>
        <row r="466">
          <cell r="B466" t="str">
            <v>V2G</v>
          </cell>
          <cell r="C466" t="str">
            <v>VAR_fin</v>
          </cell>
          <cell r="D466" t="str">
            <v>T-ELC-Bus_u_BatSTGout_S4</v>
          </cell>
          <cell r="I466">
            <v>5.6703609301084704E-3</v>
          </cell>
          <cell r="J466">
            <v>3.4170537103172995E-4</v>
          </cell>
          <cell r="K466">
            <v>2.146937463303865E-4</v>
          </cell>
        </row>
        <row r="467">
          <cell r="B467" t="str">
            <v>V2G</v>
          </cell>
          <cell r="C467" t="str">
            <v>VAR_fin</v>
          </cell>
          <cell r="D467" t="str">
            <v>T-ELC-LGV_BatSTGout</v>
          </cell>
          <cell r="I467">
            <v>8.0316162714255701E-4</v>
          </cell>
          <cell r="J467">
            <v>6.3465551137768144E-4</v>
          </cell>
          <cell r="K467">
            <v>3.9545636179209615E-4</v>
          </cell>
        </row>
        <row r="468">
          <cell r="B468" t="str">
            <v>V2G</v>
          </cell>
          <cell r="C468" t="str">
            <v>VAR_fin</v>
          </cell>
          <cell r="D468" t="str">
            <v>T-ELC-HGV_BatSTGout</v>
          </cell>
          <cell r="I468">
            <v>5.2113019316145206E-3</v>
          </cell>
          <cell r="J468">
            <v>3.5994795828009983E-2</v>
          </cell>
          <cell r="K468">
            <v>2.7741413510378895E-2</v>
          </cell>
        </row>
        <row r="469">
          <cell r="B469" t="str">
            <v>V2G</v>
          </cell>
          <cell r="C469" t="str">
            <v>VAR_ncap</v>
          </cell>
          <cell r="D469" t="str">
            <v>-</v>
          </cell>
          <cell r="I469">
            <v>0.252880010590254</v>
          </cell>
          <cell r="J469">
            <v>2.9621012721500799</v>
          </cell>
          <cell r="K469">
            <v>1.61867100500376</v>
          </cell>
        </row>
        <row r="470">
          <cell r="B470" t="str">
            <v>V2G</v>
          </cell>
          <cell r="C470" t="str">
            <v>VAR_cap</v>
          </cell>
          <cell r="D470" t="str">
            <v>-</v>
          </cell>
          <cell r="I470">
            <v>0.26195839158918971</v>
          </cell>
          <cell r="J470">
            <v>3.2211694916837721</v>
          </cell>
          <cell r="K470">
            <v>3.8753256019744207</v>
          </cell>
        </row>
        <row r="471">
          <cell r="B471" t="str">
            <v>D-EBIO</v>
          </cell>
          <cell r="C471" t="str">
            <v>VAR_fout</v>
          </cell>
          <cell r="D471" t="str">
            <v>EBIO</v>
          </cell>
          <cell r="I471">
            <v>1.1866841948843967</v>
          </cell>
          <cell r="J471">
            <v>1.1866809114789876</v>
          </cell>
          <cell r="K471">
            <v>1.1866791373722272</v>
          </cell>
        </row>
        <row r="472">
          <cell r="B472" t="str">
            <v>D-EBIO</v>
          </cell>
          <cell r="C472" t="str">
            <v>VAR_fin</v>
          </cell>
          <cell r="D472" t="str">
            <v>BIO</v>
          </cell>
          <cell r="I472">
            <v>1.1866841948843967</v>
          </cell>
          <cell r="J472">
            <v>1.1866809114789876</v>
          </cell>
          <cell r="K472">
            <v>1.1866791373722272</v>
          </cell>
        </row>
        <row r="473">
          <cell r="B473" t="str">
            <v>G-INTC3</v>
          </cell>
          <cell r="C473" t="str">
            <v>VAR_fout</v>
          </cell>
          <cell r="D473" t="str">
            <v>ELC35</v>
          </cell>
          <cell r="I473">
            <v>85.791741565495172</v>
          </cell>
          <cell r="J473">
            <v>132.70923298117984</v>
          </cell>
          <cell r="K473">
            <v>119.73274969698279</v>
          </cell>
        </row>
        <row r="474">
          <cell r="B474" t="str">
            <v>G-INTC3</v>
          </cell>
          <cell r="C474" t="str">
            <v>VAR_fout</v>
          </cell>
          <cell r="D474" t="str">
            <v>ELC3</v>
          </cell>
          <cell r="I474">
            <v>106.52594392223004</v>
          </cell>
          <cell r="J474">
            <v>44.362935595684398</v>
          </cell>
          <cell r="K474">
            <v>42.762415041967145</v>
          </cell>
        </row>
        <row r="475">
          <cell r="B475" t="str">
            <v>G-INTC3</v>
          </cell>
          <cell r="C475" t="str">
            <v>VAR_fout</v>
          </cell>
          <cell r="D475" t="str">
            <v>ELC</v>
          </cell>
          <cell r="I475">
            <v>5.2029053630561284E-3</v>
          </cell>
          <cell r="J475">
            <v>0.7816535846799525</v>
          </cell>
          <cell r="K475">
            <v>1.1422896304971173</v>
          </cell>
        </row>
        <row r="476">
          <cell r="B476" t="str">
            <v>G-INTC3</v>
          </cell>
          <cell r="C476" t="str">
            <v>VAR_fin</v>
          </cell>
          <cell r="D476" t="str">
            <v>ELC13</v>
          </cell>
          <cell r="I476">
            <v>198.55007103304149</v>
          </cell>
          <cell r="J476">
            <v>182.623211300918</v>
          </cell>
          <cell r="K476">
            <v>166.23430475167848</v>
          </cell>
        </row>
        <row r="477">
          <cell r="B477" t="str">
            <v>G-INTC3</v>
          </cell>
          <cell r="C477" t="str">
            <v>VAR_ncap</v>
          </cell>
          <cell r="D477" t="str">
            <v>-</v>
          </cell>
          <cell r="I477">
            <v>6.8274754401379301E-7</v>
          </cell>
          <cell r="J477">
            <v>1.17484691000972E-6</v>
          </cell>
          <cell r="K477">
            <v>4.1574936723351899E-6</v>
          </cell>
        </row>
        <row r="478">
          <cell r="B478" t="str">
            <v>G-INTC3</v>
          </cell>
          <cell r="C478" t="str">
            <v>VAR_cap</v>
          </cell>
          <cell r="D478" t="str">
            <v>-</v>
          </cell>
          <cell r="I478">
            <v>13.914191967514176</v>
          </cell>
          <cell r="J478">
            <v>13.914192314171734</v>
          </cell>
          <cell r="K478">
            <v>13.914194613908228</v>
          </cell>
        </row>
        <row r="479">
          <cell r="B479" t="str">
            <v>HPLBIO</v>
          </cell>
          <cell r="C479" t="str">
            <v>VAR_fout</v>
          </cell>
          <cell r="D479" t="str">
            <v>LTH</v>
          </cell>
          <cell r="I479">
            <v>0.90385683899421321</v>
          </cell>
          <cell r="J479">
            <v>0.90385433813640514</v>
          </cell>
          <cell r="K479">
            <v>0.90385298685985327</v>
          </cell>
        </row>
        <row r="480">
          <cell r="B480" t="str">
            <v>HPLBIO</v>
          </cell>
          <cell r="C480" t="str">
            <v>VAR_fin</v>
          </cell>
          <cell r="D480" t="str">
            <v>EBIO</v>
          </cell>
          <cell r="I480">
            <v>1.1866841948843967</v>
          </cell>
          <cell r="J480">
            <v>1.1866809114789876</v>
          </cell>
          <cell r="K480">
            <v>1.1866791373722272</v>
          </cell>
        </row>
        <row r="481">
          <cell r="B481" t="str">
            <v>HPLBIO</v>
          </cell>
          <cell r="C481" t="str">
            <v>VAR_ncap</v>
          </cell>
          <cell r="D481" t="str">
            <v>-</v>
          </cell>
          <cell r="I481">
            <v>5.1712479863401099E-2</v>
          </cell>
          <cell r="J481">
            <v>5.9293264705745899E-5</v>
          </cell>
          <cell r="K481">
            <v>8.0437214923248304E-2</v>
          </cell>
        </row>
        <row r="482">
          <cell r="B482" t="str">
            <v>HPLBIO</v>
          </cell>
          <cell r="C482" t="str">
            <v>VAR_cap</v>
          </cell>
          <cell r="D482" t="str">
            <v>-</v>
          </cell>
          <cell r="I482">
            <v>0.1146512676170111</v>
          </cell>
          <cell r="J482">
            <v>0.11467080282213045</v>
          </cell>
          <cell r="K482">
            <v>0.13804720588145405</v>
          </cell>
        </row>
        <row r="483">
          <cell r="B483" t="str">
            <v>ENUC_LRG_BMGL</v>
          </cell>
          <cell r="C483" t="str">
            <v>VAR_fout</v>
          </cell>
          <cell r="D483" t="str">
            <v>LTH</v>
          </cell>
          <cell r="K483">
            <v>2.5416689720644463</v>
          </cell>
        </row>
        <row r="484">
          <cell r="B484" t="str">
            <v>ENUC_LRG_BMGL</v>
          </cell>
          <cell r="C484" t="str">
            <v>VAR_fout</v>
          </cell>
          <cell r="D484" t="str">
            <v>ELC</v>
          </cell>
          <cell r="K484">
            <v>6.4125487040448794</v>
          </cell>
        </row>
        <row r="485">
          <cell r="B485" t="str">
            <v>ENUC_LRG_BMGL</v>
          </cell>
          <cell r="C485" t="str">
            <v>VAR_fin</v>
          </cell>
          <cell r="D485" t="str">
            <v>URN</v>
          </cell>
          <cell r="K485">
            <v>24.398500703904453</v>
          </cell>
        </row>
        <row r="486">
          <cell r="B486" t="str">
            <v>ENUC_LRG_BMGL</v>
          </cell>
          <cell r="C486" t="str">
            <v>VAR_ncap</v>
          </cell>
          <cell r="D486" t="str">
            <v>-</v>
          </cell>
          <cell r="J486">
            <v>0.24792050492532799</v>
          </cell>
          <cell r="K486">
            <v>0.85589909968185396</v>
          </cell>
        </row>
        <row r="487">
          <cell r="B487" t="str">
            <v>ENUC_LRG_BMGL</v>
          </cell>
          <cell r="C487" t="str">
            <v>VAR_cap</v>
          </cell>
          <cell r="D487" t="str">
            <v>-</v>
          </cell>
          <cell r="K487">
            <v>0.33686956146402602</v>
          </cell>
        </row>
        <row r="488">
          <cell r="B488" t="str">
            <v>G-INTC5</v>
          </cell>
          <cell r="C488" t="str">
            <v>VAR_fout</v>
          </cell>
          <cell r="D488" t="str">
            <v>ELC5</v>
          </cell>
          <cell r="I488">
            <v>90.113337968711534</v>
          </cell>
          <cell r="J488">
            <v>128.40234111481334</v>
          </cell>
          <cell r="K488">
            <v>122.53522692223741</v>
          </cell>
        </row>
        <row r="489">
          <cell r="B489" t="str">
            <v>G-INTC5</v>
          </cell>
          <cell r="C489" t="str">
            <v>VAR_fout</v>
          </cell>
          <cell r="D489" t="str">
            <v>ELC13</v>
          </cell>
          <cell r="I489">
            <v>5.2351433657791702E-3</v>
          </cell>
          <cell r="J489">
            <v>1.0732285451544395E-2</v>
          </cell>
          <cell r="K489">
            <v>0.41459540881550627</v>
          </cell>
        </row>
        <row r="490">
          <cell r="B490" t="str">
            <v>G-INTC5</v>
          </cell>
          <cell r="C490" t="str">
            <v>VAR_fin</v>
          </cell>
          <cell r="D490" t="str">
            <v>ELC35</v>
          </cell>
          <cell r="I490">
            <v>93.499137944835482</v>
          </cell>
          <cell r="J490">
            <v>132.75331341744999</v>
          </cell>
          <cell r="K490">
            <v>126.20203075796562</v>
          </cell>
        </row>
        <row r="491">
          <cell r="B491" t="str">
            <v>G-INTC5</v>
          </cell>
          <cell r="C491" t="str">
            <v>VAR_ncap</v>
          </cell>
          <cell r="D491" t="str">
            <v>-</v>
          </cell>
          <cell r="I491">
            <v>2.0456378388345202</v>
          </cell>
          <cell r="J491">
            <v>1.8528669465404199</v>
          </cell>
          <cell r="K491">
            <v>2.19623135098569E-4</v>
          </cell>
        </row>
        <row r="492">
          <cell r="B492" t="str">
            <v>G-INTC5</v>
          </cell>
          <cell r="C492" t="str">
            <v>VAR_cap</v>
          </cell>
          <cell r="D492" t="str">
            <v>-</v>
          </cell>
          <cell r="I492">
            <v>13.141902386153943</v>
          </cell>
          <cell r="J492">
            <v>14.694919433005181</v>
          </cell>
          <cell r="K492">
            <v>17.958822535980222</v>
          </cell>
        </row>
        <row r="493">
          <cell r="B493" t="str">
            <v>D-SLFO</v>
          </cell>
          <cell r="C493" t="str">
            <v>VAR_fout</v>
          </cell>
          <cell r="D493" t="str">
            <v>CO2</v>
          </cell>
          <cell r="I493">
            <v>835.72424103412095</v>
          </cell>
          <cell r="J493">
            <v>407.29472995544398</v>
          </cell>
          <cell r="K493">
            <v>5.5115034294818096E-4</v>
          </cell>
        </row>
        <row r="494">
          <cell r="B494" t="str">
            <v>D-SLFO</v>
          </cell>
          <cell r="C494" t="str">
            <v>VAR_fout</v>
          </cell>
          <cell r="D494" t="str">
            <v>SLFO</v>
          </cell>
          <cell r="I494">
            <v>11.151104574403018</v>
          </cell>
          <cell r="J494">
            <v>5.4347456333326782</v>
          </cell>
          <cell r="K494">
            <v>0.42235096700464297</v>
          </cell>
        </row>
        <row r="495">
          <cell r="B495" t="str">
            <v>D-SLFO</v>
          </cell>
          <cell r="C495" t="str">
            <v>VAR_fin</v>
          </cell>
          <cell r="D495" t="str">
            <v>LFO</v>
          </cell>
          <cell r="I495">
            <v>11.339541940761473</v>
          </cell>
          <cell r="J495">
            <v>5.5263871093004582</v>
          </cell>
          <cell r="K495">
            <v>7.478295019649686E-6</v>
          </cell>
        </row>
        <row r="496">
          <cell r="B496" t="str">
            <v>D-SLFO</v>
          </cell>
          <cell r="C496" t="str">
            <v>VAR_fin</v>
          </cell>
          <cell r="D496" t="str">
            <v>BDS</v>
          </cell>
          <cell r="I496">
            <v>9.652662022314461E-4</v>
          </cell>
          <cell r="J496">
            <v>6.687416583247435E-4</v>
          </cell>
          <cell r="K496">
            <v>0.4295192345992736</v>
          </cell>
        </row>
        <row r="497">
          <cell r="B497" t="str">
            <v>D-RCOA</v>
          </cell>
          <cell r="C497" t="str">
            <v>VAR_fout</v>
          </cell>
          <cell r="D497" t="str">
            <v>CO2</v>
          </cell>
        </row>
        <row r="498">
          <cell r="B498" t="str">
            <v>D-RCOA</v>
          </cell>
          <cell r="C498" t="str">
            <v>VAR_fout</v>
          </cell>
          <cell r="D498" t="str">
            <v>RCOA</v>
          </cell>
        </row>
        <row r="499">
          <cell r="B499" t="str">
            <v>D-RCOA</v>
          </cell>
          <cell r="C499" t="str">
            <v>VAR_fin</v>
          </cell>
          <cell r="D499" t="str">
            <v>COA</v>
          </cell>
        </row>
        <row r="500">
          <cell r="B500" t="str">
            <v>EHYD-RUN00</v>
          </cell>
          <cell r="C500" t="str">
            <v>VAR_fout</v>
          </cell>
          <cell r="D500" t="str">
            <v>ELC13</v>
          </cell>
          <cell r="I500">
            <v>51.056105513925047</v>
          </cell>
          <cell r="J500">
            <v>49.956076356359958</v>
          </cell>
          <cell r="K500">
            <v>47.773845517074186</v>
          </cell>
        </row>
        <row r="501">
          <cell r="B501" t="str">
            <v>EHYD-RUN00</v>
          </cell>
          <cell r="C501" t="str">
            <v>VAR_fin</v>
          </cell>
          <cell r="D501" t="str">
            <v>HYDR</v>
          </cell>
          <cell r="I501">
            <v>51.056105513925047</v>
          </cell>
          <cell r="J501">
            <v>49.956076356359958</v>
          </cell>
          <cell r="K501">
            <v>47.773845517074186</v>
          </cell>
        </row>
        <row r="502">
          <cell r="B502" t="str">
            <v>EHYD-RUN00</v>
          </cell>
          <cell r="C502" t="str">
            <v>VAR_cap</v>
          </cell>
          <cell r="D502" t="str">
            <v>-</v>
          </cell>
          <cell r="I502">
            <v>3.9647700000000001</v>
          </cell>
          <cell r="J502">
            <v>3.9647700000000001</v>
          </cell>
          <cell r="K502">
            <v>3.9647700000000001</v>
          </cell>
        </row>
        <row r="503">
          <cell r="B503" t="str">
            <v>HPLELCHP</v>
          </cell>
          <cell r="C503" t="str">
            <v>VAR_fout</v>
          </cell>
          <cell r="D503" t="str">
            <v>LTH</v>
          </cell>
          <cell r="I503">
            <v>10.204327064702369</v>
          </cell>
          <cell r="J503">
            <v>10.724858376477977</v>
          </cell>
          <cell r="K503">
            <v>11.846914564052057</v>
          </cell>
        </row>
        <row r="504">
          <cell r="B504" t="str">
            <v>HPLELCHP</v>
          </cell>
          <cell r="C504" t="str">
            <v>VAR_fin</v>
          </cell>
          <cell r="D504" t="str">
            <v>ELC35</v>
          </cell>
          <cell r="I504">
            <v>3.4014423549007931</v>
          </cell>
          <cell r="J504">
            <v>3.5749527921593285</v>
          </cell>
          <cell r="K504">
            <v>3.9489715213506846</v>
          </cell>
        </row>
        <row r="505">
          <cell r="B505" t="str">
            <v>HPLELCHP</v>
          </cell>
          <cell r="C505" t="str">
            <v>VAR_fin</v>
          </cell>
          <cell r="D505" t="str">
            <v>WWTPCC</v>
          </cell>
          <cell r="I505">
            <v>20.408654129404798</v>
          </cell>
          <cell r="J505">
            <v>21.449716752956</v>
          </cell>
          <cell r="K505">
            <v>23.693829128104099</v>
          </cell>
        </row>
        <row r="506">
          <cell r="B506" t="str">
            <v>HPLELCHP</v>
          </cell>
          <cell r="C506" t="str">
            <v>VAR_ncap</v>
          </cell>
          <cell r="D506" t="str">
            <v>-</v>
          </cell>
          <cell r="I506">
            <v>3.0545888202053E-2</v>
          </cell>
          <cell r="J506">
            <v>0.150286454292752</v>
          </cell>
          <cell r="K506">
            <v>0.46465367211363301</v>
          </cell>
        </row>
        <row r="507">
          <cell r="B507" t="str">
            <v>HPLELCHP</v>
          </cell>
          <cell r="C507" t="str">
            <v>VAR_cap</v>
          </cell>
          <cell r="D507" t="str">
            <v>-</v>
          </cell>
          <cell r="I507">
            <v>0.62842174506434145</v>
          </cell>
          <cell r="J507">
            <v>0.66436889700079038</v>
          </cell>
          <cell r="K507">
            <v>0.73112576753613223</v>
          </cell>
        </row>
        <row r="508">
          <cell r="B508" t="str">
            <v>D-ITOT_LTH</v>
          </cell>
          <cell r="C508" t="str">
            <v>VAR_fout</v>
          </cell>
          <cell r="D508" t="str">
            <v>ITOT_LTH_DH</v>
          </cell>
          <cell r="I508">
            <v>7.628913126043809</v>
          </cell>
          <cell r="J508">
            <v>7.6289250963690076</v>
          </cell>
          <cell r="K508">
            <v>10.310201283886597</v>
          </cell>
        </row>
        <row r="509">
          <cell r="B509" t="str">
            <v>D-ITOT_LTH</v>
          </cell>
          <cell r="C509" t="str">
            <v>VAR_fin</v>
          </cell>
          <cell r="D509" t="str">
            <v>LTH</v>
          </cell>
          <cell r="I509">
            <v>8.27726874326782</v>
          </cell>
          <cell r="J509">
            <v>8.271856139844207</v>
          </cell>
          <cell r="K509">
            <v>11.164461907582766</v>
          </cell>
        </row>
        <row r="510">
          <cell r="B510" t="str">
            <v>D-ITOT_LTH</v>
          </cell>
          <cell r="C510" t="str">
            <v>VAR_ncap</v>
          </cell>
          <cell r="D510" t="str">
            <v>-</v>
          </cell>
          <cell r="I510">
            <v>1.37644694609643E-7</v>
          </cell>
          <cell r="J510">
            <v>1.9661826974039199E-7</v>
          </cell>
          <cell r="K510">
            <v>2.1611948167977099E-7</v>
          </cell>
        </row>
        <row r="511">
          <cell r="B511" t="str">
            <v>D-ITOT_LTH</v>
          </cell>
          <cell r="C511" t="str">
            <v>VAR_cap</v>
          </cell>
          <cell r="D511" t="str">
            <v>-</v>
          </cell>
          <cell r="I511">
            <v>0.795472908393555</v>
          </cell>
          <cell r="J511">
            <v>0.795473105011825</v>
          </cell>
          <cell r="K511">
            <v>0.79547332113130598</v>
          </cell>
        </row>
        <row r="512">
          <cell r="B512" t="str">
            <v>D-IH2</v>
          </cell>
          <cell r="C512" t="str">
            <v>VAR_fout</v>
          </cell>
          <cell r="D512" t="str">
            <v>IH2</v>
          </cell>
          <cell r="I512">
            <v>1.8207077769374393</v>
          </cell>
          <cell r="J512">
            <v>2.1243246906880846</v>
          </cell>
          <cell r="K512">
            <v>3.6541646337877562</v>
          </cell>
        </row>
        <row r="513">
          <cell r="B513" t="str">
            <v>D-IH2</v>
          </cell>
          <cell r="C513" t="str">
            <v>VAR_fin</v>
          </cell>
          <cell r="D513" t="str">
            <v>H2</v>
          </cell>
          <cell r="I513">
            <v>1.8345786352501814</v>
          </cell>
          <cell r="J513">
            <v>2.1405086204587125</v>
          </cell>
          <cell r="K513">
            <v>3.6820034778508934</v>
          </cell>
        </row>
        <row r="514">
          <cell r="B514" t="str">
            <v>D-IH2</v>
          </cell>
          <cell r="C514" t="str">
            <v>VAR_ncap</v>
          </cell>
          <cell r="D514" t="str">
            <v>-</v>
          </cell>
          <cell r="I514">
            <v>6.43849487126643E-2</v>
          </cell>
          <cell r="J514">
            <v>0.297221611043614</v>
          </cell>
          <cell r="K514">
            <v>0.17513187645287701</v>
          </cell>
        </row>
        <row r="515">
          <cell r="B515" t="str">
            <v>D-IH2</v>
          </cell>
          <cell r="C515" t="str">
            <v>VAR_cap</v>
          </cell>
          <cell r="D515" t="str">
            <v>-</v>
          </cell>
          <cell r="I515">
            <v>6.4385862758542994E-2</v>
          </cell>
          <cell r="J515">
            <v>0.36160747380215702</v>
          </cell>
          <cell r="K515">
            <v>0.53673935025503405</v>
          </cell>
        </row>
        <row r="516">
          <cell r="B516" t="str">
            <v>RHEM-ESOLPV</v>
          </cell>
          <cell r="C516" t="str">
            <v>VAR_fout</v>
          </cell>
          <cell r="D516" t="str">
            <v>RHEM_SOL_ELC</v>
          </cell>
          <cell r="I516">
            <v>2.6166265053188122</v>
          </cell>
          <cell r="J516">
            <v>2.7502130099282813</v>
          </cell>
          <cell r="K516">
            <v>3.037949086396357</v>
          </cell>
        </row>
        <row r="517">
          <cell r="B517" t="str">
            <v>RHEM-ESOLPV</v>
          </cell>
          <cell r="C517" t="str">
            <v>VAR_fin</v>
          </cell>
          <cell r="D517" t="str">
            <v>SOL</v>
          </cell>
          <cell r="I517">
            <v>2.6166265053188122</v>
          </cell>
          <cell r="J517">
            <v>2.7502130099282813</v>
          </cell>
          <cell r="K517">
            <v>3.037949086396357</v>
          </cell>
        </row>
        <row r="518">
          <cell r="B518" t="str">
            <v>RHEM-ESOLPV</v>
          </cell>
          <cell r="C518" t="str">
            <v>VAR_fin</v>
          </cell>
          <cell r="D518" t="str">
            <v>SOLPVC</v>
          </cell>
          <cell r="I518">
            <v>2.61662650531881</v>
          </cell>
          <cell r="J518">
            <v>2.75021300992828</v>
          </cell>
          <cell r="K518">
            <v>3.0379490863963601</v>
          </cell>
        </row>
        <row r="519">
          <cell r="B519" t="str">
            <v>RHEM-ESOLPV</v>
          </cell>
          <cell r="C519" t="str">
            <v>VAR_ncap</v>
          </cell>
          <cell r="D519" t="str">
            <v>-</v>
          </cell>
          <cell r="I519">
            <v>0.12506076832122101</v>
          </cell>
          <cell r="J519">
            <v>0.26349864738034001</v>
          </cell>
          <cell r="K519">
            <v>0.47441130760600297</v>
          </cell>
        </row>
        <row r="520">
          <cell r="B520" t="str">
            <v>RHEM-ESOLPV</v>
          </cell>
          <cell r="C520" t="str">
            <v>VAR_cap</v>
          </cell>
          <cell r="D520" t="str">
            <v>-</v>
          </cell>
          <cell r="I520">
            <v>0.75429895543545</v>
          </cell>
          <cell r="J520">
            <v>0.79280914218638898</v>
          </cell>
          <cell r="K520">
            <v>0.87575483216402406</v>
          </cell>
        </row>
        <row r="521">
          <cell r="B521" t="str">
            <v>HPLNUC</v>
          </cell>
          <cell r="C521" t="str">
            <v>VAR_fout</v>
          </cell>
          <cell r="D521" t="str">
            <v>LTH</v>
          </cell>
          <cell r="I521">
            <v>0.8559203558184636</v>
          </cell>
          <cell r="J521">
            <v>0.84341943859280066</v>
          </cell>
          <cell r="K521">
            <v>0.26162715078690235</v>
          </cell>
        </row>
        <row r="522">
          <cell r="B522" t="str">
            <v>HPLNUC</v>
          </cell>
          <cell r="C522" t="str">
            <v>VAR_fin</v>
          </cell>
          <cell r="D522" t="str">
            <v>URN</v>
          </cell>
          <cell r="I522">
            <v>0.8559203558184636</v>
          </cell>
          <cell r="J522">
            <v>0.84341943859280066</v>
          </cell>
          <cell r="K522">
            <v>0.26162715078690235</v>
          </cell>
        </row>
        <row r="523">
          <cell r="B523" t="str">
            <v>HPLNUC</v>
          </cell>
          <cell r="C523" t="str">
            <v>VAR_cap</v>
          </cell>
          <cell r="D523" t="str">
            <v>-</v>
          </cell>
          <cell r="I523">
            <v>0.120558721922211</v>
          </cell>
          <cell r="J523">
            <v>0.120558721922211</v>
          </cell>
          <cell r="K523">
            <v>0.10944824367396699</v>
          </cell>
        </row>
        <row r="524">
          <cell r="B524" t="str">
            <v>ITOT-CHPWODCCS</v>
          </cell>
          <cell r="C524" t="str">
            <v>VAR_fout</v>
          </cell>
          <cell r="D524" t="str">
            <v>CO2_O</v>
          </cell>
          <cell r="J524">
            <v>141.71036745349011</v>
          </cell>
          <cell r="K524">
            <v>375.66555410866874</v>
          </cell>
        </row>
        <row r="525">
          <cell r="B525" t="str">
            <v>ITOT-CHPWODCCS</v>
          </cell>
          <cell r="C525" t="str">
            <v>VAR_fout</v>
          </cell>
          <cell r="D525" t="str">
            <v>CO2</v>
          </cell>
          <cell r="J525">
            <v>-141.71036745348999</v>
          </cell>
          <cell r="K525">
            <v>-375.66555410866903</v>
          </cell>
        </row>
        <row r="526">
          <cell r="B526" t="str">
            <v>ITOT-CHPWODCCS</v>
          </cell>
          <cell r="C526" t="str">
            <v>VAR_fout</v>
          </cell>
          <cell r="D526" t="str">
            <v>ITOT_LTH_CHP</v>
          </cell>
          <cell r="J526">
            <v>1.0088178736388775</v>
          </cell>
          <cell r="K526">
            <v>2.7848236209283654</v>
          </cell>
        </row>
        <row r="527">
          <cell r="B527" t="str">
            <v>ITOT-CHPWODCCS</v>
          </cell>
          <cell r="C527" t="str">
            <v>VAR_fout</v>
          </cell>
          <cell r="D527" t="str">
            <v>ITOT_KEV_WOD_ELC_CHP</v>
          </cell>
          <cell r="J527">
            <v>0.47689572208383213</v>
          </cell>
          <cell r="K527">
            <v>1.316462075347951</v>
          </cell>
        </row>
        <row r="528">
          <cell r="B528" t="str">
            <v>ITOT-CHPWODCCS</v>
          </cell>
          <cell r="C528" t="str">
            <v>VAR_fin</v>
          </cell>
          <cell r="D528" t="str">
            <v>IWOD</v>
          </cell>
          <cell r="J528">
            <v>1.4457676649552786</v>
          </cell>
          <cell r="K528">
            <v>3.7723932879411124</v>
          </cell>
        </row>
        <row r="529">
          <cell r="B529" t="str">
            <v>ITOT-CHPWODCCS</v>
          </cell>
          <cell r="C529" t="str">
            <v>VAR_ncap</v>
          </cell>
          <cell r="D529" t="str">
            <v>-</v>
          </cell>
          <cell r="J529">
            <v>3.5680988956945901E-2</v>
          </cell>
          <cell r="K529">
            <v>2.3194594539815799E-2</v>
          </cell>
        </row>
        <row r="530">
          <cell r="B530" t="str">
            <v>ITOT-CHPWODCCS</v>
          </cell>
          <cell r="C530" t="str">
            <v>VAR_cap</v>
          </cell>
          <cell r="D530" t="str">
            <v>-</v>
          </cell>
          <cell r="J530">
            <v>3.5680988956945901E-2</v>
          </cell>
          <cell r="K530">
            <v>4.9089484390911299E-2</v>
          </cell>
        </row>
        <row r="531">
          <cell r="B531" t="str">
            <v>SUP_WODBIO</v>
          </cell>
          <cell r="C531" t="str">
            <v>VAR_fout</v>
          </cell>
          <cell r="D531" t="str">
            <v>ELC35</v>
          </cell>
          <cell r="I531">
            <v>1.9415143502554338E-5</v>
          </cell>
          <cell r="J531">
            <v>6.1367212184459453E-5</v>
          </cell>
          <cell r="K531">
            <v>6.1929327159051487E-5</v>
          </cell>
        </row>
        <row r="532">
          <cell r="B532" t="str">
            <v>SUP_WODBIO</v>
          </cell>
          <cell r="C532" t="str">
            <v>VAR_fout</v>
          </cell>
          <cell r="D532" t="str">
            <v>BIO</v>
          </cell>
          <cell r="I532">
            <v>4.8537858756385761E-4</v>
          </cell>
          <cell r="J532">
            <v>1.5341803046114843E-3</v>
          </cell>
          <cell r="K532">
            <v>1.5482331789762852E-3</v>
          </cell>
        </row>
        <row r="533">
          <cell r="B533" t="str">
            <v>SUP_WODBIO</v>
          </cell>
          <cell r="C533" t="str">
            <v>VAR_fout</v>
          </cell>
          <cell r="D533" t="str">
            <v>LTH</v>
          </cell>
          <cell r="I533">
            <v>5.8245430507662941E-5</v>
          </cell>
          <cell r="J533">
            <v>1.8410163655337806E-4</v>
          </cell>
          <cell r="K533">
            <v>1.8578798147715419E-4</v>
          </cell>
        </row>
        <row r="534">
          <cell r="B534" t="str">
            <v>SUP_WODBIO</v>
          </cell>
          <cell r="C534" t="str">
            <v>VAR_fin</v>
          </cell>
          <cell r="D534" t="str">
            <v>CWOD</v>
          </cell>
          <cell r="I534">
            <v>6.5526109321120815E-4</v>
          </cell>
          <cell r="J534">
            <v>2.0711434112255056E-3</v>
          </cell>
          <cell r="K534">
            <v>2.0901147916179861E-3</v>
          </cell>
        </row>
        <row r="535">
          <cell r="B535" t="str">
            <v>SUP_WODBIO</v>
          </cell>
          <cell r="C535" t="str">
            <v>VAR_ncap</v>
          </cell>
          <cell r="D535" t="str">
            <v>-</v>
          </cell>
          <cell r="I535">
            <v>1.6708672473919201E-5</v>
          </cell>
          <cell r="J535">
            <v>4.5647277010768502E-5</v>
          </cell>
          <cell r="K535">
            <v>1.48382703875205E-5</v>
          </cell>
        </row>
        <row r="536">
          <cell r="B536" t="str">
            <v>SUP_WODBIO</v>
          </cell>
          <cell r="C536" t="str">
            <v>VAR_cap</v>
          </cell>
          <cell r="D536" t="str">
            <v>-</v>
          </cell>
          <cell r="I536">
            <v>6.1981322626232819E-5</v>
          </cell>
          <cell r="J536">
            <v>8.5554214465603467E-5</v>
          </cell>
          <cell r="K536">
            <v>7.3513018954978252E-5</v>
          </cell>
        </row>
        <row r="537">
          <cell r="B537" t="str">
            <v>D-RLFO</v>
          </cell>
          <cell r="C537" t="str">
            <v>VAR_fout</v>
          </cell>
          <cell r="D537" t="str">
            <v>CO2</v>
          </cell>
          <cell r="I537">
            <v>1169.6193156998299</v>
          </cell>
          <cell r="J537">
            <v>448.71513442875101</v>
          </cell>
          <cell r="K537">
            <v>7.1789910374605301E-4</v>
          </cell>
        </row>
        <row r="538">
          <cell r="B538" t="str">
            <v>D-RLFO</v>
          </cell>
          <cell r="C538" t="str">
            <v>VAR_fout</v>
          </cell>
          <cell r="D538" t="str">
            <v>RLFO</v>
          </cell>
          <cell r="I538">
            <v>15.6059066942434</v>
          </cell>
          <cell r="J538">
            <v>5.9873776162118615</v>
          </cell>
          <cell r="K538">
            <v>0.57741248459387784</v>
          </cell>
        </row>
        <row r="539">
          <cell r="B539" t="str">
            <v>D-RLFO</v>
          </cell>
          <cell r="C539" t="str">
            <v>VAR_fin</v>
          </cell>
          <cell r="D539" t="str">
            <v>LFO</v>
          </cell>
          <cell r="I539">
            <v>15.870004283579796</v>
          </cell>
          <cell r="J539">
            <v>6.0884007385176568</v>
          </cell>
          <cell r="K539">
            <v>9.7408290874634051E-6</v>
          </cell>
        </row>
        <row r="540">
          <cell r="B540" t="str">
            <v>D-RLFO</v>
          </cell>
          <cell r="C540" t="str">
            <v>VAR_fin</v>
          </cell>
          <cell r="D540" t="str">
            <v>BDS</v>
          </cell>
          <cell r="I540">
            <v>9.6635017103071242E-4</v>
          </cell>
          <cell r="J540">
            <v>6.7162577198594318E-4</v>
          </cell>
          <cell r="K540">
            <v>0.58721657947911698</v>
          </cell>
        </row>
        <row r="541">
          <cell r="B541" t="str">
            <v>G-INTC-EXP00-IT</v>
          </cell>
          <cell r="C541" t="str">
            <v>VAR_fout</v>
          </cell>
          <cell r="D541" t="str">
            <v>ELC_E-IT</v>
          </cell>
          <cell r="I541">
            <v>36.678048417476951</v>
          </cell>
          <cell r="J541">
            <v>27.191652829412401</v>
          </cell>
          <cell r="K541">
            <v>20.345757523470784</v>
          </cell>
        </row>
        <row r="542">
          <cell r="B542" t="str">
            <v>G-INTC-EXP00-IT</v>
          </cell>
          <cell r="C542" t="str">
            <v>VAR_fin</v>
          </cell>
          <cell r="D542" t="str">
            <v>ELC</v>
          </cell>
          <cell r="I542">
            <v>36.678048417476951</v>
          </cell>
          <cell r="J542">
            <v>27.191652829412401</v>
          </cell>
          <cell r="K542">
            <v>20.345757523470784</v>
          </cell>
        </row>
        <row r="543">
          <cell r="B543" t="str">
            <v>G-INTC-EXP00-IT</v>
          </cell>
          <cell r="C543" t="str">
            <v>VAR_ncap</v>
          </cell>
          <cell r="D543" t="str">
            <v>-</v>
          </cell>
          <cell r="I543">
            <v>2.09862854771938E-6</v>
          </cell>
          <cell r="J543">
            <v>3.4091335539509501E-6</v>
          </cell>
          <cell r="K543">
            <v>5.4539923939458E-6</v>
          </cell>
        </row>
        <row r="544">
          <cell r="B544" t="str">
            <v>G-INTC-EXP00-IT</v>
          </cell>
          <cell r="C544" t="str">
            <v>VAR_cap</v>
          </cell>
          <cell r="D544" t="str">
            <v>-</v>
          </cell>
          <cell r="I544">
            <v>3.7499918719949332</v>
          </cell>
          <cell r="J544">
            <v>2.4000000471657881</v>
          </cell>
          <cell r="K544">
            <v>2.4000001129313411</v>
          </cell>
        </row>
        <row r="545">
          <cell r="B545" t="str">
            <v>EWOD-CCS</v>
          </cell>
          <cell r="C545" t="str">
            <v>VAR_fout</v>
          </cell>
          <cell r="D545" t="str">
            <v>CO2_O</v>
          </cell>
          <cell r="J545">
            <v>0.69123485000777751</v>
          </cell>
          <cell r="K545">
            <v>508.34063444786716</v>
          </cell>
        </row>
        <row r="546">
          <cell r="B546" t="str">
            <v>EWOD-CCS</v>
          </cell>
          <cell r="C546" t="str">
            <v>VAR_fout</v>
          </cell>
          <cell r="D546" t="str">
            <v>CO2</v>
          </cell>
          <cell r="J546">
            <v>-0.69123485000777696</v>
          </cell>
          <cell r="K546">
            <v>-508.34063444786699</v>
          </cell>
        </row>
        <row r="547">
          <cell r="B547" t="str">
            <v>EWOD-CCS</v>
          </cell>
          <cell r="C547" t="str">
            <v>VAR_fout</v>
          </cell>
          <cell r="D547" t="str">
            <v>ELC13</v>
          </cell>
          <cell r="J547">
            <v>1.5320137475187052E-3</v>
          </cell>
          <cell r="K547">
            <v>1.1266573732324852</v>
          </cell>
        </row>
        <row r="548">
          <cell r="B548" t="str">
            <v>EWOD-CCS</v>
          </cell>
          <cell r="C548" t="str">
            <v>VAR_fin</v>
          </cell>
          <cell r="D548" t="str">
            <v>EWOD</v>
          </cell>
          <cell r="J548">
            <v>6.9844831462968831E-3</v>
          </cell>
          <cell r="K548">
            <v>4.3691979282171793</v>
          </cell>
        </row>
        <row r="549">
          <cell r="B549" t="str">
            <v>EWOD-CCS</v>
          </cell>
          <cell r="C549" t="str">
            <v>VAR_ncap</v>
          </cell>
          <cell r="D549" t="str">
            <v>-</v>
          </cell>
          <cell r="J549">
            <v>4.57853029016879E-4</v>
          </cell>
          <cell r="K549">
            <v>0.16309779694719601</v>
          </cell>
        </row>
        <row r="550">
          <cell r="B550" t="str">
            <v>EWOD-CCS</v>
          </cell>
          <cell r="C550" t="str">
            <v>VAR_cap</v>
          </cell>
          <cell r="D550" t="str">
            <v>-</v>
          </cell>
          <cell r="J550">
            <v>2.20451198894736E-4</v>
          </cell>
          <cell r="K550">
            <v>0.12114429352539581</v>
          </cell>
        </row>
        <row r="551">
          <cell r="B551" t="str">
            <v>EOIL-ENG</v>
          </cell>
          <cell r="C551" t="str">
            <v>VAR_fout</v>
          </cell>
          <cell r="D551" t="str">
            <v>ELC35</v>
          </cell>
          <cell r="I551">
            <v>4.8758107468018039E-3</v>
          </cell>
          <cell r="J551">
            <v>6.0063361293338233E-3</v>
          </cell>
          <cell r="K551">
            <v>4.4352322555899963E-5</v>
          </cell>
        </row>
        <row r="552">
          <cell r="B552" t="str">
            <v>EOIL-ENG</v>
          </cell>
          <cell r="C552" t="str">
            <v>VAR_fout</v>
          </cell>
          <cell r="D552" t="str">
            <v>CO2_E</v>
          </cell>
          <cell r="I552">
            <v>1.19195005913534</v>
          </cell>
          <cell r="J552">
            <v>1.4018893533731001</v>
          </cell>
          <cell r="K552">
            <v>1.12075750259729E-2</v>
          </cell>
        </row>
        <row r="553">
          <cell r="B553" t="str">
            <v>EOIL-ENG</v>
          </cell>
          <cell r="C553" t="str">
            <v>VAR_fin</v>
          </cell>
          <cell r="D553" t="str">
            <v>ELFO</v>
          </cell>
          <cell r="I553">
            <v>1.6172999445526959E-2</v>
          </cell>
          <cell r="J553">
            <v>1.9021565174668957E-2</v>
          </cell>
          <cell r="K553">
            <v>1.5207021744875017E-4</v>
          </cell>
        </row>
        <row r="554">
          <cell r="B554" t="str">
            <v>EOIL-ENG</v>
          </cell>
          <cell r="C554" t="str">
            <v>VAR_ncap</v>
          </cell>
          <cell r="D554" t="str">
            <v>-</v>
          </cell>
          <cell r="I554">
            <v>1.27169905450341E-5</v>
          </cell>
          <cell r="J554">
            <v>2.8012468871089499E-6</v>
          </cell>
          <cell r="K554">
            <v>3.2742183812894299E-6</v>
          </cell>
        </row>
        <row r="555">
          <cell r="B555" t="str">
            <v>EOIL-ENG</v>
          </cell>
          <cell r="C555" t="str">
            <v>VAR_cap</v>
          </cell>
          <cell r="D555" t="str">
            <v>-</v>
          </cell>
          <cell r="I555">
            <v>4.8085188280807899E-2</v>
          </cell>
          <cell r="J555">
            <v>4.805603548453509E-2</v>
          </cell>
          <cell r="K555">
            <v>1.2620648227057996E-3</v>
          </cell>
        </row>
        <row r="556">
          <cell r="B556" t="str">
            <v>D-SWOD</v>
          </cell>
          <cell r="C556" t="str">
            <v>VAR_fout</v>
          </cell>
          <cell r="D556" t="str">
            <v>SWOD</v>
          </cell>
          <cell r="I556">
            <v>8.4628158125272517</v>
          </cell>
          <cell r="J556">
            <v>7.1495955857386422</v>
          </cell>
          <cell r="K556">
            <v>4.7621358113507126</v>
          </cell>
        </row>
        <row r="557">
          <cell r="B557" t="str">
            <v>D-SWOD</v>
          </cell>
          <cell r="C557" t="str">
            <v>VAR_fin</v>
          </cell>
          <cell r="D557" t="str">
            <v>WOD</v>
          </cell>
          <cell r="I557">
            <v>8.4628158125272517</v>
          </cell>
          <cell r="J557">
            <v>7.1495955857386422</v>
          </cell>
          <cell r="K557">
            <v>4.7621358113507126</v>
          </cell>
        </row>
        <row r="558">
          <cell r="B558" t="str">
            <v>SCOM-CHPWOD</v>
          </cell>
          <cell r="C558" t="str">
            <v>VAR_fout</v>
          </cell>
          <cell r="D558" t="str">
            <v>SCOM_KEV_WOD_ELC_CHP</v>
          </cell>
          <cell r="I558">
            <v>2.6342642527826025E-3</v>
          </cell>
          <cell r="J558">
            <v>1.2630168765188992E-3</v>
          </cell>
          <cell r="K558">
            <v>5.7947635017612615E-4</v>
          </cell>
        </row>
        <row r="559">
          <cell r="B559" t="str">
            <v>SCOM-CHPWOD</v>
          </cell>
          <cell r="C559" t="str">
            <v>VAR_fout</v>
          </cell>
          <cell r="D559" t="str">
            <v>SCOM_LTH_CHPWOD</v>
          </cell>
          <cell r="I559">
            <v>4.1202810437974214E-3</v>
          </cell>
          <cell r="J559">
            <v>1.9325022349009741E-3</v>
          </cell>
          <cell r="K559">
            <v>8.5102672401236173E-4</v>
          </cell>
        </row>
        <row r="560">
          <cell r="B560" t="str">
            <v>SCOM-CHPWOD</v>
          </cell>
          <cell r="C560" t="str">
            <v>VAR_fin</v>
          </cell>
          <cell r="D560" t="str">
            <v>SWOD</v>
          </cell>
          <cell r="I560">
            <v>9.1535506226910323E-3</v>
          </cell>
          <cell r="J560">
            <v>4.318396597178354E-3</v>
          </cell>
          <cell r="K560">
            <v>2.1899002685290105E-3</v>
          </cell>
        </row>
        <row r="561">
          <cell r="B561" t="str">
            <v>SCOM-CHPWOD</v>
          </cell>
          <cell r="C561" t="str">
            <v>VAR_ncap</v>
          </cell>
          <cell r="D561" t="str">
            <v>-</v>
          </cell>
          <cell r="I561">
            <v>7.1523049696979306E-5</v>
          </cell>
          <cell r="J561">
            <v>1.3342098636549701E-6</v>
          </cell>
          <cell r="K561">
            <v>4.1180451916278503E-5</v>
          </cell>
        </row>
        <row r="562">
          <cell r="B562" t="str">
            <v>SCOM-CHPWOD</v>
          </cell>
          <cell r="C562" t="str">
            <v>VAR_cap</v>
          </cell>
          <cell r="D562" t="str">
            <v>-</v>
          </cell>
          <cell r="I562">
            <v>2.0094384338026968E-4</v>
          </cell>
          <cell r="J562">
            <v>1.6096683143598613E-4</v>
          </cell>
          <cell r="K562">
            <v>7.2239553161517376E-5</v>
          </cell>
        </row>
        <row r="563">
          <cell r="B563" t="str">
            <v>ENUC_BMGL</v>
          </cell>
          <cell r="C563" t="str">
            <v>VAR_fout</v>
          </cell>
          <cell r="D563" t="str">
            <v>ELC</v>
          </cell>
        </row>
        <row r="564">
          <cell r="B564" t="str">
            <v>ENUC_BMGL</v>
          </cell>
          <cell r="C564" t="str">
            <v>VAR_fin</v>
          </cell>
          <cell r="D564" t="str">
            <v>URN</v>
          </cell>
        </row>
        <row r="565">
          <cell r="B565" t="str">
            <v>ENUC_BMGL</v>
          </cell>
          <cell r="C565" t="str">
            <v>VAR_cap</v>
          </cell>
          <cell r="D565" t="str">
            <v>-</v>
          </cell>
        </row>
        <row r="566">
          <cell r="B566" t="str">
            <v>D-RSH2R</v>
          </cell>
          <cell r="C566" t="str">
            <v>VAR_fout</v>
          </cell>
          <cell r="D566" t="str">
            <v>RSH2</v>
          </cell>
          <cell r="I566">
            <v>4.4419342002680523E-4</v>
          </cell>
          <cell r="J566">
            <v>3.4211180594686641E-4</v>
          </cell>
          <cell r="K566">
            <v>2.6622916126562969E-4</v>
          </cell>
        </row>
        <row r="567">
          <cell r="B567" t="str">
            <v>D-RSH2R</v>
          </cell>
          <cell r="C567" t="str">
            <v>VAR_fin</v>
          </cell>
          <cell r="D567" t="str">
            <v>H2</v>
          </cell>
          <cell r="I567">
            <v>4.4419342002680523E-4</v>
          </cell>
          <cell r="J567">
            <v>3.4211180594686641E-4</v>
          </cell>
          <cell r="K567">
            <v>2.6622916126562969E-4</v>
          </cell>
        </row>
        <row r="568">
          <cell r="B568" t="str">
            <v>D-RSH2R</v>
          </cell>
          <cell r="C568" t="str">
            <v>VAR_ncap</v>
          </cell>
          <cell r="D568" t="str">
            <v>-</v>
          </cell>
          <cell r="I568">
            <v>7.0573364652584702E-5</v>
          </cell>
          <cell r="J568">
            <v>9.7762971540868497E-5</v>
          </cell>
          <cell r="K568">
            <v>3.2421995477880798E-5</v>
          </cell>
        </row>
        <row r="569">
          <cell r="B569" t="str">
            <v>D-RSH2R</v>
          </cell>
          <cell r="C569" t="str">
            <v>VAR_cap</v>
          </cell>
          <cell r="D569" t="str">
            <v>-</v>
          </cell>
          <cell r="I569">
            <v>1.22720991538939E-4</v>
          </cell>
          <cell r="J569">
            <v>1.10263061619139E-4</v>
          </cell>
          <cell r="K569">
            <v>6.5907890375490802E-5</v>
          </cell>
        </row>
        <row r="570">
          <cell r="B570" t="str">
            <v>ENGA-GTOC</v>
          </cell>
          <cell r="C570" t="str">
            <v>VAR_fout</v>
          </cell>
          <cell r="D570" t="str">
            <v>ELC13</v>
          </cell>
          <cell r="J570">
            <v>6.2650531879319879E-6</v>
          </cell>
          <cell r="K570">
            <v>4.1830072391515205E-2</v>
          </cell>
        </row>
        <row r="571">
          <cell r="B571" t="str">
            <v>ENGA-GTOC</v>
          </cell>
          <cell r="C571" t="str">
            <v>VAR_fout</v>
          </cell>
          <cell r="D571" t="str">
            <v>CO2_E</v>
          </cell>
          <cell r="J571">
            <v>1.2100057063295199E-3</v>
          </cell>
          <cell r="K571">
            <v>5.6139928494029698</v>
          </cell>
        </row>
        <row r="572">
          <cell r="B572" t="str">
            <v>ENGA-GTOC</v>
          </cell>
          <cell r="C572" t="str">
            <v>VAR_fin</v>
          </cell>
          <cell r="D572" t="str">
            <v>ENGA</v>
          </cell>
          <cell r="J572">
            <v>2.1454001885275219E-5</v>
          </cell>
          <cell r="K572">
            <v>9.9538880308563255E-2</v>
          </cell>
        </row>
        <row r="573">
          <cell r="B573" t="str">
            <v>ENGA-GTOC</v>
          </cell>
          <cell r="C573" t="str">
            <v>VAR_fin</v>
          </cell>
          <cell r="D573" t="str">
            <v>GTC</v>
          </cell>
          <cell r="I573">
            <v>2.6107963686323001E-4</v>
          </cell>
          <cell r="J573">
            <v>1.0872244647303106E-3</v>
          </cell>
          <cell r="K573">
            <v>6.6114080445435694E-2</v>
          </cell>
        </row>
        <row r="574">
          <cell r="B574" t="str">
            <v>ENGA-GTOC</v>
          </cell>
          <cell r="C574" t="str">
            <v>VAR_ncap</v>
          </cell>
          <cell r="D574" t="str">
            <v>-</v>
          </cell>
          <cell r="I574">
            <v>1.0841372795732699E-3</v>
          </cell>
          <cell r="J574">
            <v>8.9257812317926597E-6</v>
          </cell>
          <cell r="K574">
            <v>8.7873495378406899E-2</v>
          </cell>
        </row>
        <row r="575">
          <cell r="B575" t="str">
            <v>ENGA-GTOC</v>
          </cell>
          <cell r="C575" t="str">
            <v>VAR_cap</v>
          </cell>
          <cell r="D575" t="str">
            <v>-</v>
          </cell>
          <cell r="I575">
            <v>2.6107963686323001E-4</v>
          </cell>
          <cell r="J575">
            <v>1.0872244647303095E-3</v>
          </cell>
          <cell r="K575">
            <v>6.6114080445435722E-2</v>
          </cell>
        </row>
        <row r="576">
          <cell r="B576" t="str">
            <v>D-RSH2</v>
          </cell>
          <cell r="C576" t="str">
            <v>VAR_fout</v>
          </cell>
          <cell r="D576" t="str">
            <v>RSH2</v>
          </cell>
          <cell r="I576">
            <v>4.0610864983866001E-4</v>
          </cell>
          <cell r="J576">
            <v>3.3150661577566957E-4</v>
          </cell>
          <cell r="K576">
            <v>3.0710681287099059E-4</v>
          </cell>
        </row>
        <row r="577">
          <cell r="B577" t="str">
            <v>D-RSH2</v>
          </cell>
          <cell r="C577" t="str">
            <v>VAR_fin</v>
          </cell>
          <cell r="D577" t="str">
            <v>H2</v>
          </cell>
          <cell r="I577">
            <v>4.0920254311074036E-4</v>
          </cell>
          <cell r="J577">
            <v>3.3403216180529979E-4</v>
          </cell>
          <cell r="K577">
            <v>3.0944647173452168E-4</v>
          </cell>
        </row>
        <row r="578">
          <cell r="B578" t="str">
            <v>D-RSH2</v>
          </cell>
          <cell r="C578" t="str">
            <v>VAR_ncap</v>
          </cell>
          <cell r="D578" t="str">
            <v>-</v>
          </cell>
          <cell r="I578">
            <v>3.2686446608675103E-5</v>
          </cell>
          <cell r="J578">
            <v>3.25359787100847E-6</v>
          </cell>
          <cell r="K578">
            <v>1.64558941150427E-6</v>
          </cell>
        </row>
        <row r="579">
          <cell r="B579" t="str">
            <v>D-RSH2</v>
          </cell>
          <cell r="C579" t="str">
            <v>VAR_cap</v>
          </cell>
          <cell r="D579" t="str">
            <v>-</v>
          </cell>
          <cell r="I579">
            <v>1.21067599460787E-4</v>
          </cell>
          <cell r="J579">
            <v>1.2432119733179499E-4</v>
          </cell>
          <cell r="K579">
            <v>1.2596678674329899E-4</v>
          </cell>
        </row>
        <row r="580">
          <cell r="B580" t="str">
            <v>D-RWOD</v>
          </cell>
          <cell r="C580" t="str">
            <v>VAR_fout</v>
          </cell>
          <cell r="D580" t="str">
            <v>RWOD</v>
          </cell>
          <cell r="I580">
            <v>15.095454583396421</v>
          </cell>
          <cell r="J580">
            <v>13.31441665906687</v>
          </cell>
          <cell r="K580">
            <v>6.2168787718771394</v>
          </cell>
        </row>
        <row r="581">
          <cell r="B581" t="str">
            <v>D-RWOD</v>
          </cell>
          <cell r="C581" t="str">
            <v>VAR_fin</v>
          </cell>
          <cell r="D581" t="str">
            <v>WOD</v>
          </cell>
          <cell r="I581">
            <v>15.095454583396421</v>
          </cell>
          <cell r="J581">
            <v>13.31441665906687</v>
          </cell>
          <cell r="K581">
            <v>6.2168787718771394</v>
          </cell>
        </row>
        <row r="582">
          <cell r="B582" t="str">
            <v>CHPOIL</v>
          </cell>
          <cell r="C582" t="str">
            <v>VAR_fout</v>
          </cell>
          <cell r="D582" t="str">
            <v>ELC35</v>
          </cell>
          <cell r="I582">
            <v>1.0404981583056383E-3</v>
          </cell>
          <cell r="J582">
            <v>5.4156567619598455E-4</v>
          </cell>
          <cell r="K582">
            <v>9.6962240808662366E-6</v>
          </cell>
        </row>
        <row r="583">
          <cell r="B583" t="str">
            <v>CHPOIL</v>
          </cell>
          <cell r="C583" t="str">
            <v>VAR_fout</v>
          </cell>
          <cell r="D583" t="str">
            <v>LTH</v>
          </cell>
          <cell r="I583">
            <v>5.3511333855718532E-3</v>
          </cell>
          <cell r="J583">
            <v>2.7851949061507759E-3</v>
          </cell>
          <cell r="K583">
            <v>4.9866295273026346E-5</v>
          </cell>
        </row>
        <row r="584">
          <cell r="B584" t="str">
            <v>CHPOIL</v>
          </cell>
          <cell r="C584" t="str">
            <v>VAR_fout</v>
          </cell>
          <cell r="D584" t="str">
            <v>CO2_E</v>
          </cell>
          <cell r="I584">
            <v>0.80488129737031899</v>
          </cell>
          <cell r="J584">
            <v>0.37389669754153898</v>
          </cell>
          <cell r="K584">
            <v>7.7050611199893397E-3</v>
          </cell>
        </row>
        <row r="585">
          <cell r="B585" t="str">
            <v>CHPOIL</v>
          </cell>
          <cell r="C585" t="str">
            <v>VAR_fin</v>
          </cell>
          <cell r="D585" t="str">
            <v>ELFO</v>
          </cell>
          <cell r="I585">
            <v>1.0921048810994826E-2</v>
          </cell>
          <cell r="J585">
            <v>5.0732252040914449E-3</v>
          </cell>
          <cell r="K585">
            <v>1.0454628385331523E-4</v>
          </cell>
        </row>
        <row r="586">
          <cell r="B586" t="str">
            <v>CHPOIL</v>
          </cell>
          <cell r="C586" t="str">
            <v>VAR_ncap</v>
          </cell>
          <cell r="D586" t="str">
            <v>-</v>
          </cell>
          <cell r="I586">
            <v>1.19182806062854E-5</v>
          </cell>
          <cell r="J586">
            <v>4.0056168911823199E-5</v>
          </cell>
          <cell r="K586">
            <v>5.7246461950175798E-5</v>
          </cell>
        </row>
        <row r="587">
          <cell r="B587" t="str">
            <v>CHPOIL</v>
          </cell>
          <cell r="C587" t="str">
            <v>VAR_cap</v>
          </cell>
          <cell r="D587" t="str">
            <v>-</v>
          </cell>
          <cell r="I587">
            <v>6.7818321069007276E-4</v>
          </cell>
          <cell r="J587">
            <v>2.3524730230142403E-4</v>
          </cell>
          <cell r="K587">
            <v>1.0558981862596221E-4</v>
          </cell>
        </row>
        <row r="588">
          <cell r="B588" t="str">
            <v>CHPHFC</v>
          </cell>
          <cell r="C588" t="str">
            <v>VAR_fout</v>
          </cell>
          <cell r="D588" t="str">
            <v>ELC35</v>
          </cell>
          <cell r="J588">
            <v>8.0806658370732684E-2</v>
          </cell>
          <cell r="K588">
            <v>0.15075276230866452</v>
          </cell>
        </row>
        <row r="589">
          <cell r="B589" t="str">
            <v>CHPHFC</v>
          </cell>
          <cell r="C589" t="str">
            <v>VAR_fout</v>
          </cell>
          <cell r="D589" t="str">
            <v>LTH</v>
          </cell>
          <cell r="J589">
            <v>9.8122370878746451E-2</v>
          </cell>
          <cell r="K589">
            <v>0.1902356286276001</v>
          </cell>
        </row>
        <row r="590">
          <cell r="B590" t="str">
            <v>CHPHFC</v>
          </cell>
          <cell r="C590" t="str">
            <v>VAR_fin</v>
          </cell>
          <cell r="D590" t="str">
            <v>EH2</v>
          </cell>
          <cell r="J590">
            <v>0.19239680564460154</v>
          </cell>
          <cell r="K590">
            <v>0.3589351483539634</v>
          </cell>
        </row>
        <row r="591">
          <cell r="B591" t="str">
            <v>CHPHFC</v>
          </cell>
          <cell r="C591" t="str">
            <v>VAR_ncap</v>
          </cell>
          <cell r="D591" t="str">
            <v>-</v>
          </cell>
          <cell r="J591">
            <v>1.2718124540834401E-2</v>
          </cell>
          <cell r="K591">
            <v>7.3082156232997702E-6</v>
          </cell>
        </row>
        <row r="592">
          <cell r="B592" t="str">
            <v>CHPHFC</v>
          </cell>
          <cell r="C592" t="str">
            <v>VAR_cap</v>
          </cell>
          <cell r="D592" t="str">
            <v>-</v>
          </cell>
          <cell r="J592">
            <v>1.2718124540834401E-2</v>
          </cell>
          <cell r="K592">
            <v>1.2725315058564416E-2</v>
          </cell>
        </row>
        <row r="593">
          <cell r="B593" t="str">
            <v>ITOT-ESOLPV</v>
          </cell>
          <cell r="C593" t="str">
            <v>VAR_fout</v>
          </cell>
          <cell r="D593" t="str">
            <v>ITOT_SOL_ELC</v>
          </cell>
          <cell r="I593">
            <v>20.470722599066789</v>
          </cell>
          <cell r="J593">
            <v>40.847640394945373</v>
          </cell>
          <cell r="K593">
            <v>45.1212184008496</v>
          </cell>
        </row>
        <row r="594">
          <cell r="B594" t="str">
            <v>ITOT-ESOLPV</v>
          </cell>
          <cell r="C594" t="str">
            <v>VAR_fin</v>
          </cell>
          <cell r="D594" t="str">
            <v>SOL</v>
          </cell>
          <cell r="I594">
            <v>20.470722599066789</v>
          </cell>
          <cell r="J594">
            <v>40.847640394945373</v>
          </cell>
          <cell r="K594">
            <v>45.1212184008496</v>
          </cell>
        </row>
        <row r="595">
          <cell r="B595" t="str">
            <v>ITOT-ESOLPV</v>
          </cell>
          <cell r="C595" t="str">
            <v>VAR_fin</v>
          </cell>
          <cell r="D595" t="str">
            <v>SOLPVC</v>
          </cell>
          <cell r="I595">
            <v>20.4707225990668</v>
          </cell>
          <cell r="J595">
            <v>40.847640394945401</v>
          </cell>
          <cell r="K595">
            <v>45.1212184008496</v>
          </cell>
        </row>
        <row r="596">
          <cell r="B596" t="str">
            <v>ITOT-ESOLPV</v>
          </cell>
          <cell r="C596" t="str">
            <v>VAR_ncap</v>
          </cell>
          <cell r="D596" t="str">
            <v>-</v>
          </cell>
          <cell r="I596">
            <v>0.79881048023579304</v>
          </cell>
          <cell r="J596">
            <v>6.58650241945013</v>
          </cell>
          <cell r="K596">
            <v>5.2321860411825902</v>
          </cell>
        </row>
        <row r="597">
          <cell r="B597" t="str">
            <v>ITOT-ESOLPV</v>
          </cell>
          <cell r="C597" t="str">
            <v>VAR_cap</v>
          </cell>
          <cell r="D597" t="str">
            <v>-</v>
          </cell>
          <cell r="I597">
            <v>5.9011149541323906</v>
          </cell>
          <cell r="J597">
            <v>11.775187071310036</v>
          </cell>
          <cell r="K597">
            <v>13.007134517401299</v>
          </cell>
        </row>
        <row r="598">
          <cell r="B598" t="str">
            <v>RHNS-CHPNGA</v>
          </cell>
          <cell r="C598" t="str">
            <v>VAR_fout</v>
          </cell>
          <cell r="D598" t="str">
            <v>CO2_R</v>
          </cell>
          <cell r="I598">
            <v>0.43462636066437998</v>
          </cell>
          <cell r="J598">
            <v>0.16057094667941901</v>
          </cell>
        </row>
        <row r="599">
          <cell r="B599" t="str">
            <v>RHNS-CHPNGA</v>
          </cell>
          <cell r="C599" t="str">
            <v>VAR_fout</v>
          </cell>
          <cell r="D599" t="str">
            <v>RHNS_LTH_CHPNGA</v>
          </cell>
          <cell r="I599">
            <v>3.2142024235917782E-3</v>
          </cell>
          <cell r="J599">
            <v>1.6543791566326984E-3</v>
          </cell>
        </row>
        <row r="600">
          <cell r="B600" t="str">
            <v>RHNS-CHPNGA</v>
          </cell>
          <cell r="C600" t="str">
            <v>VAR_fout</v>
          </cell>
          <cell r="D600" t="str">
            <v>RHNS_NKEV_GAS_ELC_CHP</v>
          </cell>
          <cell r="I600">
            <v>1.4186579281118574E-3</v>
          </cell>
          <cell r="J600">
            <v>7.3671571818799885E-4</v>
          </cell>
        </row>
        <row r="601">
          <cell r="B601" t="str">
            <v>RHNS-CHPNGA</v>
          </cell>
          <cell r="C601" t="str">
            <v>VAR_fin</v>
          </cell>
          <cell r="D601" t="str">
            <v>RNGA</v>
          </cell>
          <cell r="I601">
            <v>7.7061411465315669E-3</v>
          </cell>
          <cell r="J601">
            <v>2.8470026006989228E-3</v>
          </cell>
        </row>
        <row r="602">
          <cell r="B602" t="str">
            <v>RHNS-CHPNGA</v>
          </cell>
          <cell r="C602" t="str">
            <v>VAR_ncap</v>
          </cell>
          <cell r="D602" t="str">
            <v>-</v>
          </cell>
        </row>
        <row r="603">
          <cell r="B603" t="str">
            <v>RHNS-CHPNGA</v>
          </cell>
          <cell r="C603" t="str">
            <v>VAR_cap</v>
          </cell>
          <cell r="D603" t="str">
            <v>-</v>
          </cell>
          <cell r="I603">
            <v>1.2581372254080031E-4</v>
          </cell>
          <cell r="J603">
            <v>6.5221910264058212E-5</v>
          </cell>
        </row>
        <row r="604">
          <cell r="B604" t="str">
            <v>ENUC_BEZ</v>
          </cell>
          <cell r="C604" t="str">
            <v>VAR_fout</v>
          </cell>
          <cell r="D604" t="str">
            <v>ELC</v>
          </cell>
        </row>
        <row r="605">
          <cell r="B605" t="str">
            <v>ENUC_BEZ</v>
          </cell>
          <cell r="C605" t="str">
            <v>VAR_fin</v>
          </cell>
          <cell r="D605" t="str">
            <v>URN</v>
          </cell>
        </row>
        <row r="606">
          <cell r="B606" t="str">
            <v>ENUC_BEZ</v>
          </cell>
          <cell r="C606" t="str">
            <v>VAR_cap</v>
          </cell>
          <cell r="D606" t="str">
            <v>-</v>
          </cell>
        </row>
        <row r="607">
          <cell r="B607" t="str">
            <v>RHNM-CHPWOD</v>
          </cell>
          <cell r="C607" t="str">
            <v>VAR_fout</v>
          </cell>
          <cell r="D607" t="str">
            <v>RHNM_LTH_CHPWOD</v>
          </cell>
          <cell r="I607">
            <v>0.83484684193562164</v>
          </cell>
          <cell r="J607">
            <v>0.92035494327684708</v>
          </cell>
          <cell r="K607">
            <v>1.5766688476143445E-2</v>
          </cell>
        </row>
        <row r="608">
          <cell r="B608" t="str">
            <v>RHNM-CHPWOD</v>
          </cell>
          <cell r="C608" t="str">
            <v>VAR_fout</v>
          </cell>
          <cell r="D608" t="str">
            <v>RHNM_KEV_WOD_ELC_CHP</v>
          </cell>
          <cell r="I608">
            <v>0.31384057206098376</v>
          </cell>
          <cell r="J608">
            <v>0.34598528423185126</v>
          </cell>
          <cell r="K608">
            <v>5.9271069641798476E-3</v>
          </cell>
        </row>
        <row r="609">
          <cell r="B609" t="str">
            <v>RHNM-CHPWOD</v>
          </cell>
          <cell r="C609" t="str">
            <v>VAR_fin</v>
          </cell>
          <cell r="D609" t="str">
            <v>RWOD</v>
          </cell>
          <cell r="I609">
            <v>1.1708484608353542</v>
          </cell>
          <cell r="J609">
            <v>1.2634497308749533</v>
          </cell>
          <cell r="K609">
            <v>2.1358749962390296E-2</v>
          </cell>
        </row>
        <row r="610">
          <cell r="B610" t="str">
            <v>RHNM-CHPWOD</v>
          </cell>
          <cell r="C610" t="str">
            <v>VAR_ncap</v>
          </cell>
          <cell r="D610" t="str">
            <v>-</v>
          </cell>
          <cell r="I610">
            <v>2.2871315517930198E-2</v>
          </cell>
          <cell r="J610">
            <v>2.5174970686864802E-3</v>
          </cell>
          <cell r="K610">
            <v>4.6650225263009798E-7</v>
          </cell>
        </row>
        <row r="611">
          <cell r="B611" t="str">
            <v>RHNM-CHPWOD</v>
          </cell>
          <cell r="C611" t="str">
            <v>VAR_cap</v>
          </cell>
          <cell r="D611" t="str">
            <v>-</v>
          </cell>
          <cell r="I611">
            <v>2.328836759604018E-2</v>
          </cell>
          <cell r="J611">
            <v>2.5673546568057877E-2</v>
          </cell>
          <cell r="K611">
            <v>4.4005064387759966E-4</v>
          </cell>
        </row>
        <row r="612">
          <cell r="B612" t="str">
            <v>RHNM-SHSTG-CHPNGA</v>
          </cell>
          <cell r="C612" t="str">
            <v>VAR_fout</v>
          </cell>
          <cell r="D612" t="str">
            <v>AUX_RNM-CHPNGA_OUT</v>
          </cell>
          <cell r="I612">
            <v>2.7640624569868428E-3</v>
          </cell>
          <cell r="J612">
            <v>1.0457939882077721E-3</v>
          </cell>
          <cell r="K612">
            <v>2.5740565111891149E-4</v>
          </cell>
        </row>
        <row r="613">
          <cell r="B613" t="str">
            <v>RHNM-SHSTG-CHPNGA</v>
          </cell>
          <cell r="C613" t="str">
            <v>VAR_fout</v>
          </cell>
          <cell r="D613" t="str">
            <v>RHNM_LTH_CHPNGA</v>
          </cell>
          <cell r="I613">
            <v>2.7666029555686272E-3</v>
          </cell>
          <cell r="J613">
            <v>1.0457939882077684E-3</v>
          </cell>
          <cell r="K613">
            <v>2.5740565111891117E-4</v>
          </cell>
        </row>
        <row r="614">
          <cell r="B614" t="str">
            <v>RHNM-SHSTG-CHPNGA</v>
          </cell>
          <cell r="C614" t="str">
            <v>VAR_fin</v>
          </cell>
          <cell r="D614" t="str">
            <v>AUX_RNM-CHPNGA_IN</v>
          </cell>
          <cell r="I614">
            <v>3.3586555444580285E-3</v>
          </cell>
          <cell r="J614">
            <v>1.2355428364208554E-3</v>
          </cell>
          <cell r="K614">
            <v>2.2038543090306645E-4</v>
          </cell>
        </row>
        <row r="615">
          <cell r="B615" t="str">
            <v>RHNM-SHSTG-CHPNGA</v>
          </cell>
          <cell r="C615" t="str">
            <v>VAR_fin</v>
          </cell>
          <cell r="D615" t="str">
            <v>RHNM_LTH_CHPNGA</v>
          </cell>
          <cell r="I615">
            <v>3.3586555444580285E-3</v>
          </cell>
          <cell r="J615">
            <v>1.2355428364208554E-3</v>
          </cell>
          <cell r="K615">
            <v>2.2038543090306645E-4</v>
          </cell>
        </row>
        <row r="616">
          <cell r="B616" t="str">
            <v>RHNM-SHSTG-CHPNGA</v>
          </cell>
          <cell r="C616" t="str">
            <v>VAR_ncap</v>
          </cell>
          <cell r="D616" t="str">
            <v>-</v>
          </cell>
          <cell r="I616">
            <v>3.6805277747163001E-3</v>
          </cell>
          <cell r="J616">
            <v>1.2375138584861899E-4</v>
          </cell>
          <cell r="K616">
            <v>2.69013365508395E-5</v>
          </cell>
        </row>
        <row r="617">
          <cell r="B617" t="str">
            <v>RHNM-SHSTG-CHPNGA</v>
          </cell>
          <cell r="C617" t="str">
            <v>VAR_cap</v>
          </cell>
          <cell r="D617" t="str">
            <v>-</v>
          </cell>
          <cell r="I617">
            <v>4.9548105353615975E-3</v>
          </cell>
          <cell r="J617">
            <v>3.8191383488837454E-3</v>
          </cell>
          <cell r="K617">
            <v>1.6389841987414185E-3</v>
          </cell>
        </row>
        <row r="618">
          <cell r="B618" t="str">
            <v>CT_CWODBDS</v>
          </cell>
          <cell r="C618" t="str">
            <v>VAR_fout</v>
          </cell>
          <cell r="D618" t="str">
            <v>BDS</v>
          </cell>
          <cell r="I618">
            <v>2.6997227854073267E-3</v>
          </cell>
          <cell r="J618">
            <v>2.4630688937248893E-3</v>
          </cell>
          <cell r="K618">
            <v>2.1434968003549802E-3</v>
          </cell>
        </row>
        <row r="619">
          <cell r="B619" t="str">
            <v>CT_CWODBDS</v>
          </cell>
          <cell r="C619" t="str">
            <v>VAR_fout</v>
          </cell>
          <cell r="D619" t="str">
            <v>LTH</v>
          </cell>
          <cell r="I619">
            <v>1.052891886308856E-3</v>
          </cell>
          <cell r="J619">
            <v>9.6059686855270597E-4</v>
          </cell>
          <cell r="K619">
            <v>8.3596375213844116E-4</v>
          </cell>
        </row>
        <row r="620">
          <cell r="B620" t="str">
            <v>CT_CWODBDS</v>
          </cell>
          <cell r="C620" t="str">
            <v>VAR_fin</v>
          </cell>
          <cell r="D620" t="str">
            <v>CWOD</v>
          </cell>
          <cell r="I620">
            <v>7.6928600770181776E-3</v>
          </cell>
          <cell r="J620">
            <v>7.0185148126690735E-3</v>
          </cell>
          <cell r="K620">
            <v>6.1078941326115129E-3</v>
          </cell>
        </row>
        <row r="621">
          <cell r="B621" t="str">
            <v>CT_CWODBDS</v>
          </cell>
          <cell r="C621" t="str">
            <v>VAR_fin</v>
          </cell>
          <cell r="D621" t="str">
            <v>CELC</v>
          </cell>
          <cell r="I621">
            <v>1.8763073358580933E-4</v>
          </cell>
          <cell r="J621">
            <v>1.7118328811387964E-4</v>
          </cell>
          <cell r="K621">
            <v>1.4897302762467116E-4</v>
          </cell>
        </row>
        <row r="622">
          <cell r="B622" t="str">
            <v>CT_CWODBDS</v>
          </cell>
          <cell r="C622" t="str">
            <v>VAR_ncap</v>
          </cell>
          <cell r="D622" t="str">
            <v>-</v>
          </cell>
          <cell r="I622">
            <v>9.71969712287277E-5</v>
          </cell>
          <cell r="J622">
            <v>3.6969469415672197E-5</v>
          </cell>
          <cell r="K622">
            <v>5.6384604322881902E-6</v>
          </cell>
        </row>
        <row r="623">
          <cell r="B623" t="str">
            <v>CT_CWODBDS</v>
          </cell>
          <cell r="C623" t="str">
            <v>VAR_cap</v>
          </cell>
          <cell r="D623" t="str">
            <v>-</v>
          </cell>
          <cell r="I623">
            <v>1.4934298889738261E-4</v>
          </cell>
          <cell r="J623">
            <v>1.3457085159476081E-4</v>
          </cell>
          <cell r="K623">
            <v>1.1968322367316744E-4</v>
          </cell>
        </row>
        <row r="624">
          <cell r="B624" t="str">
            <v>RHNS-EBAT</v>
          </cell>
          <cell r="C624" t="str">
            <v>VAR_fout</v>
          </cell>
          <cell r="D624" t="str">
            <v>RHNS_ELC</v>
          </cell>
          <cell r="I624">
            <v>0.32385920687624942</v>
          </cell>
          <cell r="J624">
            <v>0.23363914391234172</v>
          </cell>
          <cell r="K624">
            <v>0.3469433233383904</v>
          </cell>
        </row>
        <row r="625">
          <cell r="B625" t="str">
            <v>RHNS-EBAT</v>
          </cell>
          <cell r="C625" t="str">
            <v>VAR_fout</v>
          </cell>
          <cell r="D625" t="str">
            <v>AUX_RHNS-EBAT_OUT</v>
          </cell>
          <cell r="I625">
            <v>0.32385920687624981</v>
          </cell>
          <cell r="J625">
            <v>0.23363914391234183</v>
          </cell>
          <cell r="K625">
            <v>0.3469433233383909</v>
          </cell>
        </row>
        <row r="626">
          <cell r="B626" t="str">
            <v>RHNS-EBAT</v>
          </cell>
          <cell r="C626" t="str">
            <v>VAR_fin</v>
          </cell>
          <cell r="D626" t="str">
            <v>RHNS_ELC</v>
          </cell>
          <cell r="I626">
            <v>0.35814586283351507</v>
          </cell>
          <cell r="J626">
            <v>0.2583742151414618</v>
          </cell>
          <cell r="K626">
            <v>0.38367331844938579</v>
          </cell>
        </row>
        <row r="627">
          <cell r="B627" t="str">
            <v>RHNS-EBAT</v>
          </cell>
          <cell r="C627" t="str">
            <v>VAR_fin</v>
          </cell>
          <cell r="D627" t="str">
            <v>AUX_RHNS-EBAT_IN</v>
          </cell>
          <cell r="I627">
            <v>0.35814586283351507</v>
          </cell>
          <cell r="J627">
            <v>0.2583742151414618</v>
          </cell>
          <cell r="K627">
            <v>0.38367331844938579</v>
          </cell>
        </row>
        <row r="628">
          <cell r="B628" t="str">
            <v>RHNS-EBAT</v>
          </cell>
          <cell r="C628" t="str">
            <v>VAR_ncap</v>
          </cell>
          <cell r="D628" t="str">
            <v>-</v>
          </cell>
          <cell r="I628">
            <v>4.4827155036211999E-2</v>
          </cell>
          <cell r="J628">
            <v>0.13371432096867999</v>
          </cell>
          <cell r="K628">
            <v>0.16606849369179899</v>
          </cell>
        </row>
        <row r="629">
          <cell r="B629" t="str">
            <v>RHNS-EBAT</v>
          </cell>
          <cell r="C629" t="str">
            <v>VAR_cap</v>
          </cell>
          <cell r="D629" t="str">
            <v>-</v>
          </cell>
          <cell r="I629">
            <v>0.18070752089603018</v>
          </cell>
          <cell r="J629">
            <v>0.1969065430326784</v>
          </cell>
          <cell r="K629">
            <v>0.24099318072592313</v>
          </cell>
        </row>
        <row r="630">
          <cell r="B630" t="str">
            <v>G-INTC-EXP00-AT</v>
          </cell>
          <cell r="C630" t="str">
            <v>VAR_fout</v>
          </cell>
          <cell r="D630" t="str">
            <v>ELC_E-AT</v>
          </cell>
          <cell r="I630">
            <v>3.0150684512738989E-4</v>
          </cell>
          <cell r="J630">
            <v>3.2237456937897236E-4</v>
          </cell>
          <cell r="K630">
            <v>2.0249173388059151E-4</v>
          </cell>
        </row>
        <row r="631">
          <cell r="B631" t="str">
            <v>G-INTC-EXP00-AT</v>
          </cell>
          <cell r="C631" t="str">
            <v>VAR_fin</v>
          </cell>
          <cell r="D631" t="str">
            <v>ELC</v>
          </cell>
          <cell r="I631">
            <v>3.0150684512738989E-4</v>
          </cell>
          <cell r="J631">
            <v>3.2237456937897236E-4</v>
          </cell>
          <cell r="K631">
            <v>2.0249173388059151E-4</v>
          </cell>
        </row>
        <row r="632">
          <cell r="B632" t="str">
            <v>G-INTC-EXP00-AT</v>
          </cell>
          <cell r="C632" t="str">
            <v>VAR_ncap</v>
          </cell>
          <cell r="D632" t="str">
            <v>-</v>
          </cell>
          <cell r="I632">
            <v>1.1456089001033901E-6</v>
          </cell>
          <cell r="J632">
            <v>1.7017810068589099E-6</v>
          </cell>
          <cell r="K632">
            <v>3.6196506257288399E-6</v>
          </cell>
        </row>
        <row r="633">
          <cell r="B633" t="str">
            <v>G-INTC-EXP00-AT</v>
          </cell>
          <cell r="C633" t="str">
            <v>VAR_cap</v>
          </cell>
          <cell r="D633" t="str">
            <v>-</v>
          </cell>
          <cell r="I633">
            <v>6.6965752300118808E-4</v>
          </cell>
          <cell r="J633">
            <v>6.6781017401318366E-4</v>
          </cell>
          <cell r="K633">
            <v>6.7110242978518642E-4</v>
          </cell>
        </row>
        <row r="634">
          <cell r="B634" t="str">
            <v>ENUC_LRG_GOE</v>
          </cell>
          <cell r="C634" t="str">
            <v>VAR_fout</v>
          </cell>
          <cell r="D634" t="str">
            <v>LTH</v>
          </cell>
          <cell r="K634">
            <v>5.8517684272969307E-3</v>
          </cell>
        </row>
        <row r="635">
          <cell r="B635" t="str">
            <v>ENUC_LRG_GOE</v>
          </cell>
          <cell r="C635" t="str">
            <v>VAR_fout</v>
          </cell>
          <cell r="D635" t="str">
            <v>ELC</v>
          </cell>
          <cell r="K635">
            <v>2.0305569607735632E-2</v>
          </cell>
        </row>
        <row r="636">
          <cell r="B636" t="str">
            <v>ENUC_LRG_GOE</v>
          </cell>
          <cell r="C636" t="str">
            <v>VAR_fin</v>
          </cell>
          <cell r="D636" t="str">
            <v>URN</v>
          </cell>
          <cell r="K636">
            <v>7.2855045114017011E-2</v>
          </cell>
        </row>
        <row r="637">
          <cell r="B637" t="str">
            <v>ENUC_LRG_GOE</v>
          </cell>
          <cell r="C637" t="str">
            <v>VAR_ncap</v>
          </cell>
          <cell r="D637" t="str">
            <v>-</v>
          </cell>
          <cell r="J637">
            <v>6.9467851147941005E-4</v>
          </cell>
          <cell r="K637">
            <v>2.2641438864756101E-3</v>
          </cell>
        </row>
        <row r="638">
          <cell r="B638" t="str">
            <v>ENUC_LRG_GOE</v>
          </cell>
          <cell r="C638" t="str">
            <v>VAR_cap</v>
          </cell>
          <cell r="D638" t="str">
            <v>-</v>
          </cell>
          <cell r="K638">
            <v>9.1667389964173503E-4</v>
          </cell>
        </row>
        <row r="639">
          <cell r="B639" t="str">
            <v>G-INTC-IMP00-DE</v>
          </cell>
          <cell r="C639" t="str">
            <v>VAR_fout</v>
          </cell>
          <cell r="D639" t="str">
            <v>ELC</v>
          </cell>
          <cell r="I639">
            <v>34.988331141078888</v>
          </cell>
          <cell r="J639">
            <v>15.786185864923109</v>
          </cell>
          <cell r="K639">
            <v>8.123334947078007</v>
          </cell>
        </row>
        <row r="640">
          <cell r="B640" t="str">
            <v>G-INTC-IMP00-DE</v>
          </cell>
          <cell r="C640" t="str">
            <v>VAR_fin</v>
          </cell>
          <cell r="D640" t="str">
            <v>ELC_I-DE</v>
          </cell>
          <cell r="I640">
            <v>34.988331141078888</v>
          </cell>
          <cell r="J640">
            <v>15.786185864923109</v>
          </cell>
          <cell r="K640">
            <v>8.123334947078007</v>
          </cell>
        </row>
        <row r="641">
          <cell r="B641" t="str">
            <v>G-INTC-IMP00-DE</v>
          </cell>
          <cell r="C641" t="str">
            <v>VAR_ncap</v>
          </cell>
          <cell r="D641" t="str">
            <v>-</v>
          </cell>
          <cell r="I641">
            <v>1.7725921435360799E-6</v>
          </cell>
          <cell r="J641">
            <v>2.7681572863522601E-6</v>
          </cell>
          <cell r="K641">
            <v>4.3463996163978403E-6</v>
          </cell>
        </row>
        <row r="642">
          <cell r="B642" t="str">
            <v>G-INTC-IMP00-DE</v>
          </cell>
          <cell r="C642" t="str">
            <v>VAR_cap</v>
          </cell>
          <cell r="D642" t="str">
            <v>-</v>
          </cell>
          <cell r="I642">
            <v>2.2207605907480019</v>
          </cell>
          <cell r="J642">
            <v>1.9999923160181194</v>
          </cell>
          <cell r="K642">
            <v>1.5270079969976926</v>
          </cell>
        </row>
        <row r="643">
          <cell r="B643" t="str">
            <v>RHEM-SHSTG-CHPWOD</v>
          </cell>
          <cell r="C643" t="str">
            <v>VAR_fout</v>
          </cell>
          <cell r="D643" t="str">
            <v>AUX_REM-CHPWOD_OUT</v>
          </cell>
          <cell r="I643">
            <v>1.8071796664407128E-2</v>
          </cell>
          <cell r="J643">
            <v>9.172916478060596E-3</v>
          </cell>
          <cell r="K643">
            <v>4.5323764077064913E-3</v>
          </cell>
        </row>
        <row r="644">
          <cell r="B644" t="str">
            <v>RHEM-SHSTG-CHPWOD</v>
          </cell>
          <cell r="C644" t="str">
            <v>VAR_fout</v>
          </cell>
          <cell r="D644" t="str">
            <v>RHEM_LTH_CHPWOD</v>
          </cell>
          <cell r="I644">
            <v>1.8088406771635392E-2</v>
          </cell>
          <cell r="J644">
            <v>9.1729164780605631E-3</v>
          </cell>
          <cell r="K644">
            <v>4.5323764077064869E-3</v>
          </cell>
        </row>
        <row r="645">
          <cell r="B645" t="str">
            <v>RHEM-SHSTG-CHPWOD</v>
          </cell>
          <cell r="C645" t="str">
            <v>VAR_fin</v>
          </cell>
          <cell r="D645" t="str">
            <v>AUX_REM-CHPWOD_IN</v>
          </cell>
          <cell r="I645">
            <v>2.1930539637754477E-2</v>
          </cell>
          <cell r="J645">
            <v>1.0796863412719557E-2</v>
          </cell>
          <cell r="K645">
            <v>5.0411885940823886E-3</v>
          </cell>
        </row>
        <row r="646">
          <cell r="B646" t="str">
            <v>RHEM-SHSTG-CHPWOD</v>
          </cell>
          <cell r="C646" t="str">
            <v>VAR_fin</v>
          </cell>
          <cell r="D646" t="str">
            <v>RHEM_LTH_CHPWOD</v>
          </cell>
          <cell r="I646">
            <v>2.1930539637754477E-2</v>
          </cell>
          <cell r="J646">
            <v>1.0796863412719557E-2</v>
          </cell>
          <cell r="K646">
            <v>5.0411885940823886E-3</v>
          </cell>
        </row>
        <row r="647">
          <cell r="B647" t="str">
            <v>RHEM-SHSTG-CHPWOD</v>
          </cell>
          <cell r="C647" t="str">
            <v>VAR_ncap</v>
          </cell>
          <cell r="D647" t="str">
            <v>-</v>
          </cell>
          <cell r="I647">
            <v>8.4391974606905298E-3</v>
          </cell>
          <cell r="J647">
            <v>2.08818652519551E-4</v>
          </cell>
          <cell r="K647">
            <v>2.0383193299720401E-4</v>
          </cell>
        </row>
        <row r="648">
          <cell r="B648" t="str">
            <v>RHEM-SHSTG-CHPWOD</v>
          </cell>
          <cell r="C648" t="str">
            <v>VAR_cap</v>
          </cell>
          <cell r="D648" t="str">
            <v>-</v>
          </cell>
          <cell r="I648">
            <v>9.6292385050454326E-3</v>
          </cell>
          <cell r="J648">
            <v>8.8190770917971843E-3</v>
          </cell>
          <cell r="K648">
            <v>3.8665871692960176E-3</v>
          </cell>
        </row>
        <row r="649">
          <cell r="B649" t="str">
            <v>G-INTC-EXP00-FR</v>
          </cell>
          <cell r="C649" t="str">
            <v>VAR_fout</v>
          </cell>
          <cell r="D649" t="str">
            <v>ELC_E-FR</v>
          </cell>
          <cell r="I649">
            <v>8.3185356317446791E-4</v>
          </cell>
          <cell r="J649">
            <v>2.8129579689150476E-3</v>
          </cell>
          <cell r="K649">
            <v>2.1315447058955195E-3</v>
          </cell>
        </row>
        <row r="650">
          <cell r="B650" t="str">
            <v>G-INTC-EXP00-FR</v>
          </cell>
          <cell r="C650" t="str">
            <v>VAR_fin</v>
          </cell>
          <cell r="D650" t="str">
            <v>ELC</v>
          </cell>
          <cell r="I650">
            <v>8.3185356317446791E-4</v>
          </cell>
          <cell r="J650">
            <v>2.8129579689150476E-3</v>
          </cell>
          <cell r="K650">
            <v>2.1315447058955195E-3</v>
          </cell>
        </row>
        <row r="651">
          <cell r="B651" t="str">
            <v>G-INTC-EXP00-FR</v>
          </cell>
          <cell r="C651" t="str">
            <v>VAR_ncap</v>
          </cell>
          <cell r="D651" t="str">
            <v>-</v>
          </cell>
          <cell r="I651">
            <v>2.1346052479644799E-6</v>
          </cell>
          <cell r="J651">
            <v>3.5001218184399501E-6</v>
          </cell>
          <cell r="K651">
            <v>5.8852954111994201E-6</v>
          </cell>
        </row>
        <row r="652">
          <cell r="B652" t="str">
            <v>G-INTC-EXP00-FR</v>
          </cell>
          <cell r="C652" t="str">
            <v>VAR_cap</v>
          </cell>
          <cell r="D652" t="str">
            <v>-</v>
          </cell>
          <cell r="I652">
            <v>1.203431281079359E-3</v>
          </cell>
          <cell r="J652">
            <v>1.2032441881597578E-3</v>
          </cell>
          <cell r="K652">
            <v>1.2061609685547481E-3</v>
          </cell>
        </row>
        <row r="653">
          <cell r="B653" t="str">
            <v>RHNM-EBAT</v>
          </cell>
          <cell r="C653" t="str">
            <v>VAR_fout</v>
          </cell>
          <cell r="D653" t="str">
            <v>RHNM_ELC</v>
          </cell>
          <cell r="I653">
            <v>5.3950801296712016E-2</v>
          </cell>
          <cell r="J653">
            <v>3.9894257059130647E-2</v>
          </cell>
          <cell r="K653">
            <v>6.0711235154884087E-2</v>
          </cell>
        </row>
        <row r="654">
          <cell r="B654" t="str">
            <v>RHNM-EBAT</v>
          </cell>
          <cell r="C654" t="str">
            <v>VAR_fout</v>
          </cell>
          <cell r="D654" t="str">
            <v>AUX_RHNM-EBAT_OUT</v>
          </cell>
          <cell r="I654">
            <v>5.3950801296712078E-2</v>
          </cell>
          <cell r="J654">
            <v>3.9894257059130703E-2</v>
          </cell>
          <cell r="K654">
            <v>6.0711235154884191E-2</v>
          </cell>
        </row>
        <row r="655">
          <cell r="B655" t="str">
            <v>RHNM-EBAT</v>
          </cell>
          <cell r="C655" t="str">
            <v>VAR_fin</v>
          </cell>
          <cell r="D655" t="str">
            <v>RHNM_ELC</v>
          </cell>
          <cell r="I655">
            <v>5.9663658860970588E-2</v>
          </cell>
          <cell r="J655">
            <v>4.4118565295401584E-2</v>
          </cell>
          <cell r="K655">
            <v>6.7139328538129595E-2</v>
          </cell>
        </row>
        <row r="656">
          <cell r="B656" t="str">
            <v>RHNM-EBAT</v>
          </cell>
          <cell r="C656" t="str">
            <v>VAR_fin</v>
          </cell>
          <cell r="D656" t="str">
            <v>AUX_RHNM-EBAT_IN</v>
          </cell>
          <cell r="I656">
            <v>5.9663658860970588E-2</v>
          </cell>
          <cell r="J656">
            <v>4.4118565295401584E-2</v>
          </cell>
          <cell r="K656">
            <v>6.7139328538129595E-2</v>
          </cell>
        </row>
        <row r="657">
          <cell r="B657" t="str">
            <v>RHNM-EBAT</v>
          </cell>
          <cell r="C657" t="str">
            <v>VAR_ncap</v>
          </cell>
          <cell r="D657" t="str">
            <v>-</v>
          </cell>
          <cell r="I657">
            <v>1.15706758339322E-2</v>
          </cell>
          <cell r="J657">
            <v>1.6224070227026498E-2</v>
          </cell>
          <cell r="K657">
            <v>2.45840094491977E-2</v>
          </cell>
        </row>
        <row r="658">
          <cell r="B658" t="str">
            <v>RHNM-EBAT</v>
          </cell>
          <cell r="C658" t="str">
            <v>VAR_cap</v>
          </cell>
          <cell r="D658" t="str">
            <v>-</v>
          </cell>
          <cell r="I658">
            <v>2.5860890390624586E-2</v>
          </cell>
          <cell r="J658">
            <v>2.865372224129752E-2</v>
          </cell>
          <cell r="K658">
            <v>3.4750580066821302E-2</v>
          </cell>
        </row>
        <row r="659">
          <cell r="B659" t="str">
            <v>ITOT-CHPWST</v>
          </cell>
          <cell r="C659" t="str">
            <v>VAR_fout</v>
          </cell>
          <cell r="D659" t="str">
            <v>ITOT_LTH_CHP</v>
          </cell>
          <cell r="I659">
            <v>1.3241904823841312E-2</v>
          </cell>
          <cell r="J659">
            <v>4.0021022162658034E-3</v>
          </cell>
          <cell r="K659">
            <v>7.25970436216273E-4</v>
          </cell>
        </row>
        <row r="660">
          <cell r="B660" t="str">
            <v>ITOT-CHPWST</v>
          </cell>
          <cell r="C660" t="str">
            <v>VAR_fout</v>
          </cell>
          <cell r="D660" t="str">
            <v>ITOT_KEV_WST_ELC_CHP</v>
          </cell>
          <cell r="I660">
            <v>2.2438449936263414E-3</v>
          </cell>
          <cell r="J660">
            <v>7.9014243905172442E-4</v>
          </cell>
          <cell r="K660">
            <v>2.1400870080227221E-4</v>
          </cell>
        </row>
        <row r="661">
          <cell r="B661" t="str">
            <v>ITOT-CHPWST</v>
          </cell>
          <cell r="C661" t="str">
            <v>VAR_fout</v>
          </cell>
          <cell r="D661" t="str">
            <v>CO2_I</v>
          </cell>
          <cell r="I661">
            <v>3.36001144863426</v>
          </cell>
          <cell r="J661">
            <v>1.1831867391940301</v>
          </cell>
          <cell r="K661">
            <v>0.32046406362538699</v>
          </cell>
        </row>
        <row r="662">
          <cell r="B662" t="str">
            <v>ITOT-CHPWST</v>
          </cell>
          <cell r="C662" t="str">
            <v>VAR_fin</v>
          </cell>
          <cell r="D662" t="str">
            <v>IWST</v>
          </cell>
          <cell r="I662">
            <v>3.6207019920627879E-2</v>
          </cell>
          <cell r="J662">
            <v>1.2749857103383911E-2</v>
          </cell>
          <cell r="K662">
            <v>3.4532765476873663E-3</v>
          </cell>
        </row>
        <row r="663">
          <cell r="B663" t="str">
            <v>ITOT-CHPWST</v>
          </cell>
          <cell r="C663" t="str">
            <v>VAR_ncap</v>
          </cell>
          <cell r="D663" t="str">
            <v>-</v>
          </cell>
          <cell r="I663">
            <v>9.1079960810807895E-7</v>
          </cell>
          <cell r="J663">
            <v>2.26031670593289E-7</v>
          </cell>
          <cell r="K663">
            <v>8.3918136654175802E-8</v>
          </cell>
        </row>
        <row r="664">
          <cell r="B664" t="str">
            <v>ITOT-CHPWST</v>
          </cell>
          <cell r="C664" t="str">
            <v>VAR_cap</v>
          </cell>
          <cell r="D664" t="str">
            <v>-</v>
          </cell>
          <cell r="I664">
            <v>5.5303122155594096E-4</v>
          </cell>
          <cell r="J664">
            <v>2.5015671605026386E-4</v>
          </cell>
          <cell r="K664">
            <v>1.0228193080582008E-4</v>
          </cell>
        </row>
        <row r="665">
          <cell r="B665" t="str">
            <v>CAES-EBAT</v>
          </cell>
          <cell r="C665" t="str">
            <v>VAR_fout</v>
          </cell>
          <cell r="D665" t="str">
            <v>ELC13</v>
          </cell>
          <cell r="I665">
            <v>3.1452270600619496E-2</v>
          </cell>
          <cell r="J665">
            <v>1.9703984711557217E-2</v>
          </cell>
          <cell r="K665">
            <v>9.4494680483546103E-2</v>
          </cell>
        </row>
        <row r="666">
          <cell r="B666" t="str">
            <v>CAES-EBAT</v>
          </cell>
          <cell r="C666" t="str">
            <v>VAR_fout</v>
          </cell>
          <cell r="D666" t="str">
            <v>AUX_CAES_OUT</v>
          </cell>
          <cell r="I666">
            <v>3.1452270600619468E-2</v>
          </cell>
          <cell r="J666">
            <v>1.9703984711557206E-2</v>
          </cell>
          <cell r="K666">
            <v>9.4494680483546006E-2</v>
          </cell>
        </row>
        <row r="667">
          <cell r="B667" t="str">
            <v>CAES-EBAT</v>
          </cell>
          <cell r="C667" t="str">
            <v>VAR_fin</v>
          </cell>
          <cell r="D667" t="str">
            <v>ELC13</v>
          </cell>
          <cell r="I667">
            <v>4.4936130815192585E-2</v>
          </cell>
          <cell r="J667">
            <v>2.8153299934809948E-2</v>
          </cell>
          <cell r="K667">
            <v>0.13499557266679754</v>
          </cell>
        </row>
        <row r="668">
          <cell r="B668" t="str">
            <v>CAES-EBAT</v>
          </cell>
          <cell r="C668" t="str">
            <v>VAR_fin</v>
          </cell>
          <cell r="D668" t="str">
            <v>AUX_CAES_IN</v>
          </cell>
          <cell r="I668">
            <v>4.4936130815192585E-2</v>
          </cell>
          <cell r="J668">
            <v>2.8153299934809948E-2</v>
          </cell>
          <cell r="K668">
            <v>0.13499557266679754</v>
          </cell>
        </row>
        <row r="669">
          <cell r="B669" t="str">
            <v>CAES-EBAT</v>
          </cell>
          <cell r="C669" t="str">
            <v>VAR_ncap</v>
          </cell>
          <cell r="D669" t="str">
            <v>-</v>
          </cell>
          <cell r="I669">
            <v>7.1086860325311396E-7</v>
          </cell>
          <cell r="J669">
            <v>1.0531149195532899E-6</v>
          </cell>
          <cell r="K669">
            <v>7.8356671837448097E-7</v>
          </cell>
        </row>
        <row r="670">
          <cell r="B670" t="str">
            <v>CAES-EBAT</v>
          </cell>
          <cell r="C670" t="str">
            <v>VAR_cap</v>
          </cell>
          <cell r="D670" t="str">
            <v>-</v>
          </cell>
          <cell r="I670">
            <v>9.9997890626540908E-2</v>
          </cell>
          <cell r="J670">
            <v>9.9998406323088804E-2</v>
          </cell>
          <cell r="K670">
            <v>9.9998745777208034E-2</v>
          </cell>
        </row>
        <row r="671">
          <cell r="B671" t="str">
            <v>HPLSOL</v>
          </cell>
          <cell r="C671" t="str">
            <v>VAR_fout</v>
          </cell>
          <cell r="D671" t="str">
            <v>LTH</v>
          </cell>
          <cell r="I671">
            <v>9.1463233938899233E-5</v>
          </cell>
          <cell r="J671">
            <v>9.1325110703364116E-5</v>
          </cell>
          <cell r="K671">
            <v>9.2453208600727895E-5</v>
          </cell>
        </row>
        <row r="672">
          <cell r="B672" t="str">
            <v>HPLSOL</v>
          </cell>
          <cell r="C672" t="str">
            <v>VAR_fin</v>
          </cell>
          <cell r="D672" t="str">
            <v>SOL</v>
          </cell>
          <cell r="I672">
            <v>9.1463233938899233E-5</v>
          </cell>
          <cell r="J672">
            <v>9.1325110703364116E-5</v>
          </cell>
          <cell r="K672">
            <v>9.2453208600727895E-5</v>
          </cell>
        </row>
        <row r="673">
          <cell r="B673" t="str">
            <v>HPLSOL</v>
          </cell>
          <cell r="C673" t="str">
            <v>VAR_fin</v>
          </cell>
          <cell r="D673" t="str">
            <v>SOLPVC</v>
          </cell>
          <cell r="I673">
            <v>9.1463233938899097E-5</v>
          </cell>
          <cell r="J673">
            <v>9.1325110703364103E-5</v>
          </cell>
          <cell r="K673">
            <v>9.2453208600727895E-5</v>
          </cell>
        </row>
        <row r="674">
          <cell r="B674" t="str">
            <v>HPLSOL</v>
          </cell>
          <cell r="C674" t="str">
            <v>VAR_ncap</v>
          </cell>
          <cell r="D674" t="str">
            <v>-</v>
          </cell>
          <cell r="I674">
            <v>2.3635009444215602E-6</v>
          </cell>
          <cell r="J674">
            <v>5.4654208272426797E-7</v>
          </cell>
          <cell r="K674">
            <v>1.01179091104657E-5</v>
          </cell>
        </row>
        <row r="675">
          <cell r="B675" t="str">
            <v>HPLSOL</v>
          </cell>
          <cell r="C675" t="str">
            <v>VAR_cap</v>
          </cell>
          <cell r="D675" t="str">
            <v>-</v>
          </cell>
          <cell r="I675">
            <v>2.0312165746822901E-5</v>
          </cell>
          <cell r="J675">
            <v>2.08587078295471E-5</v>
          </cell>
          <cell r="K675">
            <v>1.7215130362173801E-5</v>
          </cell>
        </row>
        <row r="676">
          <cell r="B676" t="str">
            <v>RHEM-CHPNGA</v>
          </cell>
          <cell r="C676" t="str">
            <v>VAR_fout</v>
          </cell>
          <cell r="D676" t="str">
            <v>CO2_R</v>
          </cell>
          <cell r="I676">
            <v>2.9363466950206698</v>
          </cell>
          <cell r="J676">
            <v>0.87164170805987096</v>
          </cell>
        </row>
        <row r="677">
          <cell r="B677" t="str">
            <v>RHEM-CHPNGA</v>
          </cell>
          <cell r="C677" t="str">
            <v>VAR_fout</v>
          </cell>
          <cell r="D677" t="str">
            <v>RHEM_LTH_CHPNGA</v>
          </cell>
          <cell r="I677">
            <v>3.0501561922954279E-2</v>
          </cell>
          <cell r="J677">
            <v>9.3717003485204835E-3</v>
          </cell>
        </row>
        <row r="678">
          <cell r="B678" t="str">
            <v>RHEM-CHPNGA</v>
          </cell>
          <cell r="C678" t="str">
            <v>VAR_fout</v>
          </cell>
          <cell r="D678" t="str">
            <v>RHEM_NKEV_GAS_ELC_CHP</v>
          </cell>
          <cell r="I678">
            <v>1.4940540235280053E-2</v>
          </cell>
          <cell r="J678">
            <v>4.6477538313800769E-3</v>
          </cell>
        </row>
        <row r="679">
          <cell r="B679" t="str">
            <v>RHEM-CHPNGA</v>
          </cell>
          <cell r="C679" t="str">
            <v>VAR_fin</v>
          </cell>
          <cell r="D679" t="str">
            <v>RNGA</v>
          </cell>
          <cell r="I679">
            <v>5.2062884663487137E-2</v>
          </cell>
          <cell r="J679">
            <v>1.5454640213827508E-2</v>
          </cell>
        </row>
        <row r="680">
          <cell r="B680" t="str">
            <v>RHEM-CHPNGA</v>
          </cell>
          <cell r="C680" t="str">
            <v>VAR_ncap</v>
          </cell>
          <cell r="D680" t="str">
            <v>-</v>
          </cell>
        </row>
        <row r="681">
          <cell r="B681" t="str">
            <v>RHEM-CHPNGA</v>
          </cell>
          <cell r="C681" t="str">
            <v>VAR_cap</v>
          </cell>
          <cell r="D681" t="str">
            <v>-</v>
          </cell>
          <cell r="I681">
            <v>1.1083471108480495E-3</v>
          </cell>
          <cell r="J681">
            <v>3.8710652341585267E-4</v>
          </cell>
        </row>
        <row r="682">
          <cell r="B682" t="str">
            <v>D-DH2</v>
          </cell>
          <cell r="C682" t="str">
            <v>VAR_fout</v>
          </cell>
          <cell r="D682" t="str">
            <v>H2</v>
          </cell>
          <cell r="I682">
            <v>7.5173987401893301E-5</v>
          </cell>
          <cell r="J682">
            <v>17.690362829623147</v>
          </cell>
          <cell r="K682">
            <v>18.717554795064096</v>
          </cell>
        </row>
        <row r="683">
          <cell r="B683" t="str">
            <v>D-DH2</v>
          </cell>
          <cell r="C683" t="str">
            <v>VAR_fin</v>
          </cell>
          <cell r="D683" t="str">
            <v>H2_E</v>
          </cell>
          <cell r="I683">
            <v>7.5933320607973011E-5</v>
          </cell>
          <cell r="J683">
            <v>17.869053363255713</v>
          </cell>
          <cell r="K683">
            <v>18.906621005115252</v>
          </cell>
        </row>
        <row r="684">
          <cell r="B684" t="str">
            <v>D-DH2</v>
          </cell>
          <cell r="C684" t="str">
            <v>VAR_ncap</v>
          </cell>
          <cell r="D684" t="str">
            <v>-</v>
          </cell>
          <cell r="I684">
            <v>6.1299769893054999E-5</v>
          </cell>
          <cell r="J684">
            <v>2.3755844986194301</v>
          </cell>
          <cell r="K684">
            <v>0.13793792409136299</v>
          </cell>
        </row>
        <row r="685">
          <cell r="B685" t="str">
            <v>D-DH2</v>
          </cell>
          <cell r="C685" t="str">
            <v>VAR_cap</v>
          </cell>
          <cell r="D685" t="str">
            <v>-</v>
          </cell>
          <cell r="I685">
            <v>1.1670774035541201E-4</v>
          </cell>
          <cell r="J685">
            <v>2.37570120635979</v>
          </cell>
          <cell r="K685">
            <v>2.5136391304511498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3.0776850952409966</v>
          </cell>
          <cell r="J686">
            <v>2.9497517160642732</v>
          </cell>
          <cell r="K686">
            <v>2.8718774847897137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3.0776850952409966</v>
          </cell>
          <cell r="J687">
            <v>2.9497517160642732</v>
          </cell>
          <cell r="K687">
            <v>2.8718774847897137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1.1649530228627523</v>
          </cell>
          <cell r="J688">
            <v>1.0059426082399234</v>
          </cell>
          <cell r="K688">
            <v>1.0059429175561794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1.1059795480118346</v>
          </cell>
          <cell r="J689">
            <v>1.105977382138424</v>
          </cell>
          <cell r="K689">
            <v>1.1059777222142702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3.0776850952409966</v>
          </cell>
          <cell r="J690">
            <v>2.9497517160642732</v>
          </cell>
          <cell r="K690">
            <v>2.8718774847897137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4.40800729439009E-2</v>
          </cell>
          <cell r="J691">
            <v>3.1155277400544301E-2</v>
          </cell>
          <cell r="K691">
            <v>4.34914533104526E-2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8.4748178945846422E-2</v>
          </cell>
          <cell r="J692">
            <v>8.4747287884364225E-2</v>
          </cell>
          <cell r="K692">
            <v>8.4747299964041969E-2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5.1834591355262331E-3</v>
          </cell>
          <cell r="J693">
            <v>2.1069459984807283E-2</v>
          </cell>
          <cell r="K693">
            <v>1.0528547071953196E-2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3.5824472446409814E-3</v>
          </cell>
          <cell r="J694">
            <v>1.3265956286730505E-2</v>
          </cell>
          <cell r="K694">
            <v>5.9507702220256654E-3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1.0213712582317689E-2</v>
          </cell>
          <cell r="J695">
            <v>3.9017518490383839E-2</v>
          </cell>
          <cell r="K695">
            <v>1.8310516646875139E-2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1.12812176675694E-4</v>
          </cell>
          <cell r="J696">
            <v>9.9188739617833894E-4</v>
          </cell>
          <cell r="K696">
            <v>2.17811265716058E-5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3.0530394653364914E-4</v>
          </cell>
          <cell r="J697">
            <v>1.2360920063028075E-3</v>
          </cell>
          <cell r="K697">
            <v>7.8913689908115335E-4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0.3223551610322315</v>
          </cell>
          <cell r="J698">
            <v>0.23278943862379903</v>
          </cell>
          <cell r="K698">
            <v>0.34571130287286161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0.32235516103223188</v>
          </cell>
          <cell r="J699">
            <v>0.23278943862379925</v>
          </cell>
          <cell r="K699">
            <v>0.34571130287286195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0.35648259148250283</v>
          </cell>
          <cell r="J700">
            <v>0.2574345559755758</v>
          </cell>
          <cell r="K700">
            <v>0.38231087038817613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0.35648259148250283</v>
          </cell>
          <cell r="J701">
            <v>0.2574345559755758</v>
          </cell>
          <cell r="K701">
            <v>0.38231087038817613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4.7485162109341603E-2</v>
          </cell>
          <cell r="J702">
            <v>0.13107250128608899</v>
          </cell>
          <cell r="K702">
            <v>0.16609484757381399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0.17984255642023522</v>
          </cell>
          <cell r="J703">
            <v>0.19620950607778298</v>
          </cell>
          <cell r="K703">
            <v>0.2401610980932882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552.83663012618001</v>
          </cell>
          <cell r="J704">
            <v>189.895302319823</v>
          </cell>
          <cell r="K704">
            <v>81.341865652005893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0.35251005290332582</v>
          </cell>
          <cell r="J705">
            <v>0.17704689291537823</v>
          </cell>
          <cell r="K705">
            <v>0.11795855772416887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12.124393478810857</v>
          </cell>
          <cell r="J706">
            <v>5.7102720627525088</v>
          </cell>
          <cell r="K706">
            <v>3.8032868815321925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9.8020679100386623</v>
          </cell>
          <cell r="J707">
            <v>3.3669379843940161</v>
          </cell>
          <cell r="K707">
            <v>1.4422316604965604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2.3623689454363794</v>
          </cell>
          <cell r="J708">
            <v>2.3623699584994791</v>
          </cell>
          <cell r="K708">
            <v>2.3738616783504547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0.35250943363509746</v>
          </cell>
          <cell r="J709">
            <v>0.17704480856500646</v>
          </cell>
          <cell r="K709">
            <v>0.11795262034406993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2.7594468574369998E-6</v>
          </cell>
          <cell r="J710">
            <v>3.7798326999611299E-6</v>
          </cell>
          <cell r="K710">
            <v>8.9685976604510598E-6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1.9844898430066382</v>
          </cell>
          <cell r="J711">
            <v>1.9844936228393382</v>
          </cell>
          <cell r="K711">
            <v>1.0954786586168186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0.88472525937884783</v>
          </cell>
          <cell r="J712">
            <v>0.88543850202095753</v>
          </cell>
          <cell r="K712">
            <v>0.88544979160450121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0.88472525937884783</v>
          </cell>
          <cell r="J713">
            <v>0.88543850202095753</v>
          </cell>
          <cell r="K713">
            <v>0.88544979160450121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2.2990162421806001E-2</v>
          </cell>
          <cell r="J714">
            <v>3.4984349917911798E-6</v>
          </cell>
          <cell r="K714">
            <v>8.75106312390872E-2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0.1470947784595818</v>
          </cell>
          <cell r="J715">
            <v>0.14721372425212867</v>
          </cell>
          <cell r="K715">
            <v>0.147215459479068</v>
          </cell>
        </row>
        <row r="716">
          <cell r="B716" t="str">
            <v>EGEO</v>
          </cell>
          <cell r="C716" t="str">
            <v>VAR_fout</v>
          </cell>
          <cell r="D716" t="str">
            <v>ELC35</v>
          </cell>
          <cell r="J716">
            <v>1.8900683626676827E-3</v>
          </cell>
          <cell r="K716">
            <v>1.1995545380547704E-2</v>
          </cell>
        </row>
        <row r="717">
          <cell r="B717" t="str">
            <v>EGEO</v>
          </cell>
          <cell r="C717" t="str">
            <v>VAR_fin</v>
          </cell>
          <cell r="D717" t="str">
            <v>GEO</v>
          </cell>
          <cell r="J717">
            <v>1.2600455751117883E-2</v>
          </cell>
          <cell r="K717">
            <v>7.9970302536984755E-2</v>
          </cell>
        </row>
        <row r="718">
          <cell r="B718" t="str">
            <v>EGEO</v>
          </cell>
          <cell r="C718" t="str">
            <v>VAR_ncap</v>
          </cell>
          <cell r="D718" t="str">
            <v>-</v>
          </cell>
          <cell r="J718">
            <v>4.7922774656977398E-4</v>
          </cell>
          <cell r="K718">
            <v>1.4325747763407299E-7</v>
          </cell>
        </row>
        <row r="719">
          <cell r="B719" t="str">
            <v>EGEO</v>
          </cell>
          <cell r="C719" t="str">
            <v>VAR_cap</v>
          </cell>
          <cell r="D719" t="str">
            <v>-</v>
          </cell>
          <cell r="J719">
            <v>7.5023089232544195E-5</v>
          </cell>
          <cell r="K719">
            <v>4.7645658421043274E-4</v>
          </cell>
        </row>
        <row r="720">
          <cell r="B720" t="str">
            <v>D-SPLT</v>
          </cell>
          <cell r="C720" t="str">
            <v>VAR_fout</v>
          </cell>
          <cell r="D720" t="str">
            <v>SPLT</v>
          </cell>
          <cell r="I720">
            <v>0.82399976690527665</v>
          </cell>
          <cell r="J720">
            <v>1.0493050868321008</v>
          </cell>
          <cell r="K720">
            <v>1.0769715300148457</v>
          </cell>
        </row>
        <row r="721">
          <cell r="B721" t="str">
            <v>D-SPLT</v>
          </cell>
          <cell r="C721" t="str">
            <v>VAR_fin</v>
          </cell>
          <cell r="D721" t="str">
            <v>PLT</v>
          </cell>
          <cell r="I721">
            <v>0.82399976690527665</v>
          </cell>
          <cell r="J721">
            <v>1.0493050868321008</v>
          </cell>
          <cell r="K721">
            <v>1.0769715300148457</v>
          </cell>
        </row>
        <row r="722">
          <cell r="B722" t="str">
            <v>RHES-ESOLPV</v>
          </cell>
          <cell r="C722" t="str">
            <v>VAR_fout</v>
          </cell>
          <cell r="D722" t="str">
            <v>RHES_SOL_ELC</v>
          </cell>
          <cell r="I722">
            <v>4.6112435062669705</v>
          </cell>
          <cell r="J722">
            <v>4.8946406217551495</v>
          </cell>
          <cell r="K722">
            <v>5.5147534936842266</v>
          </cell>
        </row>
        <row r="723">
          <cell r="B723" t="str">
            <v>RHES-ESOLPV</v>
          </cell>
          <cell r="C723" t="str">
            <v>VAR_fin</v>
          </cell>
          <cell r="D723" t="str">
            <v>SOL</v>
          </cell>
          <cell r="I723">
            <v>4.6112435062669705</v>
          </cell>
          <cell r="J723">
            <v>4.8946406217551495</v>
          </cell>
          <cell r="K723">
            <v>5.5147534936842266</v>
          </cell>
        </row>
        <row r="724">
          <cell r="B724" t="str">
            <v>RHES-ESOLPV</v>
          </cell>
          <cell r="C724" t="str">
            <v>VAR_fin</v>
          </cell>
          <cell r="D724" t="str">
            <v>SOLPVC</v>
          </cell>
          <cell r="I724">
            <v>4.6112435062669697</v>
          </cell>
          <cell r="J724">
            <v>4.8946406217551504</v>
          </cell>
          <cell r="K724">
            <v>5.5147534936842204</v>
          </cell>
        </row>
        <row r="725">
          <cell r="B725" t="str">
            <v>RHES-ESOLPV</v>
          </cell>
          <cell r="C725" t="str">
            <v>VAR_ncap</v>
          </cell>
          <cell r="D725" t="str">
            <v>-</v>
          </cell>
          <cell r="I725">
            <v>0.29984855293796098</v>
          </cell>
          <cell r="J725">
            <v>0.66480286060367799</v>
          </cell>
          <cell r="K725">
            <v>0.68599164870473905</v>
          </cell>
        </row>
        <row r="726">
          <cell r="B726" t="str">
            <v>RHES-ESOLPV</v>
          </cell>
          <cell r="C726" t="str">
            <v>VAR_cap</v>
          </cell>
          <cell r="D726" t="str">
            <v>-</v>
          </cell>
          <cell r="I726">
            <v>1.3292889045390019</v>
          </cell>
          <cell r="J726">
            <v>1.4109845194404791</v>
          </cell>
          <cell r="K726">
            <v>1.5897441497142499</v>
          </cell>
        </row>
        <row r="727">
          <cell r="B727" t="str">
            <v>SUP_DAC</v>
          </cell>
          <cell r="C727" t="str">
            <v>VAR_fout</v>
          </cell>
          <cell r="D727" t="str">
            <v>CO2_O</v>
          </cell>
          <cell r="J727">
            <v>6.4423100307138409E-3</v>
          </cell>
          <cell r="K727">
            <v>2.6106487159160155E-2</v>
          </cell>
        </row>
        <row r="728">
          <cell r="B728" t="str">
            <v>SUP_DAC</v>
          </cell>
          <cell r="C728" t="str">
            <v>VAR_fout</v>
          </cell>
          <cell r="D728" t="str">
            <v>CO2</v>
          </cell>
          <cell r="J728">
            <v>-6.44231003071384E-3</v>
          </cell>
          <cell r="K728">
            <v>-2.6106487159160099E-2</v>
          </cell>
        </row>
        <row r="729">
          <cell r="B729" t="str">
            <v>SUP_DAC</v>
          </cell>
          <cell r="C729" t="str">
            <v>VAR_fin</v>
          </cell>
          <cell r="D729" t="str">
            <v>CHEAT</v>
          </cell>
          <cell r="J729">
            <v>4.2836081122254674E-5</v>
          </cell>
          <cell r="K729">
            <v>1.6639675749969629E-4</v>
          </cell>
        </row>
        <row r="730">
          <cell r="B730" t="str">
            <v>SUP_DAC</v>
          </cell>
          <cell r="C730" t="str">
            <v>VAR_fin</v>
          </cell>
          <cell r="D730" t="str">
            <v>CELC</v>
          </cell>
          <cell r="J730">
            <v>8.9333365759231946E-6</v>
          </cell>
          <cell r="K730">
            <v>2.3756903314835737E-5</v>
          </cell>
        </row>
        <row r="731">
          <cell r="B731" t="str">
            <v>SUP_DAC</v>
          </cell>
          <cell r="C731" t="str">
            <v>VAR_ncap</v>
          </cell>
          <cell r="D731" t="str">
            <v>-</v>
          </cell>
          <cell r="J731">
            <v>2.0710295252377099E-3</v>
          </cell>
          <cell r="K731">
            <v>3.0063652876661899E-3</v>
          </cell>
        </row>
        <row r="732">
          <cell r="B732" t="str">
            <v>SUP_DAC</v>
          </cell>
          <cell r="C732" t="str">
            <v>VAR_cap</v>
          </cell>
          <cell r="D732" t="str">
            <v>-</v>
          </cell>
          <cell r="J732">
            <v>2.0710295252377099E-3</v>
          </cell>
          <cell r="K732">
            <v>4.4972328863228505E-3</v>
          </cell>
        </row>
        <row r="733">
          <cell r="B733" t="str">
            <v>EHYD-DAM10</v>
          </cell>
          <cell r="C733" t="str">
            <v>VAR_fout</v>
          </cell>
          <cell r="D733" t="str">
            <v>ELC</v>
          </cell>
          <cell r="I733">
            <v>0.72107765811172198</v>
          </cell>
          <cell r="J733">
            <v>0.72869951456149806</v>
          </cell>
          <cell r="K733">
            <v>0.72990443561685903</v>
          </cell>
        </row>
        <row r="734">
          <cell r="B734" t="str">
            <v>EHYD-DAM10</v>
          </cell>
          <cell r="C734" t="str">
            <v>VAR_fin</v>
          </cell>
          <cell r="D734" t="str">
            <v>HYDD</v>
          </cell>
          <cell r="I734">
            <v>0.72107765811172198</v>
          </cell>
          <cell r="J734">
            <v>0.72869951456149806</v>
          </cell>
          <cell r="K734">
            <v>0.72990443561685903</v>
          </cell>
        </row>
        <row r="735">
          <cell r="B735" t="str">
            <v>EHYD-DAM10</v>
          </cell>
          <cell r="C735" t="str">
            <v>VAR_ncap</v>
          </cell>
          <cell r="D735" t="str">
            <v>-</v>
          </cell>
          <cell r="I735">
            <v>4.44129411449404E-7</v>
          </cell>
          <cell r="J735">
            <v>2.1929268893751799E-7</v>
          </cell>
          <cell r="K735">
            <v>1.24208009766152E-5</v>
          </cell>
        </row>
        <row r="736">
          <cell r="B736" t="str">
            <v>EHYD-DAM10</v>
          </cell>
          <cell r="C736" t="str">
            <v>VAR_cap</v>
          </cell>
          <cell r="D736" t="str">
            <v>-</v>
          </cell>
          <cell r="I736">
            <v>7.5277015479204304E-2</v>
          </cell>
          <cell r="J736">
            <v>7.5277234771893201E-2</v>
          </cell>
          <cell r="K736">
            <v>7.5289655572869804E-2</v>
          </cell>
        </row>
        <row r="737">
          <cell r="B737" t="str">
            <v>DH-EBAT</v>
          </cell>
          <cell r="C737" t="str">
            <v>VAR_fout</v>
          </cell>
          <cell r="D737" t="str">
            <v>ELC35</v>
          </cell>
          <cell r="I737">
            <v>4.1459896554417681E-2</v>
          </cell>
          <cell r="J737">
            <v>0.43410779784764503</v>
          </cell>
          <cell r="K737">
            <v>1.5427359355624388</v>
          </cell>
        </row>
        <row r="738">
          <cell r="B738" t="str">
            <v>DH-EBAT</v>
          </cell>
          <cell r="C738" t="str">
            <v>VAR_fout</v>
          </cell>
          <cell r="D738" t="str">
            <v>AUX_DH-EBAT_OUT</v>
          </cell>
          <cell r="I738">
            <v>4.1459896554417668E-2</v>
          </cell>
          <cell r="J738">
            <v>0.43410779784764492</v>
          </cell>
          <cell r="K738">
            <v>1.5427359355624388</v>
          </cell>
        </row>
        <row r="739">
          <cell r="B739" t="str">
            <v>DH-EBAT</v>
          </cell>
          <cell r="C739" t="str">
            <v>VAR_fin</v>
          </cell>
          <cell r="D739" t="str">
            <v>ELC35</v>
          </cell>
          <cell r="I739">
            <v>4.6364980186064303E-2</v>
          </cell>
          <cell r="J739">
            <v>0.48543340747186065</v>
          </cell>
          <cell r="K739">
            <v>1.7251354402875847</v>
          </cell>
        </row>
        <row r="740">
          <cell r="B740" t="str">
            <v>DH-EBAT</v>
          </cell>
          <cell r="C740" t="str">
            <v>VAR_fin</v>
          </cell>
          <cell r="D740" t="str">
            <v>AUX_DH-EBAT_IN</v>
          </cell>
          <cell r="I740">
            <v>4.6364980186064303E-2</v>
          </cell>
          <cell r="J740">
            <v>0.48543340747186065</v>
          </cell>
          <cell r="K740">
            <v>1.7251354402875847</v>
          </cell>
        </row>
        <row r="741">
          <cell r="B741" t="str">
            <v>DH-EBAT</v>
          </cell>
          <cell r="C741" t="str">
            <v>VAR_ncap</v>
          </cell>
          <cell r="D741" t="str">
            <v>-</v>
          </cell>
          <cell r="I741">
            <v>4.9781748769872902E-3</v>
          </cell>
          <cell r="J741">
            <v>0.23565625153870601</v>
          </cell>
          <cell r="K741">
            <v>0.23190449884820399</v>
          </cell>
        </row>
        <row r="742">
          <cell r="B742" t="str">
            <v>DH-EBAT</v>
          </cell>
          <cell r="C742" t="str">
            <v>VAR_cap</v>
          </cell>
          <cell r="D742" t="str">
            <v>-</v>
          </cell>
          <cell r="I742">
            <v>9.9563681195915955E-3</v>
          </cell>
          <cell r="J742">
            <v>0.24119729573063201</v>
          </cell>
          <cell r="K742">
            <v>0.35096030067690814</v>
          </cell>
        </row>
        <row r="743">
          <cell r="B743" t="str">
            <v>RHEM-EBAT</v>
          </cell>
          <cell r="C743" t="str">
            <v>VAR_fout</v>
          </cell>
          <cell r="D743" t="str">
            <v>RHEM_ELC</v>
          </cell>
          <cell r="I743">
            <v>5.3934086757336054E-2</v>
          </cell>
          <cell r="J743">
            <v>3.9879695670747825E-2</v>
          </cell>
          <cell r="K743">
            <v>6.0659788653076606E-2</v>
          </cell>
        </row>
        <row r="744">
          <cell r="B744" t="str">
            <v>RHEM-EBAT</v>
          </cell>
          <cell r="C744" t="str">
            <v>VAR_fout</v>
          </cell>
          <cell r="D744" t="str">
            <v>AUX_RHEM-EBAT_OUT</v>
          </cell>
          <cell r="I744">
            <v>5.3934086757336082E-2</v>
          </cell>
          <cell r="J744">
            <v>3.9879695670747874E-2</v>
          </cell>
          <cell r="K744">
            <v>6.0659788653076661E-2</v>
          </cell>
        </row>
        <row r="745">
          <cell r="B745" t="str">
            <v>RHEM-EBAT</v>
          </cell>
          <cell r="C745" t="str">
            <v>VAR_fin</v>
          </cell>
          <cell r="D745" t="str">
            <v>RHEM_ELC</v>
          </cell>
          <cell r="I745">
            <v>5.96451748402873E-2</v>
          </cell>
          <cell r="J745">
            <v>4.4102462368602657E-2</v>
          </cell>
          <cell r="K745">
            <v>6.708243566288416E-2</v>
          </cell>
        </row>
        <row r="746">
          <cell r="B746" t="str">
            <v>RHEM-EBAT</v>
          </cell>
          <cell r="C746" t="str">
            <v>VAR_fin</v>
          </cell>
          <cell r="D746" t="str">
            <v>AUX_RHEM-EBAT_IN</v>
          </cell>
          <cell r="I746">
            <v>5.96451748402873E-2</v>
          </cell>
          <cell r="J746">
            <v>4.4102462368602657E-2</v>
          </cell>
          <cell r="K746">
            <v>6.708243566288416E-2</v>
          </cell>
        </row>
        <row r="747">
          <cell r="B747" t="str">
            <v>RHEM-EBAT</v>
          </cell>
          <cell r="C747" t="str">
            <v>VAR_ncap</v>
          </cell>
          <cell r="D747" t="str">
            <v>-</v>
          </cell>
          <cell r="I747">
            <v>1.1568045208076199E-2</v>
          </cell>
          <cell r="J747">
            <v>1.6217805326106501E-2</v>
          </cell>
          <cell r="K747">
            <v>2.4557085281257E-2</v>
          </cell>
        </row>
        <row r="748">
          <cell r="B748" t="str">
            <v>RHEM-EBAT</v>
          </cell>
          <cell r="C748" t="str">
            <v>VAR_cap</v>
          </cell>
          <cell r="D748" t="str">
            <v>-</v>
          </cell>
          <cell r="I748">
            <v>2.5853403035397644E-2</v>
          </cell>
          <cell r="J748">
            <v>2.8643760057635585E-2</v>
          </cell>
          <cell r="K748">
            <v>3.4720052373486639E-2</v>
          </cell>
        </row>
        <row r="749">
          <cell r="B749" t="str">
            <v>HPLGEO</v>
          </cell>
          <cell r="C749" t="str">
            <v>VAR_fout</v>
          </cell>
          <cell r="D749" t="str">
            <v>LTH</v>
          </cell>
          <cell r="J749">
            <v>1.8571463445410255E-4</v>
          </cell>
          <cell r="K749">
            <v>1.8715036144995999E-4</v>
          </cell>
        </row>
        <row r="750">
          <cell r="B750" t="str">
            <v>HPLGEO</v>
          </cell>
          <cell r="C750" t="str">
            <v>VAR_fin</v>
          </cell>
          <cell r="D750" t="str">
            <v>GEO</v>
          </cell>
          <cell r="J750">
            <v>2.1848780524012082E-4</v>
          </cell>
          <cell r="K750">
            <v>2.2017689582348219E-4</v>
          </cell>
        </row>
        <row r="751">
          <cell r="B751" t="str">
            <v>HPLGEO</v>
          </cell>
          <cell r="C751" t="str">
            <v>VAR_ncap</v>
          </cell>
          <cell r="D751" t="str">
            <v>-</v>
          </cell>
          <cell r="J751">
            <v>1.4180261505004799E-5</v>
          </cell>
          <cell r="K751">
            <v>2.3147661738919E-7</v>
          </cell>
        </row>
        <row r="752">
          <cell r="B752" t="str">
            <v>HPLGEO</v>
          </cell>
          <cell r="C752" t="str">
            <v>VAR_cap</v>
          </cell>
          <cell r="D752" t="str">
            <v>-</v>
          </cell>
          <cell r="J752">
            <v>1.4180261505004799E-5</v>
          </cell>
          <cell r="K752">
            <v>1.4411738122394E-5</v>
          </cell>
        </row>
        <row r="753">
          <cell r="B753" t="str">
            <v>EHYD-PUM15</v>
          </cell>
          <cell r="C753" t="str">
            <v>VAR_fout</v>
          </cell>
          <cell r="D753" t="str">
            <v>ELC</v>
          </cell>
          <cell r="I753">
            <v>3.6809081697390996E-3</v>
          </cell>
          <cell r="J753">
            <v>3.5477678389615433E-3</v>
          </cell>
          <cell r="K753">
            <v>3.344116906669191E-3</v>
          </cell>
        </row>
        <row r="754">
          <cell r="B754" t="str">
            <v>EHYD-PUM15</v>
          </cell>
          <cell r="C754" t="str">
            <v>VAR_fout</v>
          </cell>
          <cell r="D754" t="str">
            <v>AUX_PUMP_OUT</v>
          </cell>
          <cell r="I754">
            <v>3.6809081697390996E-3</v>
          </cell>
          <cell r="J754">
            <v>3.5477678389615433E-3</v>
          </cell>
          <cell r="K754">
            <v>3.344116906669191E-3</v>
          </cell>
        </row>
        <row r="755">
          <cell r="B755" t="str">
            <v>EHYD-PUM15</v>
          </cell>
          <cell r="C755" t="str">
            <v>VAR_fin</v>
          </cell>
          <cell r="D755" t="str">
            <v>AUX_PUMP_IN</v>
          </cell>
          <cell r="I755">
            <v>4.5993020861007997E-3</v>
          </cell>
          <cell r="J755">
            <v>4.4328822604082392E-3</v>
          </cell>
          <cell r="K755">
            <v>4.1783112593390516E-3</v>
          </cell>
        </row>
        <row r="756">
          <cell r="B756" t="str">
            <v>EHYD-PUM15</v>
          </cell>
          <cell r="C756" t="str">
            <v>VAR_fin</v>
          </cell>
          <cell r="D756" t="str">
            <v>ELC</v>
          </cell>
          <cell r="I756">
            <v>4.5993020861007997E-3</v>
          </cell>
          <cell r="J756">
            <v>4.4328822604082392E-3</v>
          </cell>
          <cell r="K756">
            <v>4.1783112593390516E-3</v>
          </cell>
        </row>
        <row r="757">
          <cell r="B757" t="str">
            <v>EHYD-PUM15</v>
          </cell>
          <cell r="C757" t="str">
            <v>VAR_ncap</v>
          </cell>
          <cell r="D757" t="str">
            <v>-</v>
          </cell>
          <cell r="I757">
            <v>9.5838970032047901E-8</v>
          </cell>
          <cell r="J757">
            <v>1.83641055159619E-7</v>
          </cell>
          <cell r="K757">
            <v>8.16355543991357E-7</v>
          </cell>
        </row>
        <row r="758">
          <cell r="B758" t="str">
            <v>EHYD-PUM15</v>
          </cell>
          <cell r="C758" t="str">
            <v>VAR_cap</v>
          </cell>
          <cell r="D758" t="str">
            <v>-</v>
          </cell>
          <cell r="I758">
            <v>3.3200338314579801E-4</v>
          </cell>
          <cell r="J758">
            <v>3.32090357792885E-4</v>
          </cell>
          <cell r="K758">
            <v>3.32472771085358E-4</v>
          </cell>
        </row>
        <row r="759">
          <cell r="B759" t="str">
            <v>D-EWST</v>
          </cell>
          <cell r="C759" t="str">
            <v>VAR_fout</v>
          </cell>
          <cell r="D759" t="str">
            <v>CO2</v>
          </cell>
          <cell r="I759">
            <v>2240.4532616829301</v>
          </cell>
          <cell r="J759">
            <v>2460.2763031466402</v>
          </cell>
          <cell r="K759">
            <v>2552.91348409579</v>
          </cell>
        </row>
        <row r="760">
          <cell r="B760" t="str">
            <v>D-EWST</v>
          </cell>
          <cell r="C760" t="str">
            <v>VAR_fout</v>
          </cell>
          <cell r="D760" t="str">
            <v>EWST</v>
          </cell>
          <cell r="I760">
            <v>48.285658766289743</v>
          </cell>
          <cell r="J760">
            <v>53.023196188505182</v>
          </cell>
          <cell r="K760">
            <v>55.019687157236973</v>
          </cell>
        </row>
        <row r="761">
          <cell r="B761" t="str">
            <v>D-EWST</v>
          </cell>
          <cell r="C761" t="str">
            <v>VAR_fin</v>
          </cell>
          <cell r="D761" t="str">
            <v>WSTNREN</v>
          </cell>
          <cell r="I761">
            <v>24.142815319859164</v>
          </cell>
          <cell r="J761">
            <v>26.511598094252598</v>
          </cell>
          <cell r="K761">
            <v>27.509843578618479</v>
          </cell>
        </row>
        <row r="762">
          <cell r="B762" t="str">
            <v>D-EWST</v>
          </cell>
          <cell r="C762" t="str">
            <v>VAR_fin</v>
          </cell>
          <cell r="D762" t="str">
            <v>WSTREN</v>
          </cell>
          <cell r="I762">
            <v>24.142815319859164</v>
          </cell>
          <cell r="J762">
            <v>26.511598094252598</v>
          </cell>
          <cell r="K762">
            <v>27.509843578618479</v>
          </cell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1074.413260138351</v>
          </cell>
          <cell r="E4">
            <v>1302.3341790452553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954.99732488046357</v>
          </cell>
          <cell r="E5">
            <v>1120.5417053656888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113.13489916928243</v>
          </cell>
          <cell r="E6">
            <v>84.924249783058201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6.2810360886050596</v>
          </cell>
          <cell r="E7">
            <v>96.868223896507288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725.18701043217027</v>
          </cell>
          <cell r="E8">
            <v>2395.4497254983175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808.93094993365639</v>
          </cell>
          <cell r="E9">
            <v>2285.6112138098138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211.77164243347093</v>
          </cell>
          <cell r="E10">
            <v>387.48246504110722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0.48777457801513452</v>
          </cell>
          <cell r="E11">
            <v>37.992817746853689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141.71036745349011</v>
          </cell>
          <cell r="E12">
            <v>375.66555410866874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0.69123485000777751</v>
          </cell>
          <cell r="E13">
            <v>508.34063444786716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0.14536777511038459</v>
          </cell>
          <cell r="E14">
            <v>1011.4110171050864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2.8328744201686459E-2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6.4423100307138409E-3</v>
          </cell>
          <cell r="E16">
            <v>2.6106487159160155E-2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1888.8977327358691</v>
          </cell>
          <cell r="E17">
            <v>7001.9692615568956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814.48447259752095</v>
          </cell>
          <cell r="E18">
            <v>3470.2381144341139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814.48447259752095</v>
          </cell>
          <cell r="E19">
            <v>3470.2381144341139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2229.3969680775267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2229.3969680775267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16.4686974297585</v>
          </cell>
          <cell r="I4">
            <v>27.050414253968398</v>
          </cell>
          <cell r="J4">
            <v>74.087031911017704</v>
          </cell>
        </row>
        <row r="5">
          <cell r="A5" t="str">
            <v>EXPELC_DE</v>
          </cell>
          <cell r="C5" t="str">
            <v>ELC_E-DE</v>
          </cell>
          <cell r="H5">
            <v>1.0477325491719651E-3</v>
          </cell>
          <cell r="I5">
            <v>2.1670895891541557E-3</v>
          </cell>
          <cell r="J5">
            <v>5.7512870476627263E-4</v>
          </cell>
        </row>
        <row r="6">
          <cell r="A6" t="str">
            <v>IMPDSL</v>
          </cell>
          <cell r="C6" t="str">
            <v>DSL</v>
          </cell>
          <cell r="H6">
            <v>32.556474139922429</v>
          </cell>
          <cell r="I6">
            <v>14.675985259094745</v>
          </cell>
        </row>
        <row r="7">
          <cell r="A7" t="str">
            <v>IMPH2</v>
          </cell>
          <cell r="C7" t="str">
            <v>H2</v>
          </cell>
          <cell r="I7">
            <v>3.3208341670283104E-6</v>
          </cell>
        </row>
        <row r="8">
          <cell r="A8" t="str">
            <v>IMPELC_AT</v>
          </cell>
          <cell r="C8" t="str">
            <v>ELC_I-AT</v>
          </cell>
          <cell r="H8">
            <v>0.81691556380549113</v>
          </cell>
          <cell r="I8">
            <v>0.4034280982203981</v>
          </cell>
          <cell r="J8">
            <v>3.4765219646494394</v>
          </cell>
        </row>
        <row r="9">
          <cell r="A9" t="str">
            <v>IMPELC_AT</v>
          </cell>
          <cell r="C9" t="str">
            <v>ELCS</v>
          </cell>
          <cell r="H9">
            <v>0.81691556380549113</v>
          </cell>
          <cell r="I9">
            <v>0.4034280982203981</v>
          </cell>
          <cell r="J9">
            <v>3.4765219646494394</v>
          </cell>
        </row>
        <row r="10">
          <cell r="A10" t="str">
            <v>IMPELC_FR</v>
          </cell>
          <cell r="C10" t="str">
            <v>ELC_I-FR</v>
          </cell>
          <cell r="H10">
            <v>17.921579910194794</v>
          </cell>
          <cell r="I10">
            <v>9.0070893644935381</v>
          </cell>
          <cell r="J10">
            <v>6.7486012242959834</v>
          </cell>
        </row>
        <row r="11">
          <cell r="A11" t="str">
            <v>IMPELC_FR</v>
          </cell>
          <cell r="C11" t="str">
            <v>ELCS</v>
          </cell>
          <cell r="H11">
            <v>17.921579910194794</v>
          </cell>
          <cell r="I11">
            <v>9.0070893644935381</v>
          </cell>
          <cell r="J11">
            <v>6.7486012242959834</v>
          </cell>
        </row>
        <row r="12">
          <cell r="A12" t="str">
            <v>RNWHYDR1</v>
          </cell>
          <cell r="C12" t="str">
            <v>HYDR</v>
          </cell>
          <cell r="H12">
            <v>65.464910300261693</v>
          </cell>
          <cell r="I12">
            <v>64.381742663864884</v>
          </cell>
          <cell r="J12">
            <v>67.134923061831444</v>
          </cell>
        </row>
        <row r="13">
          <cell r="A13" t="str">
            <v>EXPELC_IT</v>
          </cell>
          <cell r="C13" t="str">
            <v>ELC_E-IT</v>
          </cell>
          <cell r="H13">
            <v>36.678048417476951</v>
          </cell>
          <cell r="I13">
            <v>27.191652829412401</v>
          </cell>
          <cell r="J13">
            <v>20.345757523470784</v>
          </cell>
        </row>
        <row r="14">
          <cell r="A14" t="str">
            <v>IMPLNG</v>
          </cell>
          <cell r="C14" t="str">
            <v>LBIO</v>
          </cell>
          <cell r="H14">
            <v>1.6319921182372259E-3</v>
          </cell>
          <cell r="I14">
            <v>7.8436125376135125E-4</v>
          </cell>
          <cell r="J14">
            <v>3.120498350460587E-6</v>
          </cell>
        </row>
        <row r="15">
          <cell r="A15" t="str">
            <v>IMPLNG</v>
          </cell>
          <cell r="C15" t="str">
            <v>LNGA</v>
          </cell>
          <cell r="H15">
            <v>4.3067190023375343E-3</v>
          </cell>
          <cell r="I15">
            <v>3.0412221666212451E-3</v>
          </cell>
          <cell r="J15">
            <v>3.1368001581125606E-6</v>
          </cell>
        </row>
        <row r="16">
          <cell r="A16" t="str">
            <v>IMPURN1</v>
          </cell>
          <cell r="C16" t="str">
            <v>URN</v>
          </cell>
          <cell r="H16">
            <v>190.48964512875682</v>
          </cell>
          <cell r="I16">
            <v>190.47717269139923</v>
          </cell>
          <cell r="J16">
            <v>126.803688973487</v>
          </cell>
        </row>
        <row r="17">
          <cell r="A17" t="str">
            <v>EXPELC_AT</v>
          </cell>
          <cell r="C17" t="str">
            <v>ELC_E-AT</v>
          </cell>
          <cell r="H17">
            <v>3.0150684512738989E-4</v>
          </cell>
          <cell r="I17">
            <v>3.2237456937897236E-4</v>
          </cell>
          <cell r="J17">
            <v>2.0249173388059151E-4</v>
          </cell>
        </row>
        <row r="18">
          <cell r="A18" t="str">
            <v>EXPELC_FR</v>
          </cell>
          <cell r="C18" t="str">
            <v>ELC_E-FR</v>
          </cell>
          <cell r="H18">
            <v>8.3185356317446791E-4</v>
          </cell>
          <cell r="I18">
            <v>2.8129579689150476E-3</v>
          </cell>
          <cell r="J18">
            <v>2.1315447058955195E-3</v>
          </cell>
        </row>
        <row r="19">
          <cell r="A19" t="str">
            <v>RNWWND1</v>
          </cell>
          <cell r="C19" t="str">
            <v>WND</v>
          </cell>
          <cell r="H19">
            <v>0.87499479581837436</v>
          </cell>
          <cell r="I19">
            <v>0.87513762974929366</v>
          </cell>
          <cell r="J19">
            <v>0.87513429920392061</v>
          </cell>
        </row>
        <row r="20">
          <cell r="A20" t="str">
            <v>RNWWND2</v>
          </cell>
          <cell r="C20" t="str">
            <v>WND</v>
          </cell>
          <cell r="H20">
            <v>4.7288916057328604E-3</v>
          </cell>
          <cell r="I20">
            <v>5.3232614561580819E-3</v>
          </cell>
          <cell r="J20">
            <v>5.9752940923943273E-3</v>
          </cell>
        </row>
        <row r="21">
          <cell r="A21" t="str">
            <v>RNWMNR1</v>
          </cell>
          <cell r="C21" t="str">
            <v>MNR</v>
          </cell>
          <cell r="H21">
            <v>12.540434575812002</v>
          </cell>
          <cell r="I21">
            <v>12.540426780267996</v>
          </cell>
          <cell r="J21">
            <v>12.540426591668838</v>
          </cell>
        </row>
        <row r="22">
          <cell r="A22" t="str">
            <v>RNWWND3</v>
          </cell>
          <cell r="C22" t="str">
            <v>WND</v>
          </cell>
          <cell r="H22">
            <v>2.5554151391977958E-3</v>
          </cell>
          <cell r="I22">
            <v>2.7182049857896358E-3</v>
          </cell>
          <cell r="J22">
            <v>2.5406459565782769E-3</v>
          </cell>
        </row>
        <row r="23">
          <cell r="A23" t="str">
            <v>RNWMNR2</v>
          </cell>
          <cell r="C23" t="str">
            <v>MNR</v>
          </cell>
          <cell r="I23">
            <v>2.0900658677265365</v>
          </cell>
          <cell r="J23">
            <v>2.0928290019474636</v>
          </cell>
        </row>
        <row r="24">
          <cell r="A24" t="str">
            <v>RNWWND4</v>
          </cell>
          <cell r="C24" t="str">
            <v>WND</v>
          </cell>
          <cell r="H24">
            <v>1.4869286866596833E-3</v>
          </cell>
          <cell r="I24">
            <v>1.398391199675157E-3</v>
          </cell>
          <cell r="J24">
            <v>1.1333936455837415E-3</v>
          </cell>
        </row>
        <row r="25">
          <cell r="A25" t="str">
            <v>RNWMNR3</v>
          </cell>
          <cell r="C25" t="str">
            <v>MNR</v>
          </cell>
          <cell r="I25">
            <v>3.6303731924665953E-3</v>
          </cell>
          <cell r="J25">
            <v>8.8104909885611271E-4</v>
          </cell>
        </row>
        <row r="26">
          <cell r="A26" t="str">
            <v>IMPLFO1</v>
          </cell>
          <cell r="C26" t="str">
            <v>LFO</v>
          </cell>
          <cell r="H26">
            <v>33.484945805526429</v>
          </cell>
          <cell r="I26">
            <v>15.097295577602839</v>
          </cell>
        </row>
        <row r="27">
          <cell r="A27" t="str">
            <v>RNWWND5</v>
          </cell>
          <cell r="C27" t="str">
            <v>WND</v>
          </cell>
          <cell r="H27">
            <v>1.0042748250432857E-3</v>
          </cell>
          <cell r="I27">
            <v>8.8970335214611786E-4</v>
          </cell>
          <cell r="J27">
            <v>6.9002190905940953E-4</v>
          </cell>
        </row>
        <row r="28">
          <cell r="A28" t="str">
            <v>IMPBNGA</v>
          </cell>
          <cell r="C28" t="str">
            <v>BIO</v>
          </cell>
          <cell r="H28">
            <v>1.2755645066485506</v>
          </cell>
          <cell r="I28">
            <v>0.35007820499902087</v>
          </cell>
          <cell r="J28">
            <v>1.27056647267934</v>
          </cell>
        </row>
        <row r="29">
          <cell r="A29" t="str">
            <v>RNWGEO1</v>
          </cell>
          <cell r="C29" t="str">
            <v>GEO</v>
          </cell>
          <cell r="I29">
            <v>4.1132271469186401E-3</v>
          </cell>
          <cell r="J29">
            <v>6.3599171744793709E-2</v>
          </cell>
        </row>
        <row r="30">
          <cell r="A30" t="str">
            <v>RNWGEO2</v>
          </cell>
          <cell r="C30" t="str">
            <v>GEO</v>
          </cell>
          <cell r="I30">
            <v>3.1747564268705553E-3</v>
          </cell>
          <cell r="J30">
            <v>8.5939166696061831E-3</v>
          </cell>
        </row>
        <row r="31">
          <cell r="A31" t="str">
            <v>IMPKERintl</v>
          </cell>
          <cell r="C31" t="str">
            <v>KERintl</v>
          </cell>
          <cell r="H31">
            <v>65.874789747606101</v>
          </cell>
          <cell r="I31">
            <v>52.491745719770599</v>
          </cell>
        </row>
        <row r="32">
          <cell r="A32" t="str">
            <v>RNWGEO3</v>
          </cell>
          <cell r="C32" t="str">
            <v>GEO</v>
          </cell>
          <cell r="I32">
            <v>2.1417114183689017E-3</v>
          </cell>
          <cell r="J32">
            <v>3.3535114763079835E-3</v>
          </cell>
        </row>
        <row r="33">
          <cell r="A33" t="str">
            <v>RNWGEO4</v>
          </cell>
          <cell r="C33" t="str">
            <v>GEO</v>
          </cell>
          <cell r="I33">
            <v>1.8265009665590531E-3</v>
          </cell>
          <cell r="J33">
            <v>2.565275318081912E-3</v>
          </cell>
        </row>
        <row r="34">
          <cell r="A34" t="str">
            <v>RNWGEO5</v>
          </cell>
          <cell r="C34" t="str">
            <v>GEO</v>
          </cell>
          <cell r="I34">
            <v>1.5912943872281042E-3</v>
          </cell>
          <cell r="J34">
            <v>2.1008096809182076E-3</v>
          </cell>
        </row>
        <row r="35">
          <cell r="A35" t="str">
            <v>IMPGSL</v>
          </cell>
          <cell r="C35" t="str">
            <v>GSL</v>
          </cell>
          <cell r="H35">
            <v>17.391934668126066</v>
          </cell>
          <cell r="I35">
            <v>2.197482656380354</v>
          </cell>
        </row>
        <row r="36">
          <cell r="A36" t="str">
            <v>RNWWOD1</v>
          </cell>
          <cell r="C36" t="str">
            <v>WOD</v>
          </cell>
          <cell r="H36">
            <v>16.424569897975129</v>
          </cell>
          <cell r="I36">
            <v>17.113642943688614</v>
          </cell>
          <cell r="J36">
            <v>18.429672498613701</v>
          </cell>
        </row>
        <row r="37">
          <cell r="A37" t="str">
            <v>RNWWOD2</v>
          </cell>
          <cell r="C37" t="str">
            <v>WOD</v>
          </cell>
          <cell r="H37">
            <v>7.6690268840097424</v>
          </cell>
          <cell r="I37">
            <v>7.6690272354692235</v>
          </cell>
          <cell r="J37">
            <v>7.6690280658172298</v>
          </cell>
        </row>
        <row r="38">
          <cell r="A38" t="str">
            <v>RNWWOD3</v>
          </cell>
          <cell r="C38" t="str">
            <v>WOD</v>
          </cell>
          <cell r="H38">
            <v>4.8053857867222325</v>
          </cell>
          <cell r="I38">
            <v>4.8053860244004456</v>
          </cell>
          <cell r="J38">
            <v>4.8053857956811266</v>
          </cell>
        </row>
        <row r="39">
          <cell r="A39" t="str">
            <v>RNWWOD4</v>
          </cell>
          <cell r="C39" t="str">
            <v>WOD</v>
          </cell>
          <cell r="H39">
            <v>24.230790798215235</v>
          </cell>
          <cell r="I39">
            <v>23.999636654019739</v>
          </cell>
          <cell r="J39">
            <v>22.684291598075507</v>
          </cell>
        </row>
        <row r="40">
          <cell r="A40" t="str">
            <v>RNWWOD5</v>
          </cell>
          <cell r="C40" t="str">
            <v>WOD</v>
          </cell>
          <cell r="H40">
            <v>0.45970981830128682</v>
          </cell>
          <cell r="I40">
            <v>1.8095500322859483E-3</v>
          </cell>
          <cell r="J40">
            <v>1.1306323628223198E-3</v>
          </cell>
        </row>
        <row r="41">
          <cell r="A41" t="str">
            <v>RNNWWST1</v>
          </cell>
          <cell r="C41" t="str">
            <v>WSTNREN</v>
          </cell>
          <cell r="H41">
            <v>34.937590540999302</v>
          </cell>
          <cell r="I41">
            <v>38.082489273757304</v>
          </cell>
          <cell r="J41">
            <v>39.221629252583433</v>
          </cell>
        </row>
        <row r="42">
          <cell r="A42" t="str">
            <v>RNWSOL1</v>
          </cell>
          <cell r="C42" t="str">
            <v>SOL</v>
          </cell>
          <cell r="H42">
            <v>59.990444077122618</v>
          </cell>
          <cell r="I42">
            <v>123.39194094728948</v>
          </cell>
          <cell r="J42">
            <v>145.05428143635226</v>
          </cell>
        </row>
        <row r="43">
          <cell r="A43" t="str">
            <v>IMPHFO1</v>
          </cell>
          <cell r="C43" t="str">
            <v>HFO</v>
          </cell>
          <cell r="H43">
            <v>6.6085858145498869E-3</v>
          </cell>
          <cell r="I43">
            <v>4.9804572070256947E-4</v>
          </cell>
        </row>
        <row r="44">
          <cell r="A44" t="str">
            <v>RNWHYDD1</v>
          </cell>
          <cell r="C44" t="str">
            <v>HYDD</v>
          </cell>
          <cell r="H44">
            <v>71.021496214535063</v>
          </cell>
          <cell r="I44">
            <v>73.932876845571755</v>
          </cell>
          <cell r="J44">
            <v>74.836059234919432</v>
          </cell>
        </row>
        <row r="45">
          <cell r="A45" t="str">
            <v>IMPKER</v>
          </cell>
          <cell r="C45" t="str">
            <v>KER</v>
          </cell>
          <cell r="H45">
            <v>2.5857289363565883</v>
          </cell>
          <cell r="I45">
            <v>2.1424004166884867</v>
          </cell>
        </row>
        <row r="46">
          <cell r="A46" t="str">
            <v>IMPBDS</v>
          </cell>
          <cell r="C46" t="str">
            <v>BDS</v>
          </cell>
          <cell r="H46">
            <v>3.0646423135546974</v>
          </cell>
          <cell r="I46">
            <v>3.0637016475971226</v>
          </cell>
          <cell r="J46">
            <v>4.3412246240060286</v>
          </cell>
        </row>
        <row r="47">
          <cell r="A47" t="str">
            <v>IMPCOA1</v>
          </cell>
          <cell r="C47" t="str">
            <v>COA</v>
          </cell>
          <cell r="H47">
            <v>4.7033616135004497E-3</v>
          </cell>
          <cell r="I47">
            <v>4.8860443967901294E-4</v>
          </cell>
        </row>
        <row r="48">
          <cell r="A48" t="str">
            <v>IMPETH</v>
          </cell>
          <cell r="C48" t="str">
            <v>ETH</v>
          </cell>
          <cell r="H48">
            <v>1.4621749200675467</v>
          </cell>
          <cell r="I48">
            <v>2.3886011340404369</v>
          </cell>
          <cell r="J48">
            <v>0.19058886336853201</v>
          </cell>
        </row>
        <row r="49">
          <cell r="A49" t="str">
            <v>IMPELC_DE</v>
          </cell>
          <cell r="C49" t="str">
            <v>ELC_I-DE</v>
          </cell>
          <cell r="H49">
            <v>34.988331141078888</v>
          </cell>
          <cell r="I49">
            <v>15.786185864923109</v>
          </cell>
          <cell r="J49">
            <v>8.123334947078007</v>
          </cell>
        </row>
        <row r="50">
          <cell r="A50" t="str">
            <v>IMPELC_DE</v>
          </cell>
          <cell r="C50" t="str">
            <v>ELCS</v>
          </cell>
          <cell r="H50">
            <v>34.988331141078888</v>
          </cell>
          <cell r="I50">
            <v>15.786185864923109</v>
          </cell>
          <cell r="J50">
            <v>8.123334947078007</v>
          </cell>
        </row>
        <row r="51">
          <cell r="A51" t="str">
            <v>RNWWST1</v>
          </cell>
          <cell r="C51" t="str">
            <v>WSTREN</v>
          </cell>
          <cell r="H51">
            <v>37.289454236355354</v>
          </cell>
          <cell r="I51">
            <v>41.113208143784092</v>
          </cell>
          <cell r="J51">
            <v>44.606346663836682</v>
          </cell>
        </row>
        <row r="52">
          <cell r="A52" t="str">
            <v>IMPNGA1</v>
          </cell>
          <cell r="C52" t="str">
            <v>NGA</v>
          </cell>
          <cell r="H52">
            <v>52.478267787207109</v>
          </cell>
          <cell r="I52">
            <v>15.484699588984117</v>
          </cell>
        </row>
        <row r="53">
          <cell r="A53" t="str">
            <v>IMPELC_IT</v>
          </cell>
          <cell r="C53" t="str">
            <v>ELC_I-IT</v>
          </cell>
          <cell r="H53">
            <v>3.5874483691512643E-4</v>
          </cell>
          <cell r="I53">
            <v>2.5310926072297083E-4</v>
          </cell>
          <cell r="J53">
            <v>2.0801013416810825E-4</v>
          </cell>
        </row>
        <row r="54">
          <cell r="A54" t="str">
            <v>IMPELC_IT</v>
          </cell>
          <cell r="C54" t="str">
            <v>ELCS</v>
          </cell>
          <cell r="H54">
            <v>3.5874483691512643E-4</v>
          </cell>
          <cell r="I54">
            <v>2.5310926072297083E-4</v>
          </cell>
          <cell r="J54">
            <v>2.0801013416810825E-4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0.80469815977680725</v>
          </cell>
          <cell r="I4">
            <v>0.87222046861711378</v>
          </cell>
          <cell r="J4">
            <v>0.75451528676202018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0.80469815977680725</v>
          </cell>
          <cell r="I5">
            <v>0.87222046861711378</v>
          </cell>
          <cell r="J5">
            <v>0.75451528676202018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1.2482756535107654E-4</v>
          </cell>
          <cell r="I6">
            <v>9.4328059440029933E-5</v>
          </cell>
          <cell r="J6">
            <v>1.0118467181640475E-4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1.2495239291642745E-4</v>
          </cell>
          <cell r="I7">
            <v>9.4422387499470091E-5</v>
          </cell>
          <cell r="J7">
            <v>1.0128585648822116E-4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1.07086474139501E-4</v>
          </cell>
          <cell r="I8">
            <v>8.7022037107336688E-5</v>
          </cell>
          <cell r="J8">
            <v>9.6547099732247562E-5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9.5026758825318099E-7</v>
          </cell>
          <cell r="I9">
            <v>1.24927189818258E-5</v>
          </cell>
          <cell r="J9">
            <v>2.10109764081379E-5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1.78640441450012E-4</v>
          </cell>
          <cell r="I10">
            <v>3.8475686044978103E-5</v>
          </cell>
          <cell r="J10">
            <v>3.04793194847836E-5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7.3538467444779299</v>
          </cell>
          <cell r="I11">
            <v>5.0546937603702302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9.4759234498063408E-2</v>
          </cell>
          <cell r="I12">
            <v>6.513311032956863E-2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9.9780824212726452E-2</v>
          </cell>
          <cell r="I13">
            <v>6.8584718593897365E-2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2.8582625579976314E-2</v>
          </cell>
          <cell r="I15">
            <v>5.0613759916034798E-3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21.426448013430502</v>
          </cell>
          <cell r="I16">
            <v>26.2157918944825</v>
          </cell>
          <cell r="J16">
            <v>30.7166855655314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0.76698968717444482</v>
          </cell>
          <cell r="I17">
            <v>0.95101055066164364</v>
          </cell>
          <cell r="J17">
            <v>1.1662809702198966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0.37990156052181651</v>
          </cell>
          <cell r="I18">
            <v>0.46481900522132069</v>
          </cell>
          <cell r="J18">
            <v>0.54462208449523786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0.76698968717444482</v>
          </cell>
          <cell r="I19">
            <v>0.95101055066164364</v>
          </cell>
          <cell r="J19">
            <v>1.1662809702198966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1.6519015006426E-2</v>
          </cell>
          <cell r="I20">
            <v>3.3131213997573898E-2</v>
          </cell>
          <cell r="J20">
            <v>5.4210538352852E-2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5.5920073549555249E-2</v>
          </cell>
          <cell r="I21">
            <v>6.954076282822573E-2</v>
          </cell>
          <cell r="J21">
            <v>8.5242239978826032E-2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0.54539781122951048</v>
          </cell>
          <cell r="I22">
            <v>0.54540565546103881</v>
          </cell>
          <cell r="J22">
            <v>0.5454275148583555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0.54539781122951048</v>
          </cell>
          <cell r="I23">
            <v>0.54540565546103881</v>
          </cell>
          <cell r="J23">
            <v>0.5454275148583555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0.73330798148505627</v>
          </cell>
          <cell r="I24">
            <v>0.73127015257346017</v>
          </cell>
          <cell r="J24">
            <v>0.72723668647780715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2.8663372110701801E-2</v>
          </cell>
          <cell r="I25">
            <v>1.4058451570093399E-2</v>
          </cell>
          <cell r="J25">
            <v>2.0339696685854398E-2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4.0673534376947013E-2</v>
          </cell>
          <cell r="I26">
            <v>4.2731070384292198E-2</v>
          </cell>
          <cell r="J26">
            <v>4.2647077907246464E-2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1.9582372057730555E-3</v>
          </cell>
          <cell r="I27">
            <v>2.2073110273076297E-3</v>
          </cell>
          <cell r="J27">
            <v>7.1063457096050807E-4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9.0943787941261155E-4</v>
          </cell>
          <cell r="I28">
            <v>8.1411464390378381E-4</v>
          </cell>
          <cell r="J28">
            <v>3.6884190878639598E-4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2.8481915979951342E-3</v>
          </cell>
          <cell r="I29">
            <v>3.0102772464043748E-3</v>
          </cell>
          <cell r="J29">
            <v>1.0697324904255258E-3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1.0747860436063086</v>
          </cell>
          <cell r="I30">
            <v>1.0023161547425676</v>
          </cell>
          <cell r="J30">
            <v>0.73441925006014452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2.3371637485321552</v>
          </cell>
          <cell r="I31">
            <v>2.12767374295704</v>
          </cell>
          <cell r="J31">
            <v>1.4739894683115249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2.1172906138068302E-2</v>
          </cell>
          <cell r="I32">
            <v>4.19827403729972E-2</v>
          </cell>
          <cell r="J32">
            <v>1.3239438997465099E-2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7.349070399100259E-2</v>
          </cell>
          <cell r="I33">
            <v>7.1506894916167241E-2</v>
          </cell>
          <cell r="J33">
            <v>5.2663418396808902E-2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3.4804124603196289</v>
          </cell>
          <cell r="I34">
            <v>2.7001055539115772</v>
          </cell>
          <cell r="J34">
            <v>1.4269527255034684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4.775363700598974</v>
          </cell>
          <cell r="I35">
            <v>3.6804172056521209</v>
          </cell>
          <cell r="J35">
            <v>1.8857589855474632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0.14837553959045</v>
          </cell>
          <cell r="I36">
            <v>6.8869969307625498E-2</v>
          </cell>
          <cell r="J36">
            <v>2.7579272080399501E-3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0.28121705009544573</v>
          </cell>
          <cell r="I37">
            <v>0.21974781344529781</v>
          </cell>
          <cell r="J37">
            <v>0.11550104939414844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0.18578515796624734</v>
          </cell>
          <cell r="J38">
            <v>0.34302559683475631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0.18766177572348211</v>
          </cell>
          <cell r="J39">
            <v>0.34649050185328922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2.7394519413616901E-6</v>
          </cell>
          <cell r="I40">
            <v>2.9688473365030301E-2</v>
          </cell>
          <cell r="J40">
            <v>4.0237883323127399E-5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3.8042274934918801E-6</v>
          </cell>
          <cell r="I41">
            <v>2.96922775925238E-2</v>
          </cell>
          <cell r="J41">
            <v>2.9732515475847002E-2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5.7276309169079607</v>
          </cell>
          <cell r="I42">
            <v>4.8630183192076952</v>
          </cell>
          <cell r="J42">
            <v>3.347530755772913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8.4536622619045598</v>
          </cell>
          <cell r="I43">
            <v>7.1452771891414599</v>
          </cell>
          <cell r="J43">
            <v>4.7599534491282505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0.27209964968683598</v>
          </cell>
          <cell r="I44">
            <v>9.8993511787647995E-2</v>
          </cell>
          <cell r="J44">
            <v>8.29445369871529E-2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0.44309351088569471</v>
          </cell>
          <cell r="I45">
            <v>0.37940396861926129</v>
          </cell>
          <cell r="J45">
            <v>0.26988338442659615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7.1976264064727591</v>
          </cell>
          <cell r="I46">
            <v>6.7721891883828098</v>
          </cell>
          <cell r="J46">
            <v>9.0604408174193676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7.1976264064727591</v>
          </cell>
          <cell r="I47">
            <v>6.7721891883828098</v>
          </cell>
          <cell r="J47">
            <v>9.0604408174193676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7.6625352091757017</v>
          </cell>
          <cell r="I48">
            <v>7.1718226540911783</v>
          </cell>
          <cell r="J48">
            <v>9.5373061235993344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0.26232047270841902</v>
          </cell>
          <cell r="I49">
            <v>0.24127227678792901</v>
          </cell>
          <cell r="J49">
            <v>0.402374590789083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0.39772239596820796</v>
          </cell>
          <cell r="I50">
            <v>0.50836408047072834</v>
          </cell>
          <cell r="J50">
            <v>0.64102159916406654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0.31155127643409919</v>
          </cell>
          <cell r="I51">
            <v>0.53354240006107068</v>
          </cell>
          <cell r="J51">
            <v>0.65088302136645815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0.31186282771053314</v>
          </cell>
          <cell r="I52">
            <v>0.53407594246113177</v>
          </cell>
          <cell r="J52">
            <v>0.65153390438782466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0.31155894557029734</v>
          </cell>
          <cell r="I53">
            <v>0.53354594618274009</v>
          </cell>
          <cell r="J53">
            <v>0.6508909341073813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2.2596542785316798E-2</v>
          </cell>
          <cell r="I54">
            <v>4.7268371849739102E-2</v>
          </cell>
          <cell r="J54">
            <v>6.3386103032097005E-2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7.3494589403717697E-2</v>
          </cell>
          <cell r="I55">
            <v>9.5956700689694516E-2</v>
          </cell>
          <cell r="J55">
            <v>0.10717916881601873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0.1749482446231671</v>
          </cell>
          <cell r="I56">
            <v>0.18801801150998101</v>
          </cell>
          <cell r="J56">
            <v>0.21793502367562231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6.0639927981741026</v>
          </cell>
          <cell r="I57">
            <v>6.3512680789669158</v>
          </cell>
          <cell r="J57">
            <v>5.7493984342333766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2.3207907486221595</v>
          </cell>
          <cell r="I58">
            <v>2.5043534067129207</v>
          </cell>
          <cell r="J58">
            <v>2.3855969115061759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1.2533178778568108</v>
          </cell>
          <cell r="I59">
            <v>1.4300823153839395</v>
          </cell>
          <cell r="J59">
            <v>3.7029339017948026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0.29821188593114084</v>
          </cell>
          <cell r="I60">
            <v>0.34556189201176285</v>
          </cell>
          <cell r="J60">
            <v>0.42515696069753978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11.069696391322529</v>
          </cell>
          <cell r="I61">
            <v>11.801437651143798</v>
          </cell>
          <cell r="J61">
            <v>13.515039886350923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8.6740525383227705E-7</v>
          </cell>
          <cell r="I62">
            <v>5.6738978972682499E-5</v>
          </cell>
          <cell r="J62">
            <v>3.3917588680142001E-7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0.62769626477629903</v>
          </cell>
          <cell r="I63">
            <v>0.62775300375527199</v>
          </cell>
          <cell r="J63">
            <v>0.62775334293115903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1.6132884469624651E-3</v>
          </cell>
          <cell r="I64">
            <v>8.8451823597966532E-4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1.3356096764879942E-2</v>
          </cell>
          <cell r="I65">
            <v>3.7802186836939627E-3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1.4940540235280053E-2</v>
          </cell>
          <cell r="I66">
            <v>4.6477538313800769E-3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60.169548875039112</v>
          </cell>
          <cell r="I67">
            <v>59.908847264392648</v>
          </cell>
          <cell r="J67">
            <v>58.417764833145945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6.985790613902652</v>
          </cell>
          <cell r="I68">
            <v>9.185626495983545</v>
          </cell>
          <cell r="J68">
            <v>13.8608602609761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5.7276309169079607</v>
          </cell>
          <cell r="I69">
            <v>4.8630183192076952</v>
          </cell>
          <cell r="J69">
            <v>3.347530755772913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6.8699780049153647</v>
          </cell>
          <cell r="I70">
            <v>7.6309722607418324</v>
          </cell>
          <cell r="J70">
            <v>7.3759196890454017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0.26580114213366329</v>
          </cell>
          <cell r="I71">
            <v>0.21829250069883216</v>
          </cell>
          <cell r="J71">
            <v>0.15816830951345201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11.580813738577014</v>
          </cell>
          <cell r="I73">
            <v>15.84684844663165</v>
          </cell>
          <cell r="J73">
            <v>18.489069182606045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0.5506465328921154</v>
          </cell>
          <cell r="I74">
            <v>0.71173589346460875</v>
          </cell>
          <cell r="J74">
            <v>0.73428410814602263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0.66055867236158539</v>
          </cell>
          <cell r="I76">
            <v>0.7365410699367404</v>
          </cell>
          <cell r="J76">
            <v>0.77783396237536584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9.7648038093698251</v>
          </cell>
          <cell r="I77">
            <v>5.1984349538834405</v>
          </cell>
          <cell r="J77">
            <v>1.9491709673527928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8.6334822315016932</v>
          </cell>
          <cell r="I78">
            <v>11.067642129444893</v>
          </cell>
          <cell r="J78">
            <v>11.379124851642782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9.1300432124772328</v>
          </cell>
          <cell r="I80">
            <v>4.4497351943994001</v>
          </cell>
          <cell r="J80">
            <v>0.34580274571502456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1.0830737920750236E-3</v>
          </cell>
          <cell r="I81">
            <v>7.4874701641682159E-4</v>
          </cell>
          <cell r="J81">
            <v>5.9079771005603795E-4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1.2598968499099375E-3</v>
          </cell>
          <cell r="I82">
            <v>8.7377681819674033E-4</v>
          </cell>
          <cell r="J82">
            <v>6.5649178598127696E-4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6.7777700863234295E-5</v>
          </cell>
          <cell r="I83">
            <v>7.8963724180160997E-5</v>
          </cell>
          <cell r="J83">
            <v>4.9491411300354802E-5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1.0415467424786996E-4</v>
          </cell>
          <cell r="I84">
            <v>8.8143282176110114E-5</v>
          </cell>
          <cell r="J84">
            <v>3.9967354391525707E-5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3.9047549857508856E-2</v>
          </cell>
          <cell r="I85">
            <v>0.21029577913741618</v>
          </cell>
          <cell r="J85">
            <v>0.21172115575089229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3.9051419613090839E-2</v>
          </cell>
          <cell r="I86">
            <v>0.21029891897221231</v>
          </cell>
          <cell r="J86">
            <v>0.21172429558568817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1.37429521342336E-5</v>
          </cell>
          <cell r="I87">
            <v>6.8925929253994198E-3</v>
          </cell>
          <cell r="J87">
            <v>8.6071765794720604E-4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1.4951781388784797E-3</v>
          </cell>
          <cell r="I88">
            <v>7.7261552898677264E-3</v>
          </cell>
          <cell r="J88">
            <v>7.7638544607603445E-3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9.5105031632161767E-3</v>
          </cell>
          <cell r="I89">
            <v>1.6709784087997823E-3</v>
          </cell>
          <cell r="J89">
            <v>1.1854956639194534E-5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9.1041342224925137E-6</v>
          </cell>
          <cell r="I90">
            <v>4.1994308751189593E-6</v>
          </cell>
          <cell r="J90">
            <v>6.815957405782866E-6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5.0890573900785755E-4</v>
          </cell>
          <cell r="I91">
            <v>1.6272591080021912E-3</v>
          </cell>
          <cell r="J91">
            <v>5.2417032714299817E-6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1.0029094431090388E-2</v>
          </cell>
          <cell r="I92">
            <v>3.3028421755146669E-3</v>
          </cell>
          <cell r="J92">
            <v>2.3912617316407377E-5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4.7033616135004497E-3</v>
          </cell>
          <cell r="I93">
            <v>4.8860443967901294E-4</v>
          </cell>
          <cell r="J93"/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0.43600162157149203</v>
          </cell>
          <cell r="I94">
            <v>4.52936315582445E-2</v>
          </cell>
          <cell r="J94"/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4.7033616135004497E-3</v>
          </cell>
          <cell r="I95">
            <v>4.8860443967901294E-4</v>
          </cell>
          <cell r="J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4.2469476724359385</v>
          </cell>
          <cell r="I96">
            <v>4.2470282427601491</v>
          </cell>
          <cell r="J96">
            <v>4.2470455908836868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4.2469476724359385</v>
          </cell>
          <cell r="I97">
            <v>4.2470282427601491</v>
          </cell>
          <cell r="J97">
            <v>4.2470455908836868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7.5018827194958296E-2</v>
          </cell>
          <cell r="I98">
            <v>5.1536451681663298E-6</v>
          </cell>
          <cell r="J98">
            <v>2.5355841573584299E-2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0.29990567022812381</v>
          </cell>
          <cell r="I99">
            <v>0.2999108071983802</v>
          </cell>
          <cell r="J99">
            <v>0.29990817978244538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3.8915919273232818E-3</v>
          </cell>
          <cell r="I100">
            <v>3.1426614987931979E-3</v>
          </cell>
          <cell r="J100">
            <v>3.4262940393477944E-3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4.183307299705381E-3</v>
          </cell>
          <cell r="I101">
            <v>3.3782367303468092E-3</v>
          </cell>
          <cell r="J101">
            <v>3.6831304857802387E-3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3.75320672578229E-5</v>
          </cell>
          <cell r="I102">
            <v>3.5807584012169098E-4</v>
          </cell>
          <cell r="J102">
            <v>9.8124723942566997E-5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4.6735191337818338E-4</v>
          </cell>
          <cell r="I103">
            <v>3.9454672139804299E-4</v>
          </cell>
          <cell r="J103">
            <v>3.7279695247193542E-4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3.71615743024717E-4</v>
          </cell>
          <cell r="I107">
            <v>1.5237919617209499E-4</v>
          </cell>
          <cell r="J107">
            <v>4.0013672433225997E-8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6.6514796434142892E-4</v>
          </cell>
          <cell r="I108">
            <v>3.0461653734129197E-4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2.9611173366537429</v>
          </cell>
          <cell r="I109">
            <v>4.0246702971735493</v>
          </cell>
          <cell r="J109">
            <v>6.614849087469965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2.9611173366537429</v>
          </cell>
          <cell r="I110">
            <v>4.0246702971735493</v>
          </cell>
          <cell r="J110">
            <v>6.614849087469965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0.123268702891434</v>
          </cell>
          <cell r="I111">
            <v>7.5100380827332905E-2</v>
          </cell>
          <cell r="J111">
            <v>0.222394080595093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0.20910810692048767</v>
          </cell>
          <cell r="I112">
            <v>0.28420847361522089</v>
          </cell>
          <cell r="J112">
            <v>0.46710635701971792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4.4520022693071634E-2</v>
          </cell>
          <cell r="I113">
            <v>0.80167414299456796</v>
          </cell>
          <cell r="J113">
            <v>8.8523343058912536E-4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0.48658597656698938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2.6333178394767596E-2</v>
          </cell>
          <cell r="I115">
            <v>0.30230549521538819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7.9486081284879705E-4</v>
          </cell>
          <cell r="J116">
            <v>8.5322392185536511E-4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3.3109215040381156E-3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1.4727381882975243E-2</v>
          </cell>
          <cell r="I118">
            <v>4.5478761589748057E-3</v>
          </cell>
          <cell r="J118">
            <v>1.1566226178780221E-5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2.0600867505362855E-3</v>
          </cell>
          <cell r="I119">
            <v>2.1075715583599363E-3</v>
          </cell>
          <cell r="J119">
            <v>7.8471308851797268E-6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5.0890573900785755E-4</v>
          </cell>
          <cell r="I120">
            <v>1.6272591080021912E-3</v>
          </cell>
          <cell r="J120">
            <v>5.2417032714299817E-6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>
            <v>8.9046992578463674E-4</v>
          </cell>
          <cell r="I121">
            <v>3.9418206996660009E-4</v>
          </cell>
          <cell r="J121">
            <v>7.3544483983708199E-6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3.3198300340854699E-2</v>
          </cell>
          <cell r="I122">
            <v>1.3810629879228599E-2</v>
          </cell>
          <cell r="J122">
            <v>3.3311853105374599E-4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3.3617733220031809E-2</v>
          </cell>
          <cell r="I123">
            <v>3.2714733884335302E-2</v>
          </cell>
          <cell r="J123">
            <v>9.0989099923850097E-4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0.48658597656698938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0.84099290118757453</v>
          </cell>
          <cell r="I125">
            <v>0.5614141979489381</v>
          </cell>
          <cell r="J125">
            <v>1.5014980378449748E-2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5.9698513624885494E-4</v>
          </cell>
          <cell r="I126">
            <v>6.4017944567697747E-4</v>
          </cell>
          <cell r="J126">
            <v>2.6350365373952868E-5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0.84158988632382281</v>
          </cell>
          <cell r="I127">
            <v>1.048640380001677</v>
          </cell>
          <cell r="J127">
            <v>1.504140568045031E-2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2.0765052905595591</v>
          </cell>
          <cell r="I128">
            <v>2.2427661256658422</v>
          </cell>
          <cell r="J128">
            <v>2.1427106230680071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2.0765052905595591</v>
          </cell>
          <cell r="I129">
            <v>2.2427661256658422</v>
          </cell>
          <cell r="J129">
            <v>2.1427106230680071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2.3207907486221595</v>
          </cell>
          <cell r="I130">
            <v>2.5043534067129207</v>
          </cell>
          <cell r="J130">
            <v>2.3855969115061759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5.26983043237274E-2</v>
          </cell>
          <cell r="I131">
            <v>5.50316229046219E-2</v>
          </cell>
          <cell r="J131">
            <v>5.3759630369430399E-2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0.17775823734864704</v>
          </cell>
          <cell r="I132">
            <v>0.18269913998207099</v>
          </cell>
          <cell r="J132">
            <v>0.18253549899387811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0.97646949656319437</v>
          </cell>
          <cell r="I133">
            <v>2.4761836116250424</v>
          </cell>
          <cell r="J133">
            <v>4.5576222737646503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0.97646949656319437</v>
          </cell>
          <cell r="I134">
            <v>2.4761836116250424</v>
          </cell>
          <cell r="J134">
            <v>4.5576222737646503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2.8856764280721702E-7</v>
          </cell>
          <cell r="I135">
            <v>0.105899350215524</v>
          </cell>
          <cell r="J135">
            <v>0.17870602260260501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6.8963591869131813E-2</v>
          </cell>
          <cell r="I136">
            <v>0.17486293465643152</v>
          </cell>
          <cell r="J136">
            <v>0.32183244391488613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54.085970410039749</v>
          </cell>
          <cell r="I137">
            <v>53.038010973529907</v>
          </cell>
          <cell r="J137">
            <v>49.840032693490187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17.29543939502561</v>
          </cell>
          <cell r="I138">
            <v>17.218296789782173</v>
          </cell>
          <cell r="J138">
            <v>16.723715647340352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11.773370311386222</v>
          </cell>
          <cell r="I139">
            <v>11.638535723475856</v>
          </cell>
          <cell r="J139">
            <v>11.199552910813994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13.474928986493342</v>
          </cell>
          <cell r="I140">
            <v>13.139658969777647</v>
          </cell>
          <cell r="J140">
            <v>11.886369358453447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11.54223171713463</v>
          </cell>
          <cell r="I141">
            <v>11.041519490494204</v>
          </cell>
          <cell r="J141">
            <v>10.030394776882371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6.8699780049153647</v>
          </cell>
          <cell r="I142">
            <v>7.6309722607418324</v>
          </cell>
          <cell r="J142">
            <v>7.3759196890454017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6.8699780049153647</v>
          </cell>
          <cell r="I143">
            <v>7.6309722607418324</v>
          </cell>
          <cell r="J143">
            <v>7.3759196890454017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8.330514014434808</v>
          </cell>
          <cell r="I144">
            <v>9.2532932880410623</v>
          </cell>
          <cell r="J144">
            <v>8.9440173309107056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0.495714644542744</v>
          </cell>
          <cell r="I145">
            <v>0.263171987549842</v>
          </cell>
          <cell r="J145">
            <v>0.49656144792548301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0.84969778823366504</v>
          </cell>
          <cell r="I146">
            <v>0.8496996064561515</v>
          </cell>
          <cell r="J146">
            <v>0.84970016996314379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0.13867031802793681</v>
          </cell>
          <cell r="I147">
            <v>0.59145908064061448</v>
          </cell>
          <cell r="J147">
            <v>1.3970239433292546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0.16816377209102351</v>
          </cell>
          <cell r="I148">
            <v>0.69591868992393902</v>
          </cell>
          <cell r="J148">
            <v>1.5523591353891397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0.101158818511538</v>
          </cell>
          <cell r="I149">
            <v>0.15792049050798901</v>
          </cell>
          <cell r="J149">
            <v>0.21881077080507999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0.32374276670875518</v>
          </cell>
          <cell r="I150">
            <v>0.33901085878989867</v>
          </cell>
          <cell r="J150">
            <v>0.37620267833204513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1.6491372687491301E-3</v>
          </cell>
          <cell r="I151">
            <v>0.51482155628276249</v>
          </cell>
          <cell r="J151">
            <v>0.54655061862646259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18.813318795687739</v>
          </cell>
          <cell r="I152">
            <v>36.075014112508114</v>
          </cell>
          <cell r="J152">
            <v>38.458864713305729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18.814967932956488</v>
          </cell>
          <cell r="I153">
            <v>36.589835668790904</v>
          </cell>
          <cell r="J153">
            <v>39.005415331932213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460.19423361133801</v>
          </cell>
          <cell r="I154">
            <v>254.837597187049</v>
          </cell>
          <cell r="J154">
            <v>5.5034283057583001E-4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6.1846401919200868</v>
          </cell>
          <cell r="I155">
            <v>3.4447813191492065</v>
          </cell>
          <cell r="J155">
            <v>0.26216963129518739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6.2441551371958983</v>
          </cell>
          <cell r="I156">
            <v>3.4577692969748854</v>
          </cell>
          <cell r="J156">
            <v>7.4673382710424559E-6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4.5530841110406582E-2</v>
          </cell>
          <cell r="I157">
            <v>4.5533063200016141E-2</v>
          </cell>
          <cell r="J157">
            <v>0.26662859780681919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0.83289309546365597</v>
          </cell>
          <cell r="I158">
            <v>1.1324045746683822</v>
          </cell>
          <cell r="J158">
            <v>1.1433936574005836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0.83206103442922696</v>
          </cell>
          <cell r="I159">
            <v>1.1312733013670151</v>
          </cell>
          <cell r="J159">
            <v>1.1422514059945894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0.8320929583410096</v>
          </cell>
          <cell r="I160">
            <v>1.131297217311968</v>
          </cell>
          <cell r="J160">
            <v>1.142280808112895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2.6537503872209201E-2</v>
          </cell>
          <cell r="I161">
            <v>8.8170357008158798E-2</v>
          </cell>
          <cell r="J161">
            <v>7.8320371850011797E-2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0.14190126595258581</v>
          </cell>
          <cell r="I162">
            <v>0.17297399573515906</v>
          </cell>
          <cell r="J162">
            <v>0.15345379871874584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0.53693174960261913</v>
          </cell>
          <cell r="I163">
            <v>0.53694562288178138</v>
          </cell>
          <cell r="J163">
            <v>1.231084613872411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0.53693174960261913</v>
          </cell>
          <cell r="I164">
            <v>0.53694562288178138</v>
          </cell>
          <cell r="J164">
            <v>1.231084613872411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7.9635134384152703E-8</v>
          </cell>
          <cell r="I165">
            <v>8.8763185180057005E-8</v>
          </cell>
          <cell r="J165">
            <v>6.50089871530318E-2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3.7926048247894244E-2</v>
          </cell>
          <cell r="I166">
            <v>3.7926135031269702E-2</v>
          </cell>
          <cell r="J166">
            <v>8.6933464950864431E-2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2.0088658311063958E-3</v>
          </cell>
          <cell r="I167">
            <v>6.4082312772579262E-3</v>
          </cell>
          <cell r="J167">
            <v>6.3345366931956866E-3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2.0088658311063958E-3</v>
          </cell>
          <cell r="I168">
            <v>6.4082312772579262E-3</v>
          </cell>
          <cell r="J168">
            <v>6.3345366931956866E-3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6.0448679071278197E-7</v>
          </cell>
          <cell r="I169">
            <v>3.39775564903118E-4</v>
          </cell>
          <cell r="J169">
            <v>5.4136592542946497E-8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1.5398872436326783E-4</v>
          </cell>
          <cell r="I170">
            <v>4.9376784657466008E-4</v>
          </cell>
          <cell r="J170">
            <v>4.9387332068439541E-4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4.922373185649931E-3</v>
          </cell>
          <cell r="I171">
            <v>4.9368361671819619E-3</v>
          </cell>
          <cell r="J171">
            <v>2.9265329459687434E-3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4.922373185649931E-3</v>
          </cell>
          <cell r="I172">
            <v>4.9368361671819619E-3</v>
          </cell>
          <cell r="J172">
            <v>2.9265329459687434E-3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7.6722584882851805E-8</v>
          </cell>
          <cell r="I173">
            <v>7.9155551700945502E-8</v>
          </cell>
          <cell r="J173">
            <v>1.9688235765065499E-6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3.5749775348554113E-4</v>
          </cell>
          <cell r="I174">
            <v>3.5757320372805995E-4</v>
          </cell>
          <cell r="J174">
            <v>2.0839557732866144E-4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8.3160376467838617</v>
          </cell>
          <cell r="I175">
            <v>4.4072517189765756</v>
          </cell>
          <cell r="J175">
            <v>1.0891580063509627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578.83680586649496</v>
          </cell>
          <cell r="I176">
            <v>306.10076826529701</v>
          </cell>
          <cell r="J176">
            <v>75.319480975698994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10.263063933803087</v>
          </cell>
          <cell r="I177">
            <v>5.4273185862641347</v>
          </cell>
          <cell r="J177">
            <v>1.3354517903492751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0.19898439139382401</v>
          </cell>
          <cell r="I178">
            <v>0.10804113375864299</v>
          </cell>
          <cell r="J178">
            <v>2.6730563215300102E-5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0.52385235060600133</v>
          </cell>
          <cell r="I179">
            <v>0.30762841591798062</v>
          </cell>
          <cell r="J179">
            <v>7.9094654369172915E-2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3.1780381697536632E-5</v>
          </cell>
          <cell r="I180">
            <v>4.1071031850887217E-5</v>
          </cell>
          <cell r="J180">
            <v>1.2942308123206972E-4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3.1780381697536632E-5</v>
          </cell>
          <cell r="I181">
            <v>4.1071031850887217E-5</v>
          </cell>
          <cell r="J181">
            <v>1.2942308123206972E-4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1.15137604122312E-4</v>
          </cell>
          <cell r="I182">
            <v>8.4388101046278894E-5</v>
          </cell>
          <cell r="J182">
            <v>5.8790403002774901E-5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9.2908249957503902E-4</v>
          </cell>
          <cell r="I183">
            <v>2.1264528577251063E-4</v>
          </cell>
          <cell r="J183">
            <v>1.6830388961416786E-4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0.34320030991074918</v>
          </cell>
          <cell r="I184">
            <v>0.36286104746480435</v>
          </cell>
          <cell r="J184">
            <v>0.28501317641262736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0.34320030991074918</v>
          </cell>
          <cell r="I185">
            <v>0.36286104746480435</v>
          </cell>
          <cell r="J185">
            <v>0.28501317641262736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0.46729418433917957</v>
          </cell>
          <cell r="I186">
            <v>0.49147202896361625</v>
          </cell>
          <cell r="J186">
            <v>0.38106961398666273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9.0049933140202293E-3</v>
          </cell>
          <cell r="I187">
            <v>1.7016668833494002E-2</v>
          </cell>
          <cell r="J187">
            <v>4.0240355823641296E-3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2.4286971509486704E-2</v>
          </cell>
          <cell r="I188">
            <v>2.6021722782795267E-2</v>
          </cell>
          <cell r="J188">
            <v>2.0182425346409655E-2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7.3403112173304227E-4</v>
          </cell>
          <cell r="I189">
            <v>7.3919933827438643E-4</v>
          </cell>
          <cell r="J189">
            <v>4.6521044989565467E-4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7.3403112173304227E-4</v>
          </cell>
          <cell r="I190">
            <v>7.3919933827438643E-4</v>
          </cell>
          <cell r="J190">
            <v>4.6521044989565467E-4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5.6958748520179099E-8</v>
          </cell>
          <cell r="I191">
            <v>6.0346949559742206E-8</v>
          </cell>
          <cell r="J191">
            <v>6.1156515832490598E-7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5.6843033178791248E-5</v>
          </cell>
          <cell r="I192">
            <v>5.6879312967017985E-5</v>
          </cell>
          <cell r="J192">
            <v>3.3599800351903331E-5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2.9468183202571252E-4</v>
          </cell>
          <cell r="I193">
            <v>2.942201563503104E-4</v>
          </cell>
          <cell r="J193">
            <v>1.9140220281435593E-4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2.9468183202571252E-4</v>
          </cell>
          <cell r="I194">
            <v>2.942201563503104E-4</v>
          </cell>
          <cell r="J194">
            <v>1.9140220281435593E-4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4.3497813329041403E-8</v>
          </cell>
          <cell r="I195">
            <v>4.6312413655703902E-8</v>
          </cell>
          <cell r="J195">
            <v>1.96423962131049E-7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2.2526471300540655E-5</v>
          </cell>
          <cell r="I196">
            <v>2.2549407713105519E-5</v>
          </cell>
          <cell r="J196">
            <v>1.3313443924293375E-5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7.5178225919624389E-5</v>
          </cell>
          <cell r="I197">
            <v>7.0399875873692152E-5</v>
          </cell>
          <cell r="J197">
            <v>4.9125217250991748E-5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7.5178225919624389E-5</v>
          </cell>
          <cell r="I198">
            <v>7.0399875873692152E-5</v>
          </cell>
          <cell r="J198">
            <v>4.9125217250991748E-5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2.7836954209054202E-8</v>
          </cell>
          <cell r="I199">
            <v>2.68068966076977E-8</v>
          </cell>
          <cell r="J199">
            <v>5.69854461204058E-8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2.654083111749193E-6</v>
          </cell>
          <cell r="I200">
            <v>2.6675635951564519E-6</v>
          </cell>
          <cell r="J200">
            <v>1.6721652563411572E-6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25.448945915232255</v>
          </cell>
          <cell r="I201">
            <v>27.259855458221743</v>
          </cell>
          <cell r="J201">
            <v>26.206842315437104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7.6592098502814148</v>
          </cell>
          <cell r="I202">
            <v>7.7342600351367636</v>
          </cell>
          <cell r="J202">
            <v>6.5940111516702009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25.448945915232255</v>
          </cell>
          <cell r="I203">
            <v>27.259855458221743</v>
          </cell>
          <cell r="J203">
            <v>26.206842315437104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0.73150621552065498</v>
          </cell>
          <cell r="I204">
            <v>1.1189490323047</v>
          </cell>
          <cell r="J204">
            <v>0.99571913376160204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2.0559949280256613</v>
          </cell>
          <cell r="I205">
            <v>2.2022991266696859</v>
          </cell>
          <cell r="J205">
            <v>2.1172010220163839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9.8116670868874607</v>
          </cell>
          <cell r="I206">
            <v>12.525324788916343</v>
          </cell>
          <cell r="J206">
            <v>15.26882013153784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4.3317584768824817</v>
          </cell>
          <cell r="I207">
            <v>5.1765317737672403</v>
          </cell>
          <cell r="J207">
            <v>5.603794204668314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0.34570856336807398</v>
          </cell>
          <cell r="I208">
            <v>0.37765982093697398</v>
          </cell>
          <cell r="J208">
            <v>0.62331997654924398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0.67064224046253518</v>
          </cell>
          <cell r="I209">
            <v>0.8561179003969519</v>
          </cell>
          <cell r="J209">
            <v>1.0436330126086384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7.6625352091757017</v>
          </cell>
          <cell r="I210">
            <v>7.1718226540911783</v>
          </cell>
          <cell r="J210">
            <v>9.5373061235993344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1.3010546606980042E-2</v>
          </cell>
          <cell r="I211">
            <v>1.6585586433833115E-2</v>
          </cell>
          <cell r="J211">
            <v>2.1992615644520013E-3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7.6755457557826858</v>
          </cell>
          <cell r="I212">
            <v>7.1884082405250167</v>
          </cell>
          <cell r="J212">
            <v>9.5395053851637925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5.0563712786294754E-5</v>
          </cell>
          <cell r="I213">
            <v>4.466487096689199E-5</v>
          </cell>
          <cell r="J213">
            <v>3.0741245540578053E-5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5.0563712786294754E-5</v>
          </cell>
          <cell r="I214">
            <v>4.466487096689199E-5</v>
          </cell>
          <cell r="J214">
            <v>3.0741245540578053E-5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/>
          <cell r="I215"/>
          <cell r="J215"/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-4.01162398968786E-8</v>
          </cell>
          <cell r="I216">
            <v>-4.9512216512314302E-8</v>
          </cell>
          <cell r="J216">
            <v>-2.1441158470233329E-8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11.580827781180391</v>
          </cell>
          <cell r="I217">
            <v>15.846864814832955</v>
          </cell>
          <cell r="J217">
            <v>18.489079140609462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11.580827781180391</v>
          </cell>
          <cell r="I218">
            <v>15.846864814832955</v>
          </cell>
          <cell r="J218">
            <v>18.489079140609462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3.436763034256392</v>
          </cell>
          <cell r="I219">
            <v>4.4364638192542305</v>
          </cell>
          <cell r="J219">
            <v>4.7969785666502291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0.58243106376643605</v>
          </cell>
          <cell r="I220">
            <v>0.50720396096569897</v>
          </cell>
          <cell r="J220">
            <v>0.82089489188698594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0.89525390942793182</v>
          </cell>
          <cell r="I221">
            <v>1.2270166867781667</v>
          </cell>
          <cell r="J221">
            <v>1.4353547127673265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0.16230863241661342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3.3436737920922665E-3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0.16562554092157006</v>
          </cell>
          <cell r="I224"/>
          <cell r="J224"/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H225">
            <v>5.1359145760382701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H226">
            <v>12.880095848197982</v>
          </cell>
          <cell r="I226">
            <v>7.4548275442379577</v>
          </cell>
          <cell r="J226">
            <v>3.3507875677810262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H227">
            <v>1.0980114856273128E-2</v>
          </cell>
          <cell r="I227">
            <v>1.1273366644018092E-2</v>
          </cell>
          <cell r="J227">
            <v>9.5520831763392794E-3</v>
          </cell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H228">
            <v>1.1558015638182269E-2</v>
          </cell>
          <cell r="I228">
            <v>1.1866701730545369E-2</v>
          </cell>
          <cell r="J228">
            <v>1.0054824396146612E-2</v>
          </cell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H229">
            <v>1.8915088084834699E-3</v>
          </cell>
          <cell r="I229"/>
          <cell r="J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H230">
            <v>4.5457703469604883E-3</v>
          </cell>
          <cell r="I230">
            <v>1.8912427699679197E-3</v>
          </cell>
          <cell r="J230">
            <v>7.9961460209661001E-4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H231">
            <v>5.1359145760379503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H232">
            <v>12.880095848198948</v>
          </cell>
          <cell r="I232">
            <v>7.4548275442389809</v>
          </cell>
          <cell r="J232">
            <v>3.3507875677810262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H233">
            <v>9.899955049834288E-4</v>
          </cell>
          <cell r="I233">
            <v>2.6330672464485415E-2</v>
          </cell>
          <cell r="J233">
            <v>5.4564005384218531E-2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H234">
            <v>1.1185485959724175E-3</v>
          </cell>
          <cell r="I234">
            <v>3.0922621733546748E-2</v>
          </cell>
          <cell r="J234">
            <v>6.0588280357311661E-2</v>
          </cell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H235">
            <v>5.1749274579636902E-5</v>
          </cell>
          <cell r="I235">
            <v>5.3863304192492099E-2</v>
          </cell>
          <cell r="J235">
            <v>8.7673842982869097E-8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H236">
            <v>1.42380886251368E-4</v>
          </cell>
          <cell r="I236">
            <v>5.3959950114904801E-2</v>
          </cell>
          <cell r="J236">
            <v>3.9112382899408903E-2</v>
          </cell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H239"/>
          <cell r="I239"/>
          <cell r="J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H240">
            <v>4.1710287346423598E-4</v>
          </cell>
          <cell r="I240">
            <v>1.0459362053307101E-4</v>
          </cell>
          <cell r="J240">
            <v>3.1235585344430099E-8</v>
          </cell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H241">
            <v>7.9286681064468997E-4</v>
          </cell>
          <cell r="I241">
            <v>2.3801979336918687E-4</v>
          </cell>
          <cell r="J241"/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H242">
            <v>0.32546395878001988</v>
          </cell>
          <cell r="I242">
            <v>0.2993179188885956</v>
          </cell>
          <cell r="J242">
            <v>0.26631531661790186</v>
          </cell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H243">
            <v>0.32578942273879968</v>
          </cell>
          <cell r="I243">
            <v>0.29961723680748398</v>
          </cell>
          <cell r="J243">
            <v>0.26658163193451972</v>
          </cell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H244">
            <v>0.32546332917790644</v>
          </cell>
          <cell r="I244">
            <v>0.29931843065337382</v>
          </cell>
          <cell r="J244">
            <v>0.26631520474549697</v>
          </cell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H245">
            <v>1.42014797277474E-2</v>
          </cell>
          <cell r="I245">
            <v>1.78418364022454E-2</v>
          </cell>
          <cell r="J245">
            <v>9.2536468166409692E-3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H246">
            <v>2.9963565670097426E-2</v>
          </cell>
          <cell r="I246">
            <v>3.2023326245319866E-2</v>
          </cell>
          <cell r="J246">
            <v>2.8139659834423483E-2</v>
          </cell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H247">
            <v>4.3711195379477621</v>
          </cell>
          <cell r="I247">
            <v>2.7215138838589019</v>
          </cell>
          <cell r="J247">
            <v>0.20877313175572815</v>
          </cell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H248">
            <v>409.39565529742703</v>
          </cell>
          <cell r="I248">
            <v>253.880383221297</v>
          </cell>
          <cell r="J248">
            <v>19.321901826455299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H249">
            <v>5.5548935589881516</v>
          </cell>
          <cell r="I249">
            <v>3.4447813191492065</v>
          </cell>
          <cell r="J249">
            <v>0.26216963129518739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H250">
            <v>0.177094558397795</v>
          </cell>
          <cell r="I250">
            <v>2.5661828727164201E-2</v>
          </cell>
          <cell r="J250">
            <v>1.54573285186161E-5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H251">
            <v>0.27465924528805097</v>
          </cell>
          <cell r="I251">
            <v>0.2027595138015521</v>
          </cell>
          <cell r="J251">
            <v>1.5858253384844395E-2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H253"/>
          <cell r="I253"/>
          <cell r="J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H254"/>
          <cell r="I254"/>
          <cell r="J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H255">
            <v>5.1359145760382701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H256">
            <v>12.880095848197982</v>
          </cell>
          <cell r="I256">
            <v>7.4548275442379577</v>
          </cell>
          <cell r="J256">
            <v>3.3507875677810262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H257">
            <v>20.276646353535831</v>
          </cell>
          <cell r="I257">
            <v>21.547520273251124</v>
          </cell>
          <cell r="J257">
            <v>25.929914142712033</v>
          </cell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H258">
            <v>20.276646353535831</v>
          </cell>
          <cell r="I258">
            <v>21.547520273251124</v>
          </cell>
          <cell r="J258">
            <v>25.929914142712033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H259">
            <v>5.1359145760379503</v>
          </cell>
          <cell r="I259"/>
          <cell r="J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H260">
            <v>12.880095848198948</v>
          </cell>
          <cell r="I260">
            <v>7.4548275442389809</v>
          </cell>
          <cell r="J260">
            <v>3.3507875677810262</v>
          </cell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H261">
            <v>34.440179502996635</v>
          </cell>
          <cell r="I261">
            <v>31.276659464813747</v>
          </cell>
          <cell r="J261">
            <v>25.370173832949487</v>
          </cell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H262">
            <v>34.440179502996635</v>
          </cell>
          <cell r="I262">
            <v>31.276659464813747</v>
          </cell>
          <cell r="J262">
            <v>25.370173832949487</v>
          </cell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H263">
            <v>2.46231558337064E-6</v>
          </cell>
          <cell r="I263">
            <v>2.5104573786317999E-6</v>
          </cell>
          <cell r="J263">
            <v>2.3879504385587902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H264">
            <v>3.6403083973142181</v>
          </cell>
          <cell r="I264">
            <v>3.3059264168939571</v>
          </cell>
          <cell r="J264">
            <v>2.681610259594037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H265">
            <v>1.3016808587977856E-3</v>
          </cell>
          <cell r="I265">
            <v>0.14764529701811291</v>
          </cell>
          <cell r="J265">
            <v>0.28962451836597553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H266">
            <v>9.6878506174354311E-4</v>
          </cell>
          <cell r="I266">
            <v>1.9748436150842253E-2</v>
          </cell>
          <cell r="J266">
            <v>3.1845163208893676E-2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H267">
            <v>2.2438449936263414E-3</v>
          </cell>
          <cell r="I267">
            <v>0.16739373316895506</v>
          </cell>
          <cell r="J267">
            <v>0.3214696815748691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H268">
            <v>5.1359145760382701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H269">
            <v>12.880095848197982</v>
          </cell>
          <cell r="I269">
            <v>7.4548275442379577</v>
          </cell>
          <cell r="J269">
            <v>3.3507875677810262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H270">
            <v>1.461326245935247E-3</v>
          </cell>
          <cell r="I270">
            <v>2.8851491761458458E-3</v>
          </cell>
          <cell r="J270">
            <v>9.923128102032712E-3</v>
          </cell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H271">
            <v>2.2694583855923254</v>
          </cell>
          <cell r="I271">
            <v>2.3725130532182419</v>
          </cell>
          <cell r="J271">
            <v>2.5965923273647062</v>
          </cell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H272">
            <v>2.2709197118382596</v>
          </cell>
          <cell r="I272">
            <v>2.3753982023943876</v>
          </cell>
          <cell r="J272">
            <v>2.6065154554667371</v>
          </cell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H273">
            <v>0.2751317977443159</v>
          </cell>
          <cell r="I273">
            <v>0.32885100042834059</v>
          </cell>
          <cell r="J273">
            <v>0.48863678727086346</v>
          </cell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H274">
            <v>0.27485694080351242</v>
          </cell>
          <cell r="I274">
            <v>0.32852247795039025</v>
          </cell>
          <cell r="J274">
            <v>0.48814863863223112</v>
          </cell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H275">
            <v>0.27486174514837736</v>
          </cell>
          <cell r="I275">
            <v>0.32853494180680659</v>
          </cell>
          <cell r="J275">
            <v>0.48815833954868443</v>
          </cell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H276">
            <v>9.3514561909834992E-3</v>
          </cell>
          <cell r="I276">
            <v>2.5043069070299299E-2</v>
          </cell>
          <cell r="J276">
            <v>3.2943745052165498E-2</v>
          </cell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H277">
            <v>3.562341241198505E-2</v>
          </cell>
          <cell r="I277">
            <v>4.3596346248483256E-2</v>
          </cell>
          <cell r="J277">
            <v>5.4996726951948557E-2</v>
          </cell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H278">
            <v>8.330514014434808</v>
          </cell>
          <cell r="I278">
            <v>9.2532932880410623</v>
          </cell>
          <cell r="J278">
            <v>8.9440173309107056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H279">
            <v>9.0384963267754195</v>
          </cell>
          <cell r="I279">
            <v>10.033118680755166</v>
          </cell>
          <cell r="J279">
            <v>9.6850816043496764</v>
          </cell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H280">
            <v>1.8526739090455199E-7</v>
          </cell>
          <cell r="I280">
            <v>2.7095712985189201E-7</v>
          </cell>
          <cell r="J280">
            <v>2.20883056626052E-7</v>
          </cell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H281">
            <v>0.84970068080753702</v>
          </cell>
          <cell r="I281">
            <v>0.84970095176466698</v>
          </cell>
          <cell r="J281">
            <v>0.84970117264772405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H282">
            <v>1.8913966099665482</v>
          </cell>
          <cell r="I282">
            <v>1.8914018097035954</v>
          </cell>
          <cell r="J282">
            <v>3.9278544315476647</v>
          </cell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H283">
            <v>2.6601921377869875</v>
          </cell>
          <cell r="I283">
            <v>2.6601994510599067</v>
          </cell>
          <cell r="J283">
            <v>5.4553533771495308</v>
          </cell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H284">
            <v>7.2597099406815302E-2</v>
          </cell>
          <cell r="I284">
            <v>6.9785997926141596E-2</v>
          </cell>
          <cell r="J284">
            <v>0.197766452029944</v>
          </cell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H285">
            <v>0.1083507942930898</v>
          </cell>
          <cell r="I285">
            <v>0.14654144259750529</v>
          </cell>
          <cell r="J285">
            <v>0.27905806287755403</v>
          </cell>
        </row>
        <row r="286">
          <cell r="A286" t="str">
            <v>RHNS-SHPLTBR</v>
          </cell>
          <cell r="B286" t="str">
            <v>VAR_fout</v>
          </cell>
          <cell r="C286" t="str">
            <v>RHNS-SHPLT</v>
          </cell>
          <cell r="H286">
            <v>6.6783272006725536E-3</v>
          </cell>
          <cell r="I286">
            <v>7.2262643350402478E-3</v>
          </cell>
          <cell r="J286">
            <v>1.0320952075468784E-2</v>
          </cell>
        </row>
        <row r="287">
          <cell r="A287" t="str">
            <v>RHNS-SHPLTBR</v>
          </cell>
          <cell r="B287" t="str">
            <v>VAR_fin</v>
          </cell>
          <cell r="C287" t="str">
            <v>RPLT</v>
          </cell>
          <cell r="H287">
            <v>8.7393742756808786E-3</v>
          </cell>
          <cell r="I287">
            <v>9.42832582165061E-3</v>
          </cell>
          <cell r="J287">
            <v>1.3349054051929333E-2</v>
          </cell>
        </row>
        <row r="288">
          <cell r="A288" t="str">
            <v>RHNS-SHPLTBR</v>
          </cell>
          <cell r="B288" t="str">
            <v>VAR_ncap</v>
          </cell>
          <cell r="C288" t="str">
            <v>-</v>
          </cell>
          <cell r="H288">
            <v>8.11499170925965E-6</v>
          </cell>
          <cell r="I288">
            <v>2.3243630294486099E-4</v>
          </cell>
          <cell r="J288">
            <v>5.9992189513659604E-4</v>
          </cell>
        </row>
        <row r="289">
          <cell r="A289" t="str">
            <v>RHNS-SHPLTBR</v>
          </cell>
          <cell r="B289" t="str">
            <v>VAR_cap</v>
          </cell>
          <cell r="C289" t="str">
            <v>-</v>
          </cell>
          <cell r="H289">
            <v>5.5368361470294091E-4</v>
          </cell>
          <cell r="I289">
            <v>5.6108105521243689E-4</v>
          </cell>
          <cell r="J289">
            <v>7.7186461956578489E-4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ELC5</v>
          </cell>
          <cell r="H290">
            <v>1.952085125122367E-3</v>
          </cell>
          <cell r="I290">
            <v>1.4355040417625884E-3</v>
          </cell>
          <cell r="J290">
            <v>7.0386059081527317E-4</v>
          </cell>
        </row>
        <row r="291">
          <cell r="A291" t="str">
            <v>D-RHNM_KEV_WOD_ELC_CHP</v>
          </cell>
          <cell r="B291" t="str">
            <v>VAR_fout</v>
          </cell>
          <cell r="C291" t="str">
            <v>RHNM_ELC</v>
          </cell>
          <cell r="H291">
            <v>0.31190783115958731</v>
          </cell>
          <cell r="I291">
            <v>0.34456888557188298</v>
          </cell>
          <cell r="J291">
            <v>5.2387335182720691E-3</v>
          </cell>
        </row>
        <row r="292">
          <cell r="A292" t="str">
            <v>D-RHNM_KEV_WOD_ELC_CHP</v>
          </cell>
          <cell r="B292" t="str">
            <v>VAR_fin</v>
          </cell>
          <cell r="C292" t="str">
            <v>RHNM_KEV_WOD_ELC_CHP</v>
          </cell>
          <cell r="H292">
            <v>0.31384057206098376</v>
          </cell>
          <cell r="I292">
            <v>0.34598528423185126</v>
          </cell>
          <cell r="J292">
            <v>5.9271069641798476E-3</v>
          </cell>
        </row>
        <row r="293">
          <cell r="A293" t="str">
            <v>SCOM-SHLTHCHPNGA</v>
          </cell>
          <cell r="B293" t="str">
            <v>VAR_fout</v>
          </cell>
          <cell r="C293" t="str">
            <v>SCOM-SHLTHC-NGA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SCOMLTHCHPC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VAR_fin</v>
          </cell>
          <cell r="C295" t="str">
            <v>SCOM_LTH_CHPNGA_ON</v>
          </cell>
          <cell r="H295"/>
          <cell r="I295"/>
          <cell r="J295"/>
        </row>
        <row r="296">
          <cell r="A296" t="str">
            <v>SCOM-SHLTHCHPNGA</v>
          </cell>
          <cell r="B296" t="str">
            <v>VAR_ncap</v>
          </cell>
          <cell r="C296" t="str">
            <v>-</v>
          </cell>
          <cell r="H296">
            <v>3.21599938297125E-4</v>
          </cell>
          <cell r="I296">
            <v>1.7279423179882201E-4</v>
          </cell>
          <cell r="J296">
            <v>4.5196520376799901E-7</v>
          </cell>
        </row>
        <row r="297">
          <cell r="A297" t="str">
            <v>SCOM-SHLTHCHPNGA</v>
          </cell>
          <cell r="B297" t="str">
            <v>VAR_cap</v>
          </cell>
          <cell r="C297" t="str">
            <v>-</v>
          </cell>
          <cell r="H297">
            <v>4.7793758915619378E-4</v>
          </cell>
          <cell r="I297">
            <v>2.6134068226302905E-4</v>
          </cell>
          <cell r="J297">
            <v>5.1864785138698187E-7</v>
          </cell>
        </row>
        <row r="298">
          <cell r="A298" t="str">
            <v>ITOT-PROCESSCO2</v>
          </cell>
          <cell r="B298" t="str">
            <v>VAR_fout</v>
          </cell>
          <cell r="C298" t="str">
            <v>CO2</v>
          </cell>
          <cell r="H298">
            <v>2085.5359131476498</v>
          </cell>
          <cell r="I298">
            <v>2077.4300684595901</v>
          </cell>
          <cell r="J298">
            <v>2063.7504084627299</v>
          </cell>
        </row>
        <row r="299">
          <cell r="A299" t="str">
            <v>ITOT-PROCESSCO2</v>
          </cell>
          <cell r="B299" t="str">
            <v>VAR_fout</v>
          </cell>
          <cell r="C299" t="str">
            <v>CO2P</v>
          </cell>
          <cell r="H299">
            <v>2085.5359131476475</v>
          </cell>
          <cell r="I299">
            <v>2077.4300684595873</v>
          </cell>
          <cell r="J299">
            <v>2063.7504084627358</v>
          </cell>
        </row>
        <row r="300">
          <cell r="A300" t="str">
            <v>RHNM-SHWODBR</v>
          </cell>
          <cell r="B300" t="str">
            <v>VAR_fout</v>
          </cell>
          <cell r="C300" t="str">
            <v>RHNM-SHWOD</v>
          </cell>
          <cell r="H300">
            <v>9.0560910333901998E-2</v>
          </cell>
          <cell r="I300">
            <v>9.5375225382367104E-2</v>
          </cell>
          <cell r="J300">
            <v>8.3361482427419614E-2</v>
          </cell>
        </row>
        <row r="301">
          <cell r="A301" t="str">
            <v>RHNM-SHWODBR</v>
          </cell>
          <cell r="B301" t="str">
            <v>VAR_fin</v>
          </cell>
          <cell r="C301" t="str">
            <v>RHNMWODBRC</v>
          </cell>
          <cell r="H301">
            <v>9.0560910333901998E-2</v>
          </cell>
          <cell r="I301">
            <v>9.5375225382367104E-2</v>
          </cell>
          <cell r="J301">
            <v>8.3361482427419614E-2</v>
          </cell>
        </row>
        <row r="302">
          <cell r="A302" t="str">
            <v>RHNM-SHWODBR</v>
          </cell>
          <cell r="B302" t="str">
            <v>VAR_fin</v>
          </cell>
          <cell r="C302" t="str">
            <v>RWOD</v>
          </cell>
          <cell r="H302">
            <v>0.12048029494371604</v>
          </cell>
          <cell r="I302">
            <v>0.12621869511190004</v>
          </cell>
          <cell r="J302">
            <v>0.11031981830081997</v>
          </cell>
        </row>
        <row r="303">
          <cell r="A303" t="str">
            <v>RHNM-SHWODBR</v>
          </cell>
          <cell r="B303" t="str">
            <v>VAR_ncap</v>
          </cell>
          <cell r="C303" t="str">
            <v>-</v>
          </cell>
          <cell r="H303">
            <v>1.53414313280171E-2</v>
          </cell>
          <cell r="I303"/>
          <cell r="J303"/>
        </row>
        <row r="304">
          <cell r="A304" t="str">
            <v>RHNM-SHWODBR</v>
          </cell>
          <cell r="B304" t="str">
            <v>VAR_cap</v>
          </cell>
          <cell r="C304" t="str">
            <v>-</v>
          </cell>
          <cell r="H304">
            <v>1.627083028755888E-2</v>
          </cell>
          <cell r="I304">
            <v>1.5402881873329005E-2</v>
          </cell>
          <cell r="J304">
            <v>6.489253564881798E-3</v>
          </cell>
        </row>
        <row r="305">
          <cell r="A305" t="str">
            <v>RHNS-SHDEM</v>
          </cell>
          <cell r="B305" t="str">
            <v>VAR_fout</v>
          </cell>
          <cell r="C305" t="str">
            <v>RHNS-SHD</v>
          </cell>
          <cell r="H305">
            <v>3.3756392547901024</v>
          </cell>
          <cell r="I305">
            <v>3.979952757698809</v>
          </cell>
          <cell r="J305">
            <v>4.7581342917708733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RHNS-SHLTHC-WOD</v>
          </cell>
          <cell r="H306">
            <v>7.2845317660031456E-5</v>
          </cell>
          <cell r="I306"/>
          <cell r="J306">
            <v>2.7429263142209988E-5</v>
          </cell>
        </row>
        <row r="307">
          <cell r="A307" t="str">
            <v>RHNS-SHDEM</v>
          </cell>
          <cell r="B307" t="str">
            <v>VAR_fin</v>
          </cell>
          <cell r="C307" t="str">
            <v>RHNS-SHLFO</v>
          </cell>
          <cell r="H307">
            <v>4.9366614196135465E-2</v>
          </cell>
          <cell r="I307">
            <v>4.314660963360268E-2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RHNS-SHNGAH</v>
          </cell>
          <cell r="H308">
            <v>0.76651250904753798</v>
          </cell>
          <cell r="I308">
            <v>0.95027710607952076</v>
          </cell>
          <cell r="J308">
            <v>1.1657936928963397</v>
          </cell>
        </row>
        <row r="309">
          <cell r="A309" t="str">
            <v>RHNS-SHDEM</v>
          </cell>
          <cell r="B309" t="str">
            <v>VAR_fin</v>
          </cell>
          <cell r="C309" t="str">
            <v>RHNS-SHCON</v>
          </cell>
          <cell r="H309">
            <v>1.7764908363383091E-3</v>
          </cell>
          <cell r="I309">
            <v>4.671181375934922E-3</v>
          </cell>
          <cell r="J309">
            <v>6.4882440493795497E-3</v>
          </cell>
        </row>
        <row r="310">
          <cell r="A310" t="str">
            <v>RHNS-SHDEM</v>
          </cell>
          <cell r="B310" t="str">
            <v>VAR_fin</v>
          </cell>
          <cell r="C310" t="str">
            <v>RHNS-SHWOD</v>
          </cell>
          <cell r="H310">
            <v>7.8352230900407646E-2</v>
          </cell>
          <cell r="I310">
            <v>8.0250511163960619E-2</v>
          </cell>
          <cell r="J310">
            <v>8.2091549645649353E-2</v>
          </cell>
        </row>
        <row r="311">
          <cell r="A311" t="str">
            <v>RHNS-SHDEM</v>
          </cell>
          <cell r="B311" t="str">
            <v>VAR_fin</v>
          </cell>
          <cell r="C311" t="str">
            <v>RHNS-SHNST</v>
          </cell>
          <cell r="H311">
            <v>1.4159350926554184E-4</v>
          </cell>
          <cell r="I311">
            <v>3.8108492826165083E-4</v>
          </cell>
          <cell r="J311">
            <v>1.8289969768358596E-4</v>
          </cell>
        </row>
        <row r="312">
          <cell r="A312" t="str">
            <v>RHNS-SHDEM</v>
          </cell>
          <cell r="B312" t="str">
            <v>VAR_fin</v>
          </cell>
          <cell r="C312" t="str">
            <v>RHNS-SHPLT</v>
          </cell>
          <cell r="H312">
            <v>6.7016279016815115E-3</v>
          </cell>
          <cell r="I312">
            <v>7.2297005776690328E-3</v>
          </cell>
          <cell r="J312">
            <v>1.0326693758715881E-2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RHNS-SHLTHD</v>
          </cell>
          <cell r="H313">
            <v>0.1588074032532347</v>
          </cell>
          <cell r="I313">
            <v>0.17080443754761607</v>
          </cell>
          <cell r="J313">
            <v>0.19812093222880975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RHNS-SHELCB</v>
          </cell>
          <cell r="H314">
            <v>1.0931184009775807E-2</v>
          </cell>
          <cell r="I314">
            <v>1.1249502302173704E-2</v>
          </cell>
          <cell r="J314">
            <v>9.5464535410408977E-3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RHNS-SHELCH</v>
          </cell>
          <cell r="H315">
            <v>2.2160152930899066</v>
          </cell>
          <cell r="I315">
            <v>2.6304767300021052</v>
          </cell>
          <cell r="J315">
            <v>3.2499601466690033</v>
          </cell>
        </row>
        <row r="316">
          <cell r="A316" t="str">
            <v>RHNS-SHDEM</v>
          </cell>
          <cell r="B316" t="str">
            <v>VAR_fin</v>
          </cell>
          <cell r="C316" t="str">
            <v>RHNS-SHSOL</v>
          </cell>
          <cell r="H316">
            <v>5.9594764513386678E-4</v>
          </cell>
          <cell r="I316">
            <v>8.0004716220078809E-4</v>
          </cell>
          <cell r="J316">
            <v>8.0283986227299656E-4</v>
          </cell>
        </row>
        <row r="317">
          <cell r="A317" t="str">
            <v>RHNS-SHDEM</v>
          </cell>
          <cell r="B317" t="str">
            <v>VAR_fin</v>
          </cell>
          <cell r="C317" t="str">
            <v>RHNS-SHLTHC-NGA</v>
          </cell>
          <cell r="H317">
            <v>8.1531562271322603E-5</v>
          </cell>
          <cell r="I317"/>
          <cell r="J317">
            <v>3.6357771354048185E-5</v>
          </cell>
          <cell r="L317"/>
          <cell r="M317"/>
          <cell r="N317"/>
        </row>
        <row r="318">
          <cell r="A318" t="str">
            <v>RHNS-SHDEM</v>
          </cell>
          <cell r="B318" t="str">
            <v>VAR_fin</v>
          </cell>
          <cell r="C318" t="str">
            <v>RHNS-SHNGA</v>
          </cell>
          <cell r="H318">
            <v>8.6676825122566123E-2</v>
          </cell>
          <cell r="I318">
            <v>8.0972676228513091E-2</v>
          </cell>
          <cell r="J318">
            <v>3.5006213557448318E-2</v>
          </cell>
        </row>
        <row r="319">
          <cell r="A319" t="str">
            <v>RES-ELCSPEC</v>
          </cell>
          <cell r="B319" t="str">
            <v>VAR_fout</v>
          </cell>
          <cell r="C319" t="str">
            <v>RHSA-ELS</v>
          </cell>
          <cell r="H319">
            <v>36.725781468656585</v>
          </cell>
          <cell r="I319">
            <v>32.103991210335138</v>
          </cell>
          <cell r="J319">
            <v>22.279237677291405</v>
          </cell>
        </row>
        <row r="320">
          <cell r="A320" t="str">
            <v>RES-ELCSPEC</v>
          </cell>
          <cell r="B320" t="str">
            <v>VAR_fin</v>
          </cell>
          <cell r="C320" t="str">
            <v>RHSA_ELC</v>
          </cell>
          <cell r="H320">
            <v>36.725781468656585</v>
          </cell>
          <cell r="I320">
            <v>32.103991210335138</v>
          </cell>
          <cell r="J320">
            <v>22.279237677291405</v>
          </cell>
        </row>
        <row r="321">
          <cell r="A321" t="str">
            <v>RES-ELCSPEC</v>
          </cell>
          <cell r="B321" t="str">
            <v>VAR_ncap</v>
          </cell>
          <cell r="C321" t="str">
            <v>-</v>
          </cell>
          <cell r="H321">
            <v>2.9132375972292899E-6</v>
          </cell>
          <cell r="I321">
            <v>1.87418701471324E-6</v>
          </cell>
          <cell r="J321">
            <v>1.8863536406555801</v>
          </cell>
        </row>
        <row r="322">
          <cell r="A322" t="str">
            <v>RES-ELCSPEC</v>
          </cell>
          <cell r="B322" t="str">
            <v>VAR_cap</v>
          </cell>
          <cell r="C322" t="str">
            <v>-</v>
          </cell>
          <cell r="H322">
            <v>3.8819098702136303</v>
          </cell>
          <cell r="I322">
            <v>3.393398321616365</v>
          </cell>
          <cell r="J322">
            <v>2.3549011315489361</v>
          </cell>
        </row>
        <row r="323">
          <cell r="A323" t="str">
            <v>SCOM-SHCONBR1</v>
          </cell>
          <cell r="B323" t="str">
            <v>VAR_fout</v>
          </cell>
          <cell r="C323" t="str">
            <v>SCOM-SHCON</v>
          </cell>
          <cell r="H323">
            <v>1.9682848534143671</v>
          </cell>
          <cell r="I323">
            <v>2.6177953998598946</v>
          </cell>
          <cell r="J323">
            <v>2.6178019763711293</v>
          </cell>
        </row>
        <row r="324">
          <cell r="A324" t="str">
            <v>SCOM-SHCONBR1</v>
          </cell>
          <cell r="B324" t="str">
            <v>VAR_fin</v>
          </cell>
          <cell r="C324" t="str">
            <v>CON</v>
          </cell>
          <cell r="H324">
            <v>1.9682848534143671</v>
          </cell>
          <cell r="I324">
            <v>2.6177953998598946</v>
          </cell>
          <cell r="J324">
            <v>2.6178019763711293</v>
          </cell>
        </row>
        <row r="325">
          <cell r="A325" t="str">
            <v>SCOM-SHCONBR1</v>
          </cell>
          <cell r="B325" t="str">
            <v>VAR_ncap</v>
          </cell>
          <cell r="C325" t="str">
            <v>-</v>
          </cell>
          <cell r="H325">
            <v>3.4121539817879602E-7</v>
          </cell>
          <cell r="I325">
            <v>1.95407935999534E-2</v>
          </cell>
          <cell r="J325">
            <v>8.2846457501957196E-2</v>
          </cell>
        </row>
        <row r="326">
          <cell r="A326" t="str">
            <v>SCOM-SHCONBR1</v>
          </cell>
          <cell r="B326" t="str">
            <v>VAR_cap</v>
          </cell>
          <cell r="C326" t="str">
            <v>-</v>
          </cell>
          <cell r="H326">
            <v>0.20229887281920217</v>
          </cell>
          <cell r="I326">
            <v>0.22184022621926444</v>
          </cell>
          <cell r="J326">
            <v>0.21933702907944169</v>
          </cell>
        </row>
        <row r="327">
          <cell r="A327" t="str">
            <v>RHSA-WHSTG-SOL</v>
          </cell>
          <cell r="B327" t="str">
            <v>VAR_fout</v>
          </cell>
          <cell r="C327" t="str">
            <v>RHSA-WHASOL</v>
          </cell>
          <cell r="H327">
            <v>0.37864660478095202</v>
          </cell>
          <cell r="I327">
            <v>0.41847484950638858</v>
          </cell>
          <cell r="J327">
            <v>0.39658396336708046</v>
          </cell>
        </row>
        <row r="328">
          <cell r="A328" t="str">
            <v>RHSA-WHSTG-SOL</v>
          </cell>
          <cell r="B328" t="str">
            <v>VAR_fout</v>
          </cell>
          <cell r="C328" t="str">
            <v>AUX_RHSA-WHSTG-SOL_OUT</v>
          </cell>
          <cell r="H328">
            <v>0.37902525138573262</v>
          </cell>
          <cell r="I328">
            <v>0.41889332435589488</v>
          </cell>
          <cell r="J328">
            <v>0.39698054733044763</v>
          </cell>
        </row>
        <row r="329">
          <cell r="A329" t="str">
            <v>RHSA-WHSTG-SOL</v>
          </cell>
          <cell r="B329" t="str">
            <v>VAR_fin</v>
          </cell>
          <cell r="C329" t="str">
            <v>RHSA-WHASOL</v>
          </cell>
          <cell r="H329">
            <v>0.37864836450943012</v>
          </cell>
          <cell r="I329">
            <v>0.41847297282404933</v>
          </cell>
          <cell r="J329">
            <v>0.39658210021950752</v>
          </cell>
        </row>
        <row r="330">
          <cell r="A330" t="str">
            <v>RHSA-WHSTG-SOL</v>
          </cell>
          <cell r="B330" t="str">
            <v>VAR_ncap</v>
          </cell>
          <cell r="C330" t="str">
            <v>-</v>
          </cell>
          <cell r="H330">
            <v>3.7130287894019599E-2</v>
          </cell>
          <cell r="I330">
            <v>2.64560397153672E-2</v>
          </cell>
          <cell r="J330">
            <v>2.5478451501630299E-2</v>
          </cell>
        </row>
        <row r="331">
          <cell r="A331" t="str">
            <v>RHSA-WHSTG-SOL</v>
          </cell>
          <cell r="B331" t="str">
            <v>VAR_cap</v>
          </cell>
          <cell r="C331" t="str">
            <v>-</v>
          </cell>
          <cell r="H331">
            <v>5.7439408940473669E-2</v>
          </cell>
          <cell r="I331">
            <v>6.3587493945241699E-2</v>
          </cell>
          <cell r="J331">
            <v>6.0384399614070501E-2</v>
          </cell>
        </row>
        <row r="332">
          <cell r="A332" t="str">
            <v>SCOM-SHCONBR2</v>
          </cell>
          <cell r="B332" t="str">
            <v>VAR_fout</v>
          </cell>
          <cell r="C332" t="str">
            <v>SCOM-SHCON</v>
          </cell>
          <cell r="H332">
            <v>3.2387718068249725</v>
          </cell>
          <cell r="I332">
            <v>4.077268741797595</v>
          </cell>
          <cell r="J332">
            <v>4.0772778158149121</v>
          </cell>
        </row>
        <row r="333">
          <cell r="A333" t="str">
            <v>SCOM-SHCONBR2</v>
          </cell>
          <cell r="B333" t="str">
            <v>VAR_fin</v>
          </cell>
          <cell r="C333" t="str">
            <v>CON</v>
          </cell>
          <cell r="H333">
            <v>3.2387718068249725</v>
          </cell>
          <cell r="I333">
            <v>4.077268741797595</v>
          </cell>
          <cell r="J333">
            <v>4.0772778158149121</v>
          </cell>
        </row>
        <row r="334">
          <cell r="A334" t="str">
            <v>SCOM-SHCONBR2</v>
          </cell>
          <cell r="B334" t="str">
            <v>VAR_ncap</v>
          </cell>
          <cell r="C334" t="str">
            <v>-</v>
          </cell>
          <cell r="H334">
            <v>3.33923857726268E-7</v>
          </cell>
          <cell r="I334">
            <v>1.69670028137048E-2</v>
          </cell>
          <cell r="J334">
            <v>0.12943084741830099</v>
          </cell>
        </row>
        <row r="335">
          <cell r="A335" t="str">
            <v>SCOM-SHCONBR2</v>
          </cell>
          <cell r="B335" t="str">
            <v>VAR_cap</v>
          </cell>
          <cell r="C335" t="str">
            <v>-</v>
          </cell>
          <cell r="H335">
            <v>0.3150723441797435</v>
          </cell>
          <cell r="I335">
            <v>0.33203992223661677</v>
          </cell>
          <cell r="J335">
            <v>0.32854211466219618</v>
          </cell>
        </row>
        <row r="336">
          <cell r="A336" t="str">
            <v>SCOM-SHCONBR3</v>
          </cell>
          <cell r="B336" t="str">
            <v>VAR_fout</v>
          </cell>
          <cell r="C336" t="str">
            <v>SCOM-SHCON</v>
          </cell>
          <cell r="H336">
            <v>1.7744344440824351</v>
          </cell>
          <cell r="I336">
            <v>2.4830005957325127</v>
          </cell>
          <cell r="J336">
            <v>3.2762389835293524</v>
          </cell>
        </row>
        <row r="337">
          <cell r="A337" t="str">
            <v>SCOM-SHCONBR3</v>
          </cell>
          <cell r="B337" t="str">
            <v>VAR_fin</v>
          </cell>
          <cell r="C337" t="str">
            <v>CON</v>
          </cell>
          <cell r="H337">
            <v>1.7744344440824351</v>
          </cell>
          <cell r="I337">
            <v>2.4830005957325127</v>
          </cell>
          <cell r="J337">
            <v>3.2762389835293524</v>
          </cell>
        </row>
        <row r="338">
          <cell r="A338" t="str">
            <v>SCOM-SHCONBR3</v>
          </cell>
          <cell r="B338" t="str">
            <v>VAR_ncap</v>
          </cell>
          <cell r="C338" t="str">
            <v>-</v>
          </cell>
          <cell r="H338">
            <v>2.0872339846768E-7</v>
          </cell>
          <cell r="I338">
            <v>5.3377257249828903E-3</v>
          </cell>
          <cell r="J338">
            <v>0.13999613034705699</v>
          </cell>
        </row>
        <row r="339">
          <cell r="A339" t="str">
            <v>SCOM-SHCONBR3</v>
          </cell>
          <cell r="B339" t="str">
            <v>VAR_cap</v>
          </cell>
          <cell r="C339" t="str">
            <v>-</v>
          </cell>
          <cell r="H339">
            <v>0.18655753883584711</v>
          </cell>
          <cell r="I339">
            <v>0.19189591518825805</v>
          </cell>
          <cell r="J339">
            <v>0.25318353078630657</v>
          </cell>
        </row>
        <row r="340">
          <cell r="A340" t="str">
            <v>SCOM-SHCONBR4</v>
          </cell>
          <cell r="B340" t="str">
            <v>VAR_fout</v>
          </cell>
          <cell r="C340" t="str">
            <v>SCOM-SHCON</v>
          </cell>
          <cell r="H340">
            <v>1.7124375760844655E-3</v>
          </cell>
          <cell r="I340">
            <v>3.1314853631327581E-3</v>
          </cell>
          <cell r="J340">
            <v>3.2696479720235057</v>
          </cell>
        </row>
        <row r="341">
          <cell r="A341" t="str">
            <v>SCOM-SHCONBR4</v>
          </cell>
          <cell r="B341" t="str">
            <v>VAR_fin</v>
          </cell>
          <cell r="C341" t="str">
            <v>CON</v>
          </cell>
          <cell r="H341">
            <v>1.7124375760844655E-3</v>
          </cell>
          <cell r="I341">
            <v>3.1314853631327581E-3</v>
          </cell>
          <cell r="J341">
            <v>3.2696479720235057</v>
          </cell>
        </row>
        <row r="342">
          <cell r="A342" t="str">
            <v>SCOM-SHCONBR4</v>
          </cell>
          <cell r="B342" t="str">
            <v>VAR_ncap</v>
          </cell>
          <cell r="C342" t="str">
            <v>-</v>
          </cell>
          <cell r="H342">
            <v>1.68872150707756E-7</v>
          </cell>
          <cell r="I342">
            <v>1.4899241742254299E-6</v>
          </cell>
          <cell r="J342">
            <v>0.25250848735279402</v>
          </cell>
        </row>
        <row r="343">
          <cell r="A343" t="str">
            <v>SCOM-SHCONBR4</v>
          </cell>
          <cell r="B343" t="str">
            <v>VAR_cap</v>
          </cell>
          <cell r="C343" t="str">
            <v>-</v>
          </cell>
          <cell r="H343">
            <v>2.6049368100313462E-4</v>
          </cell>
          <cell r="I343">
            <v>2.6242987775339601E-4</v>
          </cell>
          <cell r="J343">
            <v>0.2526610019001137</v>
          </cell>
        </row>
        <row r="344">
          <cell r="A344" t="str">
            <v>RHEM-SHNGABR</v>
          </cell>
          <cell r="B344" t="str">
            <v>VAR_fout</v>
          </cell>
          <cell r="C344" t="str">
            <v>CO2_R</v>
          </cell>
          <cell r="H344">
            <v>566.40493766533905</v>
          </cell>
          <cell r="I344">
            <v>230.78979099272499</v>
          </cell>
          <cell r="J344">
            <v>85.861855108229605</v>
          </cell>
        </row>
        <row r="345">
          <cell r="A345" t="str">
            <v>RHEM-SHNGABR</v>
          </cell>
          <cell r="B345" t="str">
            <v>VAR_fout</v>
          </cell>
          <cell r="C345" t="str">
            <v>RHEM-SHNGA</v>
          </cell>
          <cell r="H345">
            <v>9.4721282222694256</v>
          </cell>
          <cell r="I345">
            <v>3.8595540880780503</v>
          </cell>
          <cell r="J345">
            <v>1.4358887906934266</v>
          </cell>
        </row>
        <row r="346">
          <cell r="A346" t="str">
            <v>RHEM-SHNGABR</v>
          </cell>
          <cell r="B346" t="str">
            <v>VAR_fin</v>
          </cell>
          <cell r="C346" t="str">
            <v>RNGA</v>
          </cell>
          <cell r="H346">
            <v>10.042640738747147</v>
          </cell>
          <cell r="I346">
            <v>4.0920175707930007</v>
          </cell>
          <cell r="J346">
            <v>1.5223733175218017</v>
          </cell>
        </row>
        <row r="347">
          <cell r="A347" t="str">
            <v>RHEM-SHNGABR</v>
          </cell>
          <cell r="B347" t="str">
            <v>VAR_ncap</v>
          </cell>
          <cell r="C347" t="str">
            <v>-</v>
          </cell>
          <cell r="H347">
            <v>0.178045964770877</v>
          </cell>
          <cell r="I347">
            <v>7.6834559191439694E-2</v>
          </cell>
          <cell r="J347">
            <v>4.2290024379361099E-7</v>
          </cell>
        </row>
        <row r="348">
          <cell r="A348" t="str">
            <v>RHEM-SHNGABR</v>
          </cell>
          <cell r="B348" t="str">
            <v>VAR_cap</v>
          </cell>
          <cell r="C348" t="str">
            <v>-</v>
          </cell>
          <cell r="H348">
            <v>0.66915818017728113</v>
          </cell>
          <cell r="I348">
            <v>0.28000297167620603</v>
          </cell>
          <cell r="J348">
            <v>0.1310648294306439</v>
          </cell>
        </row>
        <row r="349">
          <cell r="A349" t="str">
            <v>RHNS-SHCONBR1</v>
          </cell>
          <cell r="B349" t="str">
            <v>VAR_ncap</v>
          </cell>
          <cell r="C349" t="str">
            <v>-</v>
          </cell>
          <cell r="H349">
            <v>5.1359145760379503</v>
          </cell>
          <cell r="I349"/>
          <cell r="J349"/>
        </row>
        <row r="350">
          <cell r="A350" t="str">
            <v>RHNS-SHCONBR1</v>
          </cell>
          <cell r="B350" t="str">
            <v>VAR_cap</v>
          </cell>
          <cell r="C350" t="str">
            <v>-</v>
          </cell>
          <cell r="H350">
            <v>12.880095848198948</v>
          </cell>
          <cell r="I350">
            <v>7.4548275442389809</v>
          </cell>
          <cell r="J350">
            <v>3.3507875677810262</v>
          </cell>
        </row>
        <row r="351">
          <cell r="A351" t="str">
            <v>SCOM-SHCONBR5</v>
          </cell>
          <cell r="B351" t="str">
            <v>VAR_fout</v>
          </cell>
          <cell r="C351" t="str">
            <v>SCOM-SHCON</v>
          </cell>
          <cell r="H351">
            <v>1.2300599305552795E-3</v>
          </cell>
          <cell r="I351">
            <v>2.2037029348856894E-3</v>
          </cell>
          <cell r="J351">
            <v>0.61844863628203162</v>
          </cell>
        </row>
        <row r="352">
          <cell r="A352" t="str">
            <v>SCOM-SHCONBR5</v>
          </cell>
          <cell r="B352" t="str">
            <v>VAR_fin</v>
          </cell>
          <cell r="C352" t="str">
            <v>CON</v>
          </cell>
          <cell r="H352">
            <v>1.2300599305552795E-3</v>
          </cell>
          <cell r="I352">
            <v>2.2037029348856894E-3</v>
          </cell>
          <cell r="J352">
            <v>0.61844863628203162</v>
          </cell>
        </row>
        <row r="353">
          <cell r="A353" t="str">
            <v>SCOM-SHCONBR5</v>
          </cell>
          <cell r="B353" t="str">
            <v>VAR_ncap</v>
          </cell>
          <cell r="C353" t="str">
            <v>-</v>
          </cell>
          <cell r="H353">
            <v>1.5030474189377501E-7</v>
          </cell>
          <cell r="I353">
            <v>4.2459217129577301E-7</v>
          </cell>
          <cell r="J353">
            <v>4.7691302725193001E-2</v>
          </cell>
        </row>
        <row r="354">
          <cell r="A354" t="str">
            <v>SCOM-SHCONBR5</v>
          </cell>
          <cell r="B354" t="str">
            <v>VAR_cap</v>
          </cell>
          <cell r="C354" t="str">
            <v>-</v>
          </cell>
          <cell r="H354">
            <v>1.8803238381292754E-4</v>
          </cell>
          <cell r="I354">
            <v>1.888409294835334E-4</v>
          </cell>
          <cell r="J354">
            <v>4.7800814262470077E-2</v>
          </cell>
        </row>
        <row r="355">
          <cell r="A355" t="str">
            <v>RHNS-SHCONBR2</v>
          </cell>
          <cell r="B355" t="str">
            <v>VAR_ncap</v>
          </cell>
          <cell r="C355" t="str">
            <v>-</v>
          </cell>
          <cell r="H355">
            <v>5.1359145760382701</v>
          </cell>
          <cell r="I355"/>
          <cell r="J355"/>
        </row>
        <row r="356">
          <cell r="A356" t="str">
            <v>RHNS-SHCONBR2</v>
          </cell>
          <cell r="B356" t="str">
            <v>VAR_cap</v>
          </cell>
          <cell r="C356" t="str">
            <v>-</v>
          </cell>
          <cell r="H356">
            <v>12.880095848197982</v>
          </cell>
          <cell r="I356">
            <v>7.4548275442379577</v>
          </cell>
          <cell r="J356">
            <v>3.3507875677810262</v>
          </cell>
        </row>
        <row r="357">
          <cell r="A357" t="str">
            <v>RHES-SHSTG-ELCHP</v>
          </cell>
          <cell r="B357" t="str">
            <v>VAR_fout</v>
          </cell>
          <cell r="C357" t="str">
            <v>RHES-SHAELCH</v>
          </cell>
          <cell r="H357">
            <v>3.8527353363940593</v>
          </cell>
          <cell r="I357">
            <v>3.8032733827716769</v>
          </cell>
          <cell r="J357">
            <v>3.7391474773595066</v>
          </cell>
        </row>
        <row r="358">
          <cell r="A358" t="str">
            <v>RHES-SHSTG-ELCHP</v>
          </cell>
          <cell r="B358" t="str">
            <v>VAR_fout</v>
          </cell>
          <cell r="C358" t="str">
            <v>AUX_RHES-SHSTG-ELCHP_OUT</v>
          </cell>
          <cell r="H358">
            <v>3.8565880717304482</v>
          </cell>
          <cell r="I358">
            <v>3.8070766561544476</v>
          </cell>
          <cell r="J358">
            <v>3.742886624836868</v>
          </cell>
        </row>
        <row r="359">
          <cell r="A359" t="str">
            <v>RHES-SHSTG-ELCHP</v>
          </cell>
          <cell r="B359" t="str">
            <v>VAR_fin</v>
          </cell>
          <cell r="C359" t="str">
            <v>RHES-SHAELCH</v>
          </cell>
          <cell r="H359">
            <v>3.8527459572362268</v>
          </cell>
          <cell r="I359">
            <v>3.8032836378192747</v>
          </cell>
          <cell r="J359">
            <v>3.7391588008314658</v>
          </cell>
        </row>
        <row r="360">
          <cell r="A360" t="str">
            <v>RHES-SHSTG-ELCHP</v>
          </cell>
          <cell r="B360" t="str">
            <v>VAR_ncap</v>
          </cell>
          <cell r="C360" t="str">
            <v>-</v>
          </cell>
          <cell r="H360">
            <v>0.12821141640240299</v>
          </cell>
          <cell r="I360">
            <v>0.198395475543962</v>
          </cell>
          <cell r="J360">
            <v>0.175461616794093</v>
          </cell>
        </row>
        <row r="361">
          <cell r="A361" t="str">
            <v>RHES-SHSTG-ELCHP</v>
          </cell>
          <cell r="B361" t="str">
            <v>VAR_cap</v>
          </cell>
          <cell r="C361" t="str">
            <v>-</v>
          </cell>
          <cell r="H361">
            <v>0.36281759444249656</v>
          </cell>
          <cell r="I361">
            <v>0.3886400079684037</v>
          </cell>
          <cell r="J361">
            <v>0.37362332548961091</v>
          </cell>
        </row>
        <row r="362">
          <cell r="A362" t="str">
            <v>SCOM-SHCONBR6</v>
          </cell>
          <cell r="B362" t="str">
            <v>VAR_fout</v>
          </cell>
          <cell r="C362" t="str">
            <v>SCOM-SHCON</v>
          </cell>
          <cell r="H362">
            <v>7.2504251052252493E-4</v>
          </cell>
          <cell r="I362">
            <v>1.2535775943638254E-3</v>
          </cell>
          <cell r="J362">
            <v>8.4642124119876461E-4</v>
          </cell>
        </row>
        <row r="363">
          <cell r="A363" t="str">
            <v>SCOM-SHCONBR6</v>
          </cell>
          <cell r="B363" t="str">
            <v>VAR_fin</v>
          </cell>
          <cell r="C363" t="str">
            <v>CON</v>
          </cell>
          <cell r="H363">
            <v>7.2504251052252493E-4</v>
          </cell>
          <cell r="I363">
            <v>1.2535775943638254E-3</v>
          </cell>
          <cell r="J363">
            <v>8.4642124119876461E-4</v>
          </cell>
        </row>
        <row r="364">
          <cell r="A364" t="str">
            <v>SCOM-SHCONBR6</v>
          </cell>
          <cell r="B364" t="str">
            <v>VAR_ncap</v>
          </cell>
          <cell r="C364" t="str">
            <v>-</v>
          </cell>
          <cell r="H364">
            <v>1.2613792827259499E-7</v>
          </cell>
          <cell r="I364">
            <v>2.4911176585414298E-7</v>
          </cell>
          <cell r="J364">
            <v>8.0656287519348704E-6</v>
          </cell>
        </row>
        <row r="365">
          <cell r="A365" t="str">
            <v>SCOM-SHCONBR6</v>
          </cell>
          <cell r="B365" t="str">
            <v>VAR_cap</v>
          </cell>
          <cell r="C365" t="str">
            <v>-</v>
          </cell>
          <cell r="H365">
            <v>1.1152926001049327E-4</v>
          </cell>
          <cell r="I365">
            <v>1.1203729975235849E-4</v>
          </cell>
          <cell r="J365">
            <v>7.3097265541522414E-5</v>
          </cell>
        </row>
        <row r="366">
          <cell r="A366" t="str">
            <v>RHNM-SHDEM</v>
          </cell>
          <cell r="B366" t="str">
            <v>VAR_fout</v>
          </cell>
          <cell r="C366" t="str">
            <v>RHNM-SHD</v>
          </cell>
          <cell r="H366">
            <v>3.5735945294822868</v>
          </cell>
          <cell r="I366">
            <v>4.2100864621501017</v>
          </cell>
          <cell r="J366">
            <v>4.9967985117250997</v>
          </cell>
        </row>
        <row r="367">
          <cell r="A367" t="str">
            <v>RHNM-SHDEM</v>
          </cell>
          <cell r="B367" t="str">
            <v>VAR_fin</v>
          </cell>
          <cell r="C367" t="str">
            <v>RHNM-SHLFO</v>
          </cell>
          <cell r="H367">
            <v>9.445027491975358E-2</v>
          </cell>
          <cell r="I367">
            <v>6.4641401307721627E-2</v>
          </cell>
          <cell r="J367">
            <v>5.78991220416787E-5</v>
          </cell>
        </row>
        <row r="368">
          <cell r="A368" t="str">
            <v>RHNM-SHDEM</v>
          </cell>
          <cell r="B368" t="str">
            <v>VAR_fin</v>
          </cell>
          <cell r="C368" t="str">
            <v>RHNM-SHLTHD</v>
          </cell>
          <cell r="H368">
            <v>0.27059251500056891</v>
          </cell>
          <cell r="I368">
            <v>0.31387073525806303</v>
          </cell>
          <cell r="J368">
            <v>0.38577316398711342</v>
          </cell>
        </row>
        <row r="369">
          <cell r="A369" t="str">
            <v>RHNM-SHDEM</v>
          </cell>
          <cell r="B369" t="str">
            <v>VAR_fin</v>
          </cell>
          <cell r="C369" t="str">
            <v>RHNM-SHCON</v>
          </cell>
          <cell r="H369">
            <v>2.0088658311063958E-3</v>
          </cell>
          <cell r="I369">
            <v>6.4082312772579262E-3</v>
          </cell>
          <cell r="J369">
            <v>6.3345366931956866E-3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RHNM-SHELCB</v>
          </cell>
          <cell r="H370">
            <v>1.8859629615580757E-3</v>
          </cell>
          <cell r="I370">
            <v>2.3882276751111342E-3</v>
          </cell>
          <cell r="J370">
            <v>2.4491666882985206E-3</v>
          </cell>
        </row>
        <row r="371">
          <cell r="A371" t="str">
            <v>RHNM-SHDEM</v>
          </cell>
          <cell r="B371" t="str">
            <v>VAR_fin</v>
          </cell>
          <cell r="C371" t="str">
            <v>RHNM-SHWOD</v>
          </cell>
          <cell r="H371">
            <v>9.0252804566212985E-2</v>
          </cell>
          <cell r="I371">
            <v>9.4845810931832766E-2</v>
          </cell>
          <cell r="J371">
            <v>8.2759345554809197E-2</v>
          </cell>
        </row>
        <row r="372">
          <cell r="A372" t="str">
            <v>RHNM-SHDEM</v>
          </cell>
          <cell r="B372" t="str">
            <v>VAR_fin</v>
          </cell>
          <cell r="C372" t="str">
            <v>RHNM-SHELCH</v>
          </cell>
          <cell r="H372">
            <v>1.9487959420354495</v>
          </cell>
          <cell r="I372">
            <v>2.3698904427554432</v>
          </cell>
          <cell r="J372">
            <v>3.0092255921505684</v>
          </cell>
        </row>
        <row r="373">
          <cell r="A373" t="str">
            <v>RHNM-SHDEM</v>
          </cell>
          <cell r="B373" t="str">
            <v>VAR_fin</v>
          </cell>
          <cell r="C373" t="str">
            <v>RHNM-SHNST</v>
          </cell>
          <cell r="H373">
            <v>5.1943930812550878E-5</v>
          </cell>
          <cell r="I373">
            <v>4.1900222561794269E-6</v>
          </cell>
          <cell r="J373">
            <v>1.2376165198816383E-4</v>
          </cell>
        </row>
        <row r="374">
          <cell r="A374" t="str">
            <v>RHNM-SHDEM</v>
          </cell>
          <cell r="B374" t="str">
            <v>VAR_fin</v>
          </cell>
          <cell r="C374" t="str">
            <v>RHNM-SHPLT</v>
          </cell>
          <cell r="H374">
            <v>1.8841281905974124E-2</v>
          </cell>
          <cell r="I374">
            <v>2.1433021981335797E-2</v>
          </cell>
          <cell r="J374">
            <v>2.6268692932735784E-2</v>
          </cell>
        </row>
        <row r="375">
          <cell r="A375" t="str">
            <v>RHNM-SHDEM</v>
          </cell>
          <cell r="B375" t="str">
            <v>VAR_fin</v>
          </cell>
          <cell r="C375" t="str">
            <v>RHNM-SHLTHC-NGA</v>
          </cell>
          <cell r="H375">
            <v>2.6979113671270633E-4</v>
          </cell>
          <cell r="I375">
            <v>3.77613832195559E-4</v>
          </cell>
          <cell r="J375">
            <v>8.3413009022761172E-5</v>
          </cell>
        </row>
        <row r="376">
          <cell r="A376" t="str">
            <v>RHNM-SHDEM</v>
          </cell>
          <cell r="B376" t="str">
            <v>VAR_fin</v>
          </cell>
          <cell r="C376" t="str">
            <v>RHNM-SHSOL</v>
          </cell>
          <cell r="H376">
            <v>5.3969157478745951E-4</v>
          </cell>
          <cell r="I376">
            <v>8.6242961687030566E-4</v>
          </cell>
          <cell r="J376">
            <v>1.0149996349787939E-3</v>
          </cell>
        </row>
        <row r="377">
          <cell r="A377" t="str">
            <v>RHNM-SHDEM</v>
          </cell>
          <cell r="B377" t="str">
            <v>VAR_fin</v>
          </cell>
          <cell r="C377" t="str">
            <v>RHNM-SHLTHC-WOD</v>
          </cell>
          <cell r="H377">
            <v>1.9878184852115781E-6</v>
          </cell>
          <cell r="I377">
            <v>7.7631149701954232E-5</v>
          </cell>
          <cell r="J377">
            <v>1.0334488152741987E-4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RHNM-SHNGAH</v>
          </cell>
          <cell r="H378">
            <v>1.000217987998554</v>
          </cell>
          <cell r="I378">
            <v>1.2472512392468442</v>
          </cell>
          <cell r="J378">
            <v>1.4826470968101895</v>
          </cell>
        </row>
        <row r="379">
          <cell r="A379" t="str">
            <v>RHNM-SHDEM</v>
          </cell>
          <cell r="B379" t="str">
            <v>VAR_fin</v>
          </cell>
          <cell r="C379" t="str">
            <v>RHNM-SHNGA</v>
          </cell>
          <cell r="H379">
            <v>0.14608401418830749</v>
          </cell>
          <cell r="I379">
            <v>8.8349801886393242E-2</v>
          </cell>
          <cell r="J379">
            <v>1.83654474148462E-4</v>
          </cell>
        </row>
        <row r="380">
          <cell r="A380" t="str">
            <v>SCOM-STG-ELCSPEC</v>
          </cell>
          <cell r="B380" t="str">
            <v>VAR_fout</v>
          </cell>
          <cell r="C380" t="str">
            <v>SCOM-ELS</v>
          </cell>
          <cell r="H380">
            <v>2.4744930800522921E-2</v>
          </cell>
          <cell r="I380">
            <v>0.1898459766512888</v>
          </cell>
          <cell r="J380">
            <v>0.26544308257237792</v>
          </cell>
        </row>
        <row r="381">
          <cell r="A381" t="str">
            <v>SCOM-STG-ELCSPEC</v>
          </cell>
          <cell r="B381" t="str">
            <v>VAR_fin</v>
          </cell>
          <cell r="C381" t="str">
            <v>SCOM-ELS</v>
          </cell>
          <cell r="H381">
            <v>2.4747962365153815E-2</v>
          </cell>
          <cell r="I381">
            <v>0.18984911648608502</v>
          </cell>
          <cell r="J381">
            <v>0.26544465248977556</v>
          </cell>
        </row>
        <row r="382">
          <cell r="A382" t="str">
            <v>SCOM-STG-ELCSPEC</v>
          </cell>
          <cell r="B382" t="str">
            <v>VAR_ncap</v>
          </cell>
          <cell r="C382" t="str">
            <v>-</v>
          </cell>
          <cell r="H382">
            <v>1.8427554711288101E-5</v>
          </cell>
          <cell r="I382">
            <v>6.0837783521457897E-3</v>
          </cell>
          <cell r="J382">
            <v>3.21032414530478E-3</v>
          </cell>
        </row>
        <row r="383">
          <cell r="A383" t="str">
            <v>SCOM-STG-ELCSPEC</v>
          </cell>
          <cell r="B383" t="str">
            <v>VAR_cap</v>
          </cell>
          <cell r="C383" t="str">
            <v>-</v>
          </cell>
          <cell r="H383">
            <v>9.328266600856722E-4</v>
          </cell>
          <cell r="I383">
            <v>6.5978762654536425E-3</v>
          </cell>
          <cell r="J383">
            <v>9.308733116316012E-3</v>
          </cell>
        </row>
        <row r="384">
          <cell r="A384" t="str">
            <v>RHNS-SHCONBR3</v>
          </cell>
          <cell r="B384" t="str">
            <v>VAR_ncap</v>
          </cell>
          <cell r="C384" t="str">
            <v>-</v>
          </cell>
          <cell r="H384">
            <v>5.1359145760379503</v>
          </cell>
          <cell r="I384"/>
          <cell r="J384"/>
        </row>
        <row r="385">
          <cell r="A385" t="str">
            <v>RHNS-SHCONBR3</v>
          </cell>
          <cell r="B385" t="str">
            <v>VAR_cap</v>
          </cell>
          <cell r="C385" t="str">
            <v>-</v>
          </cell>
          <cell r="H385">
            <v>12.880095848198948</v>
          </cell>
          <cell r="I385">
            <v>7.4548275442389809</v>
          </cell>
          <cell r="J385">
            <v>3.3507875677810262</v>
          </cell>
        </row>
        <row r="386">
          <cell r="A386" t="str">
            <v>SCOM-SHCONBR7</v>
          </cell>
          <cell r="B386" t="str">
            <v>VAR_fout</v>
          </cell>
          <cell r="C386" t="str">
            <v>SCOM-SHCON</v>
          </cell>
          <cell r="H386">
            <v>4.2483991720409088E-4</v>
          </cell>
          <cell r="I386">
            <v>6.9627832368298367E-4</v>
          </cell>
          <cell r="J386">
            <v>4.2279017147297415E-4</v>
          </cell>
        </row>
        <row r="387">
          <cell r="A387" t="str">
            <v>SCOM-SHCONBR7</v>
          </cell>
          <cell r="B387" t="str">
            <v>VAR_fin</v>
          </cell>
          <cell r="C387" t="str">
            <v>CON</v>
          </cell>
          <cell r="H387">
            <v>4.2483991720409088E-4</v>
          </cell>
          <cell r="I387">
            <v>6.9627832368298367E-4</v>
          </cell>
          <cell r="J387">
            <v>4.2279017147297415E-4</v>
          </cell>
        </row>
        <row r="388">
          <cell r="A388" t="str">
            <v>SCOM-SHCONBR7</v>
          </cell>
          <cell r="B388" t="str">
            <v>VAR_ncap</v>
          </cell>
          <cell r="C388" t="str">
            <v>-</v>
          </cell>
          <cell r="H388">
            <v>9.0196389137702799E-8</v>
          </cell>
          <cell r="I388"/>
          <cell r="J388">
            <v>4.2711261278619699E-7</v>
          </cell>
        </row>
        <row r="389">
          <cell r="A389" t="str">
            <v>SCOM-SHCONBR7</v>
          </cell>
          <cell r="B389" t="str">
            <v>VAR_cap</v>
          </cell>
          <cell r="C389" t="str">
            <v>-</v>
          </cell>
          <cell r="H389">
            <v>6.5087664996009317E-5</v>
          </cell>
          <cell r="I389">
            <v>6.5222009732106797E-5</v>
          </cell>
          <cell r="J389">
            <v>3.8256430755127722E-5</v>
          </cell>
        </row>
        <row r="390">
          <cell r="A390" t="str">
            <v>RHNS-SHCONBR4</v>
          </cell>
          <cell r="B390" t="str">
            <v>VAR_ncap</v>
          </cell>
          <cell r="C390" t="str">
            <v>-</v>
          </cell>
          <cell r="H390">
            <v>5.1359145760382701</v>
          </cell>
          <cell r="I390"/>
          <cell r="J390"/>
        </row>
        <row r="391">
          <cell r="A391" t="str">
            <v>RHNS-SHCONBR4</v>
          </cell>
          <cell r="B391" t="str">
            <v>VAR_cap</v>
          </cell>
          <cell r="C391" t="str">
            <v>-</v>
          </cell>
          <cell r="H391">
            <v>12.880095848197982</v>
          </cell>
          <cell r="I391">
            <v>7.4548275442379577</v>
          </cell>
          <cell r="J391">
            <v>3.3507875677810262</v>
          </cell>
        </row>
        <row r="392">
          <cell r="A392" t="str">
            <v>SCOM-SHCONBR8</v>
          </cell>
          <cell r="B392" t="str">
            <v>VAR_fout</v>
          </cell>
          <cell r="C392" t="str">
            <v>SCOM-SHCON</v>
          </cell>
          <cell r="H392">
            <v>1.5167484907065536E-4</v>
          </cell>
          <cell r="I392">
            <v>2.1279467347740124E-4</v>
          </cell>
          <cell r="J392">
            <v>1.3270176771600295E-4</v>
          </cell>
        </row>
        <row r="393">
          <cell r="A393" t="str">
            <v>SCOM-SHCONBR8</v>
          </cell>
          <cell r="B393" t="str">
            <v>VAR_fin</v>
          </cell>
          <cell r="C393" t="str">
            <v>CON</v>
          </cell>
          <cell r="H393">
            <v>1.5167484907065536E-4</v>
          </cell>
          <cell r="I393">
            <v>2.1279467347740124E-4</v>
          </cell>
          <cell r="J393">
            <v>1.3270176771600295E-4</v>
          </cell>
        </row>
        <row r="394">
          <cell r="A394" t="str">
            <v>SCOM-SHCONBR8</v>
          </cell>
          <cell r="B394" t="str">
            <v>VAR_ncap</v>
          </cell>
          <cell r="C394" t="str">
            <v>-</v>
          </cell>
          <cell r="H394">
            <v>4.1198402585820598E-8</v>
          </cell>
          <cell r="I394"/>
          <cell r="J394">
            <v>7.7217530217405802E-8</v>
          </cell>
        </row>
        <row r="395">
          <cell r="A395" t="str">
            <v>SCOM-SHCONBR8</v>
          </cell>
          <cell r="B395" t="str">
            <v>VAR_cap</v>
          </cell>
          <cell r="C395" t="str">
            <v>-</v>
          </cell>
          <cell r="H395">
            <v>2.1730974058408188E-5</v>
          </cell>
          <cell r="I395">
            <v>2.1739185664578885E-5</v>
          </cell>
          <cell r="J395">
            <v>1.2710509607290056E-5</v>
          </cell>
        </row>
        <row r="396">
          <cell r="A396" t="str">
            <v>ITOT-ELCSPEC</v>
          </cell>
          <cell r="B396" t="str">
            <v>VAR_fout</v>
          </cell>
          <cell r="C396" t="str">
            <v>ITOT-ELS</v>
          </cell>
          <cell r="H396">
            <v>54.067571617325598</v>
          </cell>
          <cell r="I396">
            <v>54.349780155284542</v>
          </cell>
          <cell r="J396">
            <v>55.75754155889512</v>
          </cell>
        </row>
        <row r="397">
          <cell r="A397" t="str">
            <v>ITOT-ELCSPEC</v>
          </cell>
          <cell r="B397" t="str">
            <v>VAR_fin</v>
          </cell>
          <cell r="C397" t="str">
            <v>ITOT_ELC</v>
          </cell>
          <cell r="H397">
            <v>54.067571617325598</v>
          </cell>
          <cell r="I397">
            <v>54.349780155284542</v>
          </cell>
          <cell r="J397">
            <v>55.75754155889512</v>
          </cell>
        </row>
        <row r="398">
          <cell r="A398" t="str">
            <v>ITOT-ELCSPEC</v>
          </cell>
          <cell r="B398" t="str">
            <v>VAR_ncap</v>
          </cell>
          <cell r="C398" t="str">
            <v>-</v>
          </cell>
          <cell r="H398">
            <v>6.3985900116952599E-2</v>
          </cell>
          <cell r="I398">
            <v>1.53529660143701E-2</v>
          </cell>
          <cell r="J398">
            <v>2.60399698505003</v>
          </cell>
        </row>
        <row r="399">
          <cell r="A399" t="str">
            <v>ITOT-ELCSPEC</v>
          </cell>
          <cell r="B399" t="str">
            <v>VAR_cap</v>
          </cell>
          <cell r="C399" t="str">
            <v>-</v>
          </cell>
          <cell r="H399">
            <v>2.9403505709888385</v>
          </cell>
          <cell r="I399">
            <v>2.9556972556608305</v>
          </cell>
          <cell r="J399">
            <v>3.0322540427175393</v>
          </cell>
        </row>
        <row r="400">
          <cell r="A400" t="str">
            <v>RHNM-SHLTHDH</v>
          </cell>
          <cell r="B400" t="str">
            <v>VAR_fout</v>
          </cell>
          <cell r="C400" t="str">
            <v>RHNM-SHLTHD</v>
          </cell>
          <cell r="H400">
            <v>0.27101479527164996</v>
          </cell>
          <cell r="I400">
            <v>0.31437419779769338</v>
          </cell>
          <cell r="J400">
            <v>0.38678564259291909</v>
          </cell>
        </row>
        <row r="401">
          <cell r="A401" t="str">
            <v>RHNM-SHLTHDH</v>
          </cell>
          <cell r="B401" t="str">
            <v>VAR_fin</v>
          </cell>
          <cell r="C401" t="str">
            <v>RHNMLTHDHC</v>
          </cell>
          <cell r="H401">
            <v>0.27101479527164996</v>
          </cell>
          <cell r="I401">
            <v>0.31437419779769338</v>
          </cell>
          <cell r="J401">
            <v>0.38678564259291909</v>
          </cell>
        </row>
        <row r="402">
          <cell r="A402" t="str">
            <v>RHNM-SHLTHDH</v>
          </cell>
          <cell r="B402" t="str">
            <v>VAR_fin</v>
          </cell>
          <cell r="C402" t="str">
            <v>RHNM_LTH_DH</v>
          </cell>
          <cell r="H402">
            <v>0.29821188593114084</v>
          </cell>
          <cell r="I402">
            <v>0.34556189201176285</v>
          </cell>
          <cell r="J402">
            <v>0.42515696069753978</v>
          </cell>
        </row>
        <row r="403">
          <cell r="A403" t="str">
            <v>RHNM-SHLTHDH</v>
          </cell>
          <cell r="B403" t="str">
            <v>VAR_ncap</v>
          </cell>
          <cell r="C403" t="str">
            <v>-</v>
          </cell>
          <cell r="H403">
            <v>1.81675077815425E-2</v>
          </cell>
          <cell r="I403">
            <v>1.11871197291031E-2</v>
          </cell>
          <cell r="J403">
            <v>1.77228650948126E-2</v>
          </cell>
        </row>
        <row r="404">
          <cell r="A404" t="str">
            <v>RHNM-SHLTHDH</v>
          </cell>
          <cell r="B404" t="str">
            <v>VAR_cap</v>
          </cell>
          <cell r="C404" t="str">
            <v>-</v>
          </cell>
          <cell r="H404">
            <v>3.35158911777792E-2</v>
          </cell>
          <cell r="I404">
            <v>2.7524900831317492E-2</v>
          </cell>
          <cell r="J404">
            <v>3.2493476337762409E-2</v>
          </cell>
        </row>
        <row r="405">
          <cell r="A405" t="str">
            <v>RHNS-SHCONBR5</v>
          </cell>
          <cell r="B405" t="str">
            <v>VAR_ncap</v>
          </cell>
          <cell r="C405" t="str">
            <v>-</v>
          </cell>
          <cell r="H405">
            <v>5.1359145760379503</v>
          </cell>
          <cell r="I405"/>
          <cell r="J405"/>
        </row>
        <row r="406">
          <cell r="A406" t="str">
            <v>RHNS-SHCONBR5</v>
          </cell>
          <cell r="B406" t="str">
            <v>VAR_cap</v>
          </cell>
          <cell r="C406" t="str">
            <v>-</v>
          </cell>
          <cell r="H406">
            <v>12.880095848198948</v>
          </cell>
          <cell r="I406">
            <v>7.4548275442389809</v>
          </cell>
          <cell r="J406">
            <v>3.3507875677810262</v>
          </cell>
        </row>
        <row r="407">
          <cell r="A407" t="str">
            <v>SCOM-SHCONBR9</v>
          </cell>
          <cell r="B407" t="str">
            <v>VAR_fout</v>
          </cell>
          <cell r="C407" t="str">
            <v>SCOM-SHCON</v>
          </cell>
          <cell r="H407">
            <v>5.5454797442297933E-5</v>
          </cell>
          <cell r="I407">
            <v>6.3919704002485006E-5</v>
          </cell>
          <cell r="J407">
            <v>4.2963774779887574E-5</v>
          </cell>
        </row>
        <row r="408">
          <cell r="A408" t="str">
            <v>SCOM-SHCONBR9</v>
          </cell>
          <cell r="B408" t="str">
            <v>VAR_fin</v>
          </cell>
          <cell r="C408" t="str">
            <v>CON</v>
          </cell>
          <cell r="H408">
            <v>5.5454797442297933E-5</v>
          </cell>
          <cell r="I408">
            <v>6.3919704002485006E-5</v>
          </cell>
          <cell r="J408">
            <v>4.2963774779887574E-5</v>
          </cell>
        </row>
        <row r="409">
          <cell r="A409" t="str">
            <v>SCOM-SHCONBR9</v>
          </cell>
          <cell r="B409" t="str">
            <v>VAR_ncap</v>
          </cell>
          <cell r="C409" t="str">
            <v>-</v>
          </cell>
          <cell r="H409">
            <v>1.92770358901218E-8</v>
          </cell>
          <cell r="I409"/>
          <cell r="J409">
            <v>2.8023056603555401E-8</v>
          </cell>
        </row>
        <row r="410">
          <cell r="A410" t="str">
            <v>SCOM-SHCONBR9</v>
          </cell>
          <cell r="B410" t="str">
            <v>VAR_cap</v>
          </cell>
          <cell r="C410" t="str">
            <v>-</v>
          </cell>
          <cell r="H410">
            <v>5.9579048664264216E-6</v>
          </cell>
          <cell r="I410">
            <v>5.9450895616928414E-6</v>
          </cell>
          <cell r="J410">
            <v>3.509361746901369E-6</v>
          </cell>
        </row>
        <row r="411">
          <cell r="A411" t="str">
            <v>ITOT-SWHCOABR</v>
          </cell>
          <cell r="B411" t="str">
            <v>VAR_fout</v>
          </cell>
          <cell r="C411" t="str">
            <v>ITOT-SWH</v>
          </cell>
          <cell r="H411">
            <v>3.1630106850790538E-3</v>
          </cell>
          <cell r="I411">
            <v>3.2980799678333366E-4</v>
          </cell>
          <cell r="J411"/>
        </row>
        <row r="412">
          <cell r="A412" t="str">
            <v>ITOT-SWHCOABR</v>
          </cell>
          <cell r="B412" t="str">
            <v>VAR_fout</v>
          </cell>
          <cell r="C412" t="str">
            <v>CO2_I</v>
          </cell>
          <cell r="H412">
            <v>0.43600162157149203</v>
          </cell>
          <cell r="I412">
            <v>4.52936315582445E-2</v>
          </cell>
          <cell r="J412"/>
        </row>
        <row r="413">
          <cell r="A413" t="str">
            <v>ITOT-SWHCOABR</v>
          </cell>
          <cell r="B413" t="str">
            <v>VAR_fin</v>
          </cell>
          <cell r="C413" t="str">
            <v>ICOA</v>
          </cell>
          <cell r="H413">
            <v>4.7033616135004497E-3</v>
          </cell>
          <cell r="I413">
            <v>4.8860443967901294E-4</v>
          </cell>
          <cell r="J413"/>
        </row>
        <row r="414">
          <cell r="A414" t="str">
            <v>ITOT-SWHCOABR</v>
          </cell>
          <cell r="B414" t="str">
            <v>VAR_ncap</v>
          </cell>
          <cell r="C414" t="str">
            <v>-</v>
          </cell>
          <cell r="H414">
            <v>2.7816408353012402E-4</v>
          </cell>
          <cell r="I414">
            <v>5.7522177138918799E-6</v>
          </cell>
          <cell r="J414">
            <v>9.2167879783485098E-7</v>
          </cell>
        </row>
        <row r="415">
          <cell r="A415" t="str">
            <v>ITOT-SWHCOABR</v>
          </cell>
          <cell r="B415" t="str">
            <v>VAR_cap</v>
          </cell>
          <cell r="C415" t="str">
            <v>-</v>
          </cell>
          <cell r="H415">
            <v>2.9141454866710159E-4</v>
          </cell>
          <cell r="I415">
            <v>3.1263692990070996E-5</v>
          </cell>
          <cell r="J415">
            <v>2.3240353166098797E-7</v>
          </cell>
        </row>
        <row r="416">
          <cell r="A416" t="str">
            <v>RHSA-WHDEM</v>
          </cell>
          <cell r="B416" t="str">
            <v>VAR_fout</v>
          </cell>
          <cell r="C416" t="str">
            <v>RHSA-WHD</v>
          </cell>
          <cell r="H416">
            <v>24.08147661452708</v>
          </cell>
          <cell r="I416">
            <v>26.685313554324502</v>
          </cell>
          <cell r="J416">
            <v>28.406752197009908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</v>
          </cell>
          <cell r="H417">
            <v>2.3785168430747823</v>
          </cell>
          <cell r="I417">
            <v>1.4264918919021616</v>
          </cell>
          <cell r="J417">
            <v>0.63679658649623305</v>
          </cell>
        </row>
        <row r="418">
          <cell r="A418" t="str">
            <v>RHSA-WHDEM</v>
          </cell>
          <cell r="B418" t="str">
            <v>VAR_fin</v>
          </cell>
          <cell r="C418" t="str">
            <v>RHSA-WHLFO</v>
          </cell>
          <cell r="H418">
            <v>1.4573661735121415</v>
          </cell>
          <cell r="I418">
            <v>0.73345682752958041</v>
          </cell>
          <cell r="J418">
            <v>5.8060988777215779E-2</v>
          </cell>
        </row>
        <row r="419">
          <cell r="A419" t="str">
            <v>RHSA-WHDEM</v>
          </cell>
          <cell r="B419" t="str">
            <v>VAR_fin</v>
          </cell>
          <cell r="C419" t="str">
            <v>RHSA-WHWOD</v>
          </cell>
          <cell r="H419">
            <v>1.0748054226146977</v>
          </cell>
          <cell r="I419">
            <v>1.0023325341661737</v>
          </cell>
          <cell r="J419">
            <v>0.73442893644910101</v>
          </cell>
        </row>
        <row r="420">
          <cell r="A420" t="str">
            <v>RHSA-WHDEM</v>
          </cell>
          <cell r="B420" t="str">
            <v>VAR_fin</v>
          </cell>
          <cell r="C420" t="str">
            <v>RHSA-WHNGAH</v>
          </cell>
          <cell r="H420">
            <v>4.5697935659988058</v>
          </cell>
          <cell r="I420">
            <v>5.9661127107236043</v>
          </cell>
          <cell r="J420">
            <v>6.6460043425423683</v>
          </cell>
        </row>
        <row r="421">
          <cell r="A421" t="str">
            <v>RHSA-WHDEM</v>
          </cell>
          <cell r="B421" t="str">
            <v>VAR_fin</v>
          </cell>
          <cell r="C421" t="str">
            <v>RHSA-WHNST</v>
          </cell>
          <cell r="H421">
            <v>1.1184304176389766E-5</v>
          </cell>
          <cell r="I421">
            <v>1.1622634638689933E-5</v>
          </cell>
          <cell r="J421">
            <v>1.4545995563320709E-5</v>
          </cell>
        </row>
        <row r="422">
          <cell r="A422" t="str">
            <v>RHSA-WHDEM</v>
          </cell>
          <cell r="B422" t="str">
            <v>VAR_fin</v>
          </cell>
          <cell r="C422" t="str">
            <v>RHSA-WHPLT</v>
          </cell>
          <cell r="H422">
            <v>0.11495164991371509</v>
          </cell>
          <cell r="I422">
            <v>0.13337491391831399</v>
          </cell>
          <cell r="J422">
            <v>0.1337836805591221</v>
          </cell>
        </row>
        <row r="423">
          <cell r="A423" t="str">
            <v>RHSA-WHDEM</v>
          </cell>
          <cell r="B423" t="str">
            <v>VAR_fin</v>
          </cell>
          <cell r="C423" t="str">
            <v>RHSA-WHLTHRD</v>
          </cell>
          <cell r="H423">
            <v>1.6912775745851714</v>
          </cell>
          <cell r="I423">
            <v>1.9678362634721973</v>
          </cell>
          <cell r="J423">
            <v>2.1739359388096573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RHSA-WHELCB</v>
          </cell>
          <cell r="H424">
            <v>1.8599706388924073</v>
          </cell>
          <cell r="I424">
            <v>1.721477970133138</v>
          </cell>
          <cell r="J424">
            <v>1.5550704185386968</v>
          </cell>
        </row>
        <row r="425">
          <cell r="A425" t="str">
            <v>RHSA-WHDEM</v>
          </cell>
          <cell r="B425" t="str">
            <v>VAR_fin</v>
          </cell>
          <cell r="C425" t="str">
            <v>RHSA-WHSOL</v>
          </cell>
          <cell r="H425">
            <v>1.1233396595473888</v>
          </cell>
          <cell r="I425">
            <v>1.2090812906439015</v>
          </cell>
          <cell r="J425">
            <v>1.2000210670127471</v>
          </cell>
        </row>
        <row r="426">
          <cell r="A426" t="str">
            <v>RHSA-WHDEM</v>
          </cell>
          <cell r="B426" t="str">
            <v>VAR_fin</v>
          </cell>
          <cell r="C426" t="str">
            <v>RHSA-WHELCH</v>
          </cell>
          <cell r="H426">
            <v>9.8116784212029078</v>
          </cell>
          <cell r="I426">
            <v>12.525329770901344</v>
          </cell>
          <cell r="J426">
            <v>15.268827178668001</v>
          </cell>
        </row>
        <row r="427">
          <cell r="A427" t="str">
            <v>RHSA-WHNGAHP</v>
          </cell>
          <cell r="B427" t="str">
            <v>VAR_fout</v>
          </cell>
          <cell r="C427" t="str">
            <v>RHSA-WHANGAH</v>
          </cell>
          <cell r="H427">
            <v>4.5697825869842355</v>
          </cell>
          <cell r="I427">
            <v>5.9661003765541318</v>
          </cell>
          <cell r="J427">
            <v>6.645999972968192</v>
          </cell>
        </row>
        <row r="428">
          <cell r="A428" t="str">
            <v>RHSA-WHNGAHP</v>
          </cell>
          <cell r="B428" t="str">
            <v>VAR_fout</v>
          </cell>
          <cell r="C428" t="str">
            <v>CO2_R</v>
          </cell>
          <cell r="H428">
            <v>105.875633298349</v>
          </cell>
          <cell r="I428">
            <v>130.88606784539601</v>
          </cell>
          <cell r="J428">
            <v>120.99070781277</v>
          </cell>
        </row>
        <row r="429">
          <cell r="A429" t="str">
            <v>RHSA-WHNGAHP</v>
          </cell>
          <cell r="B429" t="str">
            <v>VAR_fin</v>
          </cell>
          <cell r="C429" t="str">
            <v>RNGA</v>
          </cell>
          <cell r="H429">
            <v>1.8772275407508661</v>
          </cell>
          <cell r="I429">
            <v>2.3206749617977973</v>
          </cell>
          <cell r="J429">
            <v>2.1452253158292454</v>
          </cell>
        </row>
        <row r="430">
          <cell r="A430" t="str">
            <v>RHSA-WHNGAHP</v>
          </cell>
          <cell r="B430" t="str">
            <v>VAR_ncap</v>
          </cell>
          <cell r="C430" t="str">
            <v>-</v>
          </cell>
          <cell r="H430">
            <v>9.5862701368551503E-2</v>
          </cell>
          <cell r="I430">
            <v>0.20069880664213</v>
          </cell>
          <cell r="J430">
            <v>0.26930918309533097</v>
          </cell>
        </row>
        <row r="431">
          <cell r="A431" t="str">
            <v>RHSA-WHNGAHP</v>
          </cell>
          <cell r="B431" t="str">
            <v>VAR_cap</v>
          </cell>
          <cell r="C431" t="str">
            <v>-</v>
          </cell>
          <cell r="H431">
            <v>0.3123594962661182</v>
          </cell>
          <cell r="I431">
            <v>0.40781629242630557</v>
          </cell>
          <cell r="J431">
            <v>0.45551222208409625</v>
          </cell>
        </row>
        <row r="432">
          <cell r="A432" t="str">
            <v>SCOM-SHSTG-ELCHP</v>
          </cell>
          <cell r="B432" t="str">
            <v>VAR_fout</v>
          </cell>
          <cell r="C432" t="str">
            <v>SCOM-SHAELCH</v>
          </cell>
          <cell r="H432">
            <v>3.3911814794292306E-5</v>
          </cell>
          <cell r="I432">
            <v>3.1881683930536224E-5</v>
          </cell>
          <cell r="J432">
            <v>1.0348196167186922E-5</v>
          </cell>
        </row>
        <row r="433">
          <cell r="A433" t="str">
            <v>SCOM-SHSTG-ELCHP</v>
          </cell>
          <cell r="B433" t="str">
            <v>VAR_fin</v>
          </cell>
          <cell r="C433" t="str">
            <v>SCOM-SHAELCH</v>
          </cell>
          <cell r="H433">
            <v>3.44673128486425E-5</v>
          </cell>
          <cell r="I433">
            <v>3.4601485826780907E-5</v>
          </cell>
          <cell r="J433">
            <v>1.0739646995990624E-5</v>
          </cell>
        </row>
        <row r="434">
          <cell r="A434" t="str">
            <v>SCOM-SHSTG-ELCHP</v>
          </cell>
          <cell r="B434" t="str">
            <v>VAR_ncap</v>
          </cell>
          <cell r="C434" t="str">
            <v>-</v>
          </cell>
          <cell r="H434">
            <v>0.115608997855134</v>
          </cell>
          <cell r="I434">
            <v>0.14082616893101399</v>
          </cell>
          <cell r="J434">
            <v>0.18670901801220799</v>
          </cell>
        </row>
        <row r="435">
          <cell r="A435" t="str">
            <v>SCOM-SHSTG-ELCHP</v>
          </cell>
          <cell r="B435" t="str">
            <v>VAR_cap</v>
          </cell>
          <cell r="C435" t="str">
            <v>-</v>
          </cell>
          <cell r="H435">
            <v>0.2106459237551038</v>
          </cell>
          <cell r="I435">
            <v>0.28870978648001083</v>
          </cell>
          <cell r="J435">
            <v>0.33773034477601671</v>
          </cell>
        </row>
        <row r="436">
          <cell r="A436" t="str">
            <v>RHEM-SHLFOBR</v>
          </cell>
          <cell r="B436" t="str">
            <v>VAR_fout</v>
          </cell>
          <cell r="C436" t="str">
            <v>CO2_R</v>
          </cell>
          <cell r="H436">
            <v>594.89858456352204</v>
          </cell>
          <cell r="I436">
            <v>221.625356647225</v>
          </cell>
          <cell r="J436">
            <v>24.001221578526099</v>
          </cell>
        </row>
        <row r="437">
          <cell r="A437" t="str">
            <v>RHEM-SHLFOBR</v>
          </cell>
          <cell r="B437" t="str">
            <v>VAR_fout</v>
          </cell>
          <cell r="C437" t="str">
            <v>RHEM-SHLFO</v>
          </cell>
          <cell r="H437">
            <v>7.031030737247189</v>
          </cell>
          <cell r="I437">
            <v>2.619361913397904</v>
          </cell>
          <cell r="J437">
            <v>0.28366738638975286</v>
          </cell>
        </row>
        <row r="438">
          <cell r="A438" t="str">
            <v>RHEM-SHLFOBR</v>
          </cell>
          <cell r="B438" t="str">
            <v>VAR_fin</v>
          </cell>
          <cell r="C438" t="str">
            <v>RLFO</v>
          </cell>
          <cell r="H438">
            <v>8.0718939560857734</v>
          </cell>
          <cell r="I438">
            <v>3.0071283127167563</v>
          </cell>
          <cell r="J438">
            <v>0.3256610797629052</v>
          </cell>
        </row>
        <row r="439">
          <cell r="A439" t="str">
            <v>RHEM-SHLFOBR</v>
          </cell>
          <cell r="B439" t="str">
            <v>VAR_ncap</v>
          </cell>
          <cell r="C439" t="str">
            <v>-</v>
          </cell>
          <cell r="H439">
            <v>6.7367346213070098E-2</v>
          </cell>
          <cell r="I439">
            <v>0.117977026584551</v>
          </cell>
          <cell r="J439">
            <v>2.20046087176722E-7</v>
          </cell>
        </row>
        <row r="440">
          <cell r="A440" t="str">
            <v>RHEM-SHLFOBR</v>
          </cell>
          <cell r="B440" t="str">
            <v>VAR_cap</v>
          </cell>
          <cell r="C440" t="str">
            <v>-</v>
          </cell>
          <cell r="H440">
            <v>0.49673164645226081</v>
          </cell>
          <cell r="I440">
            <v>0.18534411333324166</v>
          </cell>
          <cell r="J440">
            <v>3.396786745381089E-2</v>
          </cell>
        </row>
        <row r="441">
          <cell r="A441" t="str">
            <v>RHES-SHNGAHP</v>
          </cell>
          <cell r="B441" t="str">
            <v>VAR_fout</v>
          </cell>
          <cell r="C441" t="str">
            <v>RHES-SHANGAH</v>
          </cell>
          <cell r="H441">
            <v>6.5769431229439688</v>
          </cell>
          <cell r="I441">
            <v>7.6657558407428121</v>
          </cell>
          <cell r="J441">
            <v>7.0919942993134271</v>
          </cell>
        </row>
        <row r="442">
          <cell r="A442" t="str">
            <v>RHES-SHNGAHP</v>
          </cell>
          <cell r="B442" t="str">
            <v>VAR_fout</v>
          </cell>
          <cell r="C442" t="str">
            <v>CO2_R</v>
          </cell>
          <cell r="H442">
            <v>192.29705673274901</v>
          </cell>
          <cell r="I442">
            <v>219.94500117279</v>
          </cell>
          <cell r="J442">
            <v>191.39117558111599</v>
          </cell>
        </row>
        <row r="443">
          <cell r="A443" t="str">
            <v>RHES-SHNGAHP</v>
          </cell>
          <cell r="B443" t="str">
            <v>VAR_fin</v>
          </cell>
          <cell r="C443" t="str">
            <v>RHESELCHPC</v>
          </cell>
          <cell r="H443">
            <v>6.5769431229439688</v>
          </cell>
          <cell r="I443">
            <v>7.6657558407428121</v>
          </cell>
          <cell r="J443">
            <v>7.0919942993134271</v>
          </cell>
        </row>
        <row r="444">
          <cell r="A444" t="str">
            <v>RHES-SHNGAHP</v>
          </cell>
          <cell r="B444" t="str">
            <v>VAR_fin</v>
          </cell>
          <cell r="C444" t="str">
            <v>RNGA</v>
          </cell>
          <cell r="H444">
            <v>3.4095222824955531</v>
          </cell>
          <cell r="I444">
            <v>3.8997340633473341</v>
          </cell>
          <cell r="J444">
            <v>3.393460559948863</v>
          </cell>
        </row>
        <row r="445">
          <cell r="A445" t="str">
            <v>RHES-SHNGAHP</v>
          </cell>
          <cell r="B445" t="str">
            <v>VAR_ncap</v>
          </cell>
          <cell r="C445" t="str">
            <v>-</v>
          </cell>
          <cell r="H445">
            <v>8.7210033388453401E-2</v>
          </cell>
          <cell r="I445">
            <v>0.322178757781032</v>
          </cell>
          <cell r="J445">
            <v>0.30285181603297101</v>
          </cell>
        </row>
        <row r="446">
          <cell r="A446" t="str">
            <v>RHES-SHNGAHP</v>
          </cell>
          <cell r="B446" t="str">
            <v>VAR_cap</v>
          </cell>
          <cell r="C446" t="str">
            <v>-</v>
          </cell>
          <cell r="H446">
            <v>0.53136121922835478</v>
          </cell>
          <cell r="I446">
            <v>0.62036448646684461</v>
          </cell>
          <cell r="J446">
            <v>0.57355696177404614</v>
          </cell>
        </row>
        <row r="447">
          <cell r="A447" t="str">
            <v>D-RHES_LTH_CHPWOD</v>
          </cell>
          <cell r="B447" t="str">
            <v>VAR_fout</v>
          </cell>
          <cell r="C447" t="str">
            <v>RHES_LTH_CHPWOD_ON</v>
          </cell>
          <cell r="I447">
            <v>7.9486081284879705E-4</v>
          </cell>
          <cell r="J447">
            <v>8.5322392185536511E-4</v>
          </cell>
        </row>
        <row r="448">
          <cell r="A448" t="str">
            <v>D-RHES_LTH_CHPWOD</v>
          </cell>
          <cell r="B448" t="str">
            <v>VAR_fout</v>
          </cell>
          <cell r="C448" t="str">
            <v>RHSA_LTH</v>
          </cell>
          <cell r="H448">
            <v>2.9018518068110771E-3</v>
          </cell>
          <cell r="I448">
            <v>2.7230068622704938E-3</v>
          </cell>
          <cell r="J448">
            <v>2.9701005012215426E-4</v>
          </cell>
        </row>
        <row r="449">
          <cell r="A449" t="str">
            <v>D-RHES_LTH_CHPWOD</v>
          </cell>
          <cell r="B449" t="str">
            <v>VAR_fout</v>
          </cell>
          <cell r="C449" t="str">
            <v>LTH</v>
          </cell>
          <cell r="H449">
            <v>1.5946773280906087E-6</v>
          </cell>
          <cell r="I449">
            <v>4.4957452985743152E-6</v>
          </cell>
          <cell r="J449">
            <v>1.1394206476312827E-6</v>
          </cell>
        </row>
        <row r="450">
          <cell r="A450" t="str">
            <v>D-RHES_LTH_CHPWOD</v>
          </cell>
          <cell r="B450" t="str">
            <v>VAR_fin</v>
          </cell>
          <cell r="C450" t="str">
            <v>RHES_LTH_CHPWOD</v>
          </cell>
          <cell r="H450">
            <v>2.9049047446032526E-3</v>
          </cell>
          <cell r="I450">
            <v>3.5227638484035032E-3</v>
          </cell>
          <cell r="J450">
            <v>1.1527298749102351E-3</v>
          </cell>
        </row>
        <row r="451">
          <cell r="A451" t="str">
            <v>ITOT-SWHSOLBR</v>
          </cell>
          <cell r="B451" t="str">
            <v>VAR_fout</v>
          </cell>
          <cell r="C451" t="str">
            <v>ITOT-SWHASOL</v>
          </cell>
          <cell r="H451">
            <v>1.4614958725286258</v>
          </cell>
          <cell r="I451">
            <v>1.2834846489588163</v>
          </cell>
          <cell r="J451">
            <v>1.511375058387596</v>
          </cell>
        </row>
        <row r="452">
          <cell r="A452" t="str">
            <v>ITOT-SWHSOLBR</v>
          </cell>
          <cell r="B452" t="str">
            <v>VAR_fin</v>
          </cell>
          <cell r="C452" t="str">
            <v>SOL</v>
          </cell>
          <cell r="H452">
            <v>1.4614958725286258</v>
          </cell>
          <cell r="I452">
            <v>1.2834846489588163</v>
          </cell>
          <cell r="J452">
            <v>1.511375058387596</v>
          </cell>
        </row>
        <row r="453">
          <cell r="A453" t="str">
            <v>ITOT-SWHSOLBR</v>
          </cell>
          <cell r="B453" t="str">
            <v>VAR_ncap</v>
          </cell>
          <cell r="C453" t="str">
            <v>-</v>
          </cell>
          <cell r="H453">
            <v>0.11030511202741</v>
          </cell>
          <cell r="I453">
            <v>0.11079392760621699</v>
          </cell>
          <cell r="J453">
            <v>9.9805108444239801E-2</v>
          </cell>
        </row>
        <row r="454">
          <cell r="A454" t="str">
            <v>ITOT-SWHSOLBR</v>
          </cell>
          <cell r="B454" t="str">
            <v>VAR_cap</v>
          </cell>
          <cell r="C454" t="str">
            <v>-</v>
          </cell>
          <cell r="H454">
            <v>0.22110118035668858</v>
          </cell>
          <cell r="I454">
            <v>0.22109912900927201</v>
          </cell>
          <cell r="J454">
            <v>0.22687044835336001</v>
          </cell>
        </row>
        <row r="455">
          <cell r="A455" t="str">
            <v>SCOM-SHNGAHP</v>
          </cell>
          <cell r="B455" t="str">
            <v>VAR_fout</v>
          </cell>
          <cell r="C455" t="str">
            <v>SCOM-SHANGAH</v>
          </cell>
          <cell r="H455">
            <v>8.6335297136089224</v>
          </cell>
          <cell r="I455">
            <v>11.067668270777373</v>
          </cell>
          <cell r="J455">
            <v>11.379145887324517</v>
          </cell>
        </row>
        <row r="456">
          <cell r="A456" t="str">
            <v>SCOM-SHNGAHP</v>
          </cell>
          <cell r="B456" t="str">
            <v>VAR_fout</v>
          </cell>
          <cell r="C456" t="str">
            <v>CO2_S</v>
          </cell>
          <cell r="H456">
            <v>236.76763008940301</v>
          </cell>
          <cell r="I456">
            <v>295.81676361440202</v>
          </cell>
          <cell r="J456">
            <v>279.62030014778202</v>
          </cell>
        </row>
        <row r="457">
          <cell r="A457" t="str">
            <v>SCOM-SHNGAHP</v>
          </cell>
          <cell r="B457" t="str">
            <v>VAR_fin</v>
          </cell>
          <cell r="C457" t="str">
            <v>SCOMELCHPC</v>
          </cell>
          <cell r="H457">
            <v>8.6335297136089224</v>
          </cell>
          <cell r="I457">
            <v>11.067668270777373</v>
          </cell>
          <cell r="J457">
            <v>11.379145887324517</v>
          </cell>
        </row>
        <row r="458">
          <cell r="A458" t="str">
            <v>SCOM-SHNGAHP</v>
          </cell>
          <cell r="B458" t="str">
            <v>VAR_fin</v>
          </cell>
          <cell r="C458" t="str">
            <v>SNGA</v>
          </cell>
          <cell r="H458">
            <v>4.1980076256986338</v>
          </cell>
          <cell r="I458">
            <v>5.2449780782695399</v>
          </cell>
          <cell r="J458">
            <v>4.9578067402089019</v>
          </cell>
        </row>
        <row r="459">
          <cell r="A459" t="str">
            <v>SCOM-SHNGAHP</v>
          </cell>
          <cell r="B459" t="str">
            <v>VAR_ncap</v>
          </cell>
          <cell r="C459" t="str">
            <v>-</v>
          </cell>
          <cell r="H459">
            <v>0.15558579314837001</v>
          </cell>
          <cell r="I459">
            <v>0.44683426862140702</v>
          </cell>
          <cell r="J459">
            <v>0.494267120089116</v>
          </cell>
        </row>
        <row r="460">
          <cell r="A460" t="str">
            <v>SCOM-SHNGAHP</v>
          </cell>
          <cell r="B460" t="str">
            <v>VAR_cap</v>
          </cell>
          <cell r="C460" t="str">
            <v>-</v>
          </cell>
          <cell r="H460">
            <v>0.66744729937173419</v>
          </cell>
          <cell r="I460">
            <v>0.85925488768397085</v>
          </cell>
          <cell r="J460">
            <v>0.88436135713313035</v>
          </cell>
        </row>
        <row r="461">
          <cell r="A461" t="str">
            <v>RHNS-SHNGABR</v>
          </cell>
          <cell r="B461" t="str">
            <v>VAR_fout</v>
          </cell>
          <cell r="C461" t="str">
            <v>CO2_R</v>
          </cell>
          <cell r="H461">
            <v>5.1076522949995899</v>
          </cell>
          <cell r="I461">
            <v>4.7809265642056999</v>
          </cell>
          <cell r="J461">
            <v>2.0637848963350298</v>
          </cell>
        </row>
        <row r="462">
          <cell r="A462" t="str">
            <v>RHNS-SHNGABR</v>
          </cell>
          <cell r="B462" t="str">
            <v>VAR_fout</v>
          </cell>
          <cell r="C462" t="str">
            <v>RHNS-SHNGA</v>
          </cell>
          <cell r="H462">
            <v>8.6901927917033092E-2</v>
          </cell>
          <cell r="I462">
            <v>8.1342995110685351E-2</v>
          </cell>
          <cell r="J462">
            <v>3.5113370280343913E-2</v>
          </cell>
        </row>
        <row r="463">
          <cell r="A463" t="str">
            <v>RHNS-SHNGABR</v>
          </cell>
          <cell r="B463" t="str">
            <v>VAR_fin</v>
          </cell>
          <cell r="C463" t="str">
            <v>RNGA</v>
          </cell>
          <cell r="H463">
            <v>9.056121090424793E-2</v>
          </cell>
          <cell r="I463">
            <v>8.4768201493008857E-2</v>
          </cell>
          <cell r="J463">
            <v>3.6591930786082173E-2</v>
          </cell>
        </row>
        <row r="464">
          <cell r="A464" t="str">
            <v>RHNS-SHNGABR</v>
          </cell>
          <cell r="B464" t="str">
            <v>VAR_ncap</v>
          </cell>
          <cell r="C464" t="str">
            <v>-</v>
          </cell>
          <cell r="H464">
            <v>2.63163812119883E-3</v>
          </cell>
          <cell r="I464">
            <v>3.40015815173308E-3</v>
          </cell>
          <cell r="J464">
            <v>1.0387182957151E-6</v>
          </cell>
        </row>
        <row r="465">
          <cell r="A465" t="str">
            <v>RHNS-SHNGABR</v>
          </cell>
          <cell r="B465" t="str">
            <v>VAR_cap</v>
          </cell>
          <cell r="C465" t="str">
            <v>-</v>
          </cell>
          <cell r="H465">
            <v>6.4721159819615378E-3</v>
          </cell>
          <cell r="I465">
            <v>6.0318659918875746E-3</v>
          </cell>
          <cell r="J465">
            <v>3.5790404792507952E-3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RHSA_LTH</v>
          </cell>
          <cell r="H466">
            <v>8.0481541356073622E-3</v>
          </cell>
          <cell r="I466">
            <v>3.1621541302854217E-3</v>
          </cell>
          <cell r="J466">
            <v>1.8219108591202721E-5</v>
          </cell>
        </row>
        <row r="467">
          <cell r="A467" t="str">
            <v>D-RHNM_LTH_CHPNGA</v>
          </cell>
          <cell r="B467" t="str">
            <v>VAR_fout</v>
          </cell>
          <cell r="C467" t="str">
            <v>LTH</v>
          </cell>
          <cell r="H467">
            <v>9.795055570764399E-6</v>
          </cell>
          <cell r="I467">
            <v>6.8853562177693576E-6</v>
          </cell>
          <cell r="J467">
            <v>1.0953980739462398E-5</v>
          </cell>
        </row>
        <row r="468">
          <cell r="A468" t="str">
            <v>D-RHNM_LTH_CHPNGA</v>
          </cell>
          <cell r="B468" t="str">
            <v>VAR_fout</v>
          </cell>
          <cell r="C468" t="str">
            <v>RHNM_LTH_CHPNGA_ON</v>
          </cell>
          <cell r="H468">
            <v>2.0600867505362855E-3</v>
          </cell>
          <cell r="I468">
            <v>2.1075715583599363E-3</v>
          </cell>
          <cell r="J468">
            <v>7.8471308851797268E-6</v>
          </cell>
        </row>
        <row r="469">
          <cell r="A469" t="str">
            <v>D-RHNM_LTH_CHPNGA</v>
          </cell>
          <cell r="B469" t="str">
            <v>VAR_fin</v>
          </cell>
          <cell r="C469" t="str">
            <v>RHNM_LTH_CHPNGA</v>
          </cell>
          <cell r="H469">
            <v>1.01180359417144E-2</v>
          </cell>
          <cell r="I469">
            <v>5.2767951285888565E-3</v>
          </cell>
          <cell r="J469">
            <v>3.7020220215844842E-5</v>
          </cell>
        </row>
        <row r="470">
          <cell r="A470" t="str">
            <v>RHNM-SHELCHP</v>
          </cell>
          <cell r="B470" t="str">
            <v>VAR_fout</v>
          </cell>
          <cell r="C470" t="str">
            <v>RHNM-SHAELCH</v>
          </cell>
          <cell r="H470">
            <v>1.9494416031092523</v>
          </cell>
          <cell r="I470">
            <v>2.3711247049640827</v>
          </cell>
          <cell r="J470">
            <v>3.0107480977850547</v>
          </cell>
        </row>
        <row r="471">
          <cell r="A471" t="str">
            <v>RHNM-SHELCHP</v>
          </cell>
          <cell r="B471" t="str">
            <v>VAR_fin</v>
          </cell>
          <cell r="C471" t="str">
            <v>RHNM_ELC</v>
          </cell>
          <cell r="H471">
            <v>0.52769722408546527</v>
          </cell>
          <cell r="I471">
            <v>0.61866649231697346</v>
          </cell>
          <cell r="J471">
            <v>0.72935849609365133</v>
          </cell>
        </row>
        <row r="472">
          <cell r="A472" t="str">
            <v>RHNM-SHELCHP</v>
          </cell>
          <cell r="B472" t="str">
            <v>VAR_fin</v>
          </cell>
          <cell r="C472" t="str">
            <v>RHNMELCHPC</v>
          </cell>
          <cell r="H472">
            <v>1.9494416031092523</v>
          </cell>
          <cell r="I472">
            <v>2.3711247049640827</v>
          </cell>
          <cell r="J472">
            <v>3.0107480977850547</v>
          </cell>
        </row>
        <row r="473">
          <cell r="A473" t="str">
            <v>RHNM-SHELCHP</v>
          </cell>
          <cell r="B473" t="str">
            <v>VAR_ncap</v>
          </cell>
          <cell r="C473" t="str">
            <v>-</v>
          </cell>
          <cell r="H473">
            <v>3.9468194432617697E-2</v>
          </cell>
          <cell r="I473">
            <v>0.106275429756867</v>
          </cell>
          <cell r="J473">
            <v>0.13991423376932599</v>
          </cell>
        </row>
        <row r="474">
          <cell r="A474" t="str">
            <v>RHNM-SHELCHP</v>
          </cell>
          <cell r="B474" t="str">
            <v>VAR_cap</v>
          </cell>
          <cell r="C474" t="str">
            <v>-</v>
          </cell>
          <cell r="H474">
            <v>0.15142056126588138</v>
          </cell>
          <cell r="I474">
            <v>0.18528873650200825</v>
          </cell>
          <cell r="J474">
            <v>0.2337364344064248</v>
          </cell>
        </row>
        <row r="475">
          <cell r="A475" t="str">
            <v>D-IH2R</v>
          </cell>
          <cell r="B475" t="str">
            <v>VAR_fout</v>
          </cell>
          <cell r="C475" t="str">
            <v>IH2</v>
          </cell>
          <cell r="H475">
            <v>7.8374680449933241</v>
          </cell>
          <cell r="I475">
            <v>9.937127298277888</v>
          </cell>
          <cell r="J475">
            <v>8.3232699873795166</v>
          </cell>
        </row>
        <row r="476">
          <cell r="A476" t="str">
            <v>D-IH2R</v>
          </cell>
          <cell r="B476" t="str">
            <v>VAR_fin</v>
          </cell>
          <cell r="C476" t="str">
            <v>H2</v>
          </cell>
          <cell r="H476">
            <v>7.8374680449933241</v>
          </cell>
          <cell r="I476">
            <v>9.937127298277888</v>
          </cell>
          <cell r="J476">
            <v>8.3232699873795166</v>
          </cell>
        </row>
        <row r="477">
          <cell r="A477" t="str">
            <v>D-IH2R</v>
          </cell>
          <cell r="B477" t="str">
            <v>VAR_ncap</v>
          </cell>
          <cell r="C477" t="str">
            <v>-</v>
          </cell>
          <cell r="H477">
            <v>0.28169826144194798</v>
          </cell>
          <cell r="I477">
            <v>0.43019364803086002</v>
          </cell>
          <cell r="J477">
            <v>0.145912091581443</v>
          </cell>
        </row>
        <row r="478">
          <cell r="A478" t="str">
            <v>D-IH2R</v>
          </cell>
          <cell r="B478" t="str">
            <v>VAR_cap</v>
          </cell>
          <cell r="C478" t="str">
            <v>-</v>
          </cell>
          <cell r="H478">
            <v>0.281698806783172</v>
          </cell>
          <cell r="I478">
            <v>0.48008858587675701</v>
          </cell>
          <cell r="J478">
            <v>0.29326255624647002</v>
          </cell>
        </row>
        <row r="479">
          <cell r="A479" t="str">
            <v>RHEM-SHSTG-ELC</v>
          </cell>
          <cell r="B479" t="str">
            <v>VAR_fout</v>
          </cell>
          <cell r="C479" t="str">
            <v>RHEM-SHAELCB</v>
          </cell>
          <cell r="H479">
            <v>3.1004485784211108E-4</v>
          </cell>
          <cell r="I479">
            <v>4.0706545853914694E-4</v>
          </cell>
          <cell r="J479">
            <v>4.4868660277325422E-4</v>
          </cell>
        </row>
        <row r="480">
          <cell r="A480" t="str">
            <v>RHEM-SHSTG-ELC</v>
          </cell>
          <cell r="B480" t="str">
            <v>VAR_fout</v>
          </cell>
          <cell r="C480" t="str">
            <v>AUX_RHEM-SHSTG-ELC_OUT</v>
          </cell>
          <cell r="H480">
            <v>3.1035490269995324E-4</v>
          </cell>
          <cell r="I480">
            <v>4.0747252399768631E-4</v>
          </cell>
          <cell r="J480">
            <v>4.4913528937602778E-4</v>
          </cell>
        </row>
        <row r="481">
          <cell r="A481" t="str">
            <v>RHEM-SHSTG-ELC</v>
          </cell>
          <cell r="B481" t="str">
            <v>VAR_fin</v>
          </cell>
          <cell r="C481" t="str">
            <v>RHEM-SHAELCB</v>
          </cell>
          <cell r="H481">
            <v>3.1054350942492318E-4</v>
          </cell>
          <cell r="I481">
            <v>4.0847471284509836E-4</v>
          </cell>
          <cell r="J481">
            <v>4.4950238122143941E-4</v>
          </cell>
        </row>
        <row r="482">
          <cell r="A482" t="str">
            <v>RHEM-SHSTG-ELC</v>
          </cell>
          <cell r="B482" t="str">
            <v>VAR_ncap</v>
          </cell>
          <cell r="C482" t="str">
            <v>-</v>
          </cell>
          <cell r="H482">
            <v>5.0686044352498002E-5</v>
          </cell>
          <cell r="I482">
            <v>6.9828152029225698E-5</v>
          </cell>
          <cell r="J482">
            <v>5.1976126213580601E-5</v>
          </cell>
        </row>
        <row r="483">
          <cell r="A483" t="str">
            <v>RHEM-SHSTG-ELC</v>
          </cell>
          <cell r="B483" t="str">
            <v>VAR_cap</v>
          </cell>
          <cell r="C483" t="str">
            <v>-</v>
          </cell>
          <cell r="H483">
            <v>1.0985821401100077E-4</v>
          </cell>
          <cell r="I483">
            <v>9.3650983362333199E-5</v>
          </cell>
          <cell r="J483">
            <v>8.9077567496231689E-5</v>
          </cell>
        </row>
        <row r="484">
          <cell r="A484" t="str">
            <v>RHNM-SHLTHCHPWOD</v>
          </cell>
          <cell r="B484" t="str">
            <v>VAR_ncap</v>
          </cell>
          <cell r="C484" t="str">
            <v>-</v>
          </cell>
          <cell r="H484">
            <v>3.1954525280017597E-2</v>
          </cell>
          <cell r="I484">
            <v>1.31281446319754E-2</v>
          </cell>
          <cell r="J484">
            <v>3.4297326908999898E-4</v>
          </cell>
        </row>
        <row r="485">
          <cell r="A485" t="str">
            <v>RHNM-SHLTHCHPWOD</v>
          </cell>
          <cell r="B485" t="str">
            <v>VAR_cap</v>
          </cell>
          <cell r="C485" t="str">
            <v>-</v>
          </cell>
          <cell r="H485">
            <v>3.2513531445890448E-2</v>
          </cell>
          <cell r="I485">
            <v>3.0954405675380499E-2</v>
          </cell>
          <cell r="J485">
            <v>9.1981064917349975E-4</v>
          </cell>
        </row>
        <row r="486">
          <cell r="A486" t="str">
            <v>ITOT-SWHDEM</v>
          </cell>
          <cell r="B486" t="str">
            <v>VAR_fout</v>
          </cell>
          <cell r="C486" t="str">
            <v>ITOT-SWHD</v>
          </cell>
          <cell r="H486">
            <v>77.213901711447846</v>
          </cell>
          <cell r="I486">
            <v>77.815497088374542</v>
          </cell>
          <cell r="J486">
            <v>78.641178813987096</v>
          </cell>
        </row>
        <row r="487">
          <cell r="A487" t="str">
            <v>ITOT-SWHDEM</v>
          </cell>
          <cell r="B487" t="str">
            <v>VAR_fin</v>
          </cell>
          <cell r="C487" t="str">
            <v>ITOT-SWHNGAH</v>
          </cell>
          <cell r="H487">
            <v>4.5069826022390473E-3</v>
          </cell>
          <cell r="I487">
            <v>3.3048447106780988E-3</v>
          </cell>
          <cell r="J487">
            <v>1.6622061638534422E-3</v>
          </cell>
        </row>
        <row r="488">
          <cell r="A488" t="str">
            <v>ITOT-SWHDEM</v>
          </cell>
          <cell r="B488" t="str">
            <v>VAR_fin</v>
          </cell>
          <cell r="C488" t="str">
            <v>ITOT-SWH</v>
          </cell>
          <cell r="H488">
            <v>50.606301663808907</v>
          </cell>
          <cell r="I488">
            <v>45.549059934516642</v>
          </cell>
          <cell r="J488">
            <v>46.196038757220279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ITOT-SWHELCH</v>
          </cell>
          <cell r="H489">
            <v>6.1478739850792499</v>
          </cell>
          <cell r="I489">
            <v>10.898319036051374</v>
          </cell>
          <cell r="J489">
            <v>10.902499165170362</v>
          </cell>
        </row>
        <row r="490">
          <cell r="A490" t="str">
            <v>ITOT-SWHDEM</v>
          </cell>
          <cell r="B490" t="str">
            <v>VAR_fin</v>
          </cell>
          <cell r="C490" t="str">
            <v>ITOT-SWHC</v>
          </cell>
          <cell r="H490">
            <v>1.7370180823492465</v>
          </cell>
          <cell r="I490">
            <v>2.9040107720653556</v>
          </cell>
          <cell r="J490">
            <v>2.9046271403436918</v>
          </cell>
        </row>
        <row r="491">
          <cell r="A491" t="str">
            <v>ITOT-SWHDEM</v>
          </cell>
          <cell r="B491" t="str">
            <v>VAR_fin</v>
          </cell>
          <cell r="C491" t="str">
            <v>ITOT-SWHELC</v>
          </cell>
          <cell r="H491">
            <v>17.257062375644338</v>
          </cell>
          <cell r="I491">
            <v>17.182106566344597</v>
          </cell>
          <cell r="J491">
            <v>17.1312411668716</v>
          </cell>
        </row>
        <row r="492">
          <cell r="A492" t="str">
            <v>ITOT-SWHDEM</v>
          </cell>
          <cell r="B492" t="str">
            <v>VAR_fin</v>
          </cell>
          <cell r="C492" t="str">
            <v>ITOT-SWHSOL</v>
          </cell>
          <cell r="H492">
            <v>1.4614030441229919</v>
          </cell>
          <cell r="I492">
            <v>1.2789151628120197</v>
          </cell>
          <cell r="J492">
            <v>1.5053842658262024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RHNS_ELC</v>
          </cell>
          <cell r="H493">
            <v>9.1843963805780782E-4</v>
          </cell>
          <cell r="I493">
            <v>4.3563029440783893E-4</v>
          </cell>
        </row>
        <row r="494">
          <cell r="A494" t="str">
            <v>D-RHNS_NKEV_GAS_ELC_CHP</v>
          </cell>
          <cell r="B494" t="str">
            <v>VAR_fout</v>
          </cell>
          <cell r="C494" t="str">
            <v>ELC5</v>
          </cell>
          <cell r="H494">
            <v>5.2444373955980747E-4</v>
          </cell>
          <cell r="I494">
            <v>3.1921203751167061E-4</v>
          </cell>
        </row>
        <row r="495">
          <cell r="A495" t="str">
            <v>D-RHNS_NKEV_GAS_ELC_CHP</v>
          </cell>
          <cell r="B495" t="str">
            <v>VAR_fin</v>
          </cell>
          <cell r="C495" t="str">
            <v>RHNS_NKEV_GAS_ELC_CHP</v>
          </cell>
          <cell r="H495">
            <v>1.4186579281118574E-3</v>
          </cell>
          <cell r="I495">
            <v>7.3671571818799885E-4</v>
          </cell>
        </row>
        <row r="496">
          <cell r="A496" t="str">
            <v>RHNM-SHSTG-NGAHP</v>
          </cell>
          <cell r="B496" t="str">
            <v>VAR_fout</v>
          </cell>
          <cell r="C496" t="str">
            <v>RHNM-SHANGAH</v>
          </cell>
          <cell r="H496">
            <v>5.3854935956704882E-2</v>
          </cell>
          <cell r="I496">
            <v>8.7719237401930883E-2</v>
          </cell>
          <cell r="J496">
            <v>0.13409974750400094</v>
          </cell>
        </row>
        <row r="497">
          <cell r="A497" t="str">
            <v>RHNM-SHSTG-NGAHP</v>
          </cell>
          <cell r="B497" t="str">
            <v>VAR_fout</v>
          </cell>
          <cell r="C497" t="str">
            <v>AUX_RHNM-SHSTG-NGAHP_OUT</v>
          </cell>
          <cell r="H497">
            <v>5.3908790892661596E-2</v>
          </cell>
          <cell r="I497">
            <v>8.7806956639332884E-2</v>
          </cell>
          <cell r="J497">
            <v>0.13423384725150489</v>
          </cell>
        </row>
        <row r="498">
          <cell r="A498" t="str">
            <v>RHNM-SHSTG-NGAHP</v>
          </cell>
          <cell r="B498" t="str">
            <v>VAR_fin</v>
          </cell>
          <cell r="C498" t="str">
            <v>RHNM-SHANGAH</v>
          </cell>
          <cell r="H498">
            <v>5.3881985453022974E-2</v>
          </cell>
          <cell r="I498">
            <v>8.7742655336449552E-2</v>
          </cell>
          <cell r="J498">
            <v>0.13413518906595134</v>
          </cell>
        </row>
        <row r="499">
          <cell r="A499" t="str">
            <v>RHNM-SHSTG-NGAHP</v>
          </cell>
          <cell r="B499" t="str">
            <v>VAR_ncap</v>
          </cell>
          <cell r="C499" t="str">
            <v>-</v>
          </cell>
          <cell r="H499">
            <v>5.4682637413735798E-3</v>
          </cell>
          <cell r="I499">
            <v>1.1388894893617999E-2</v>
          </cell>
          <cell r="J499">
            <v>1.66946383968513E-2</v>
          </cell>
        </row>
        <row r="500">
          <cell r="A500" t="str">
            <v>RHNM-SHSTG-NGAHP</v>
          </cell>
          <cell r="B500" t="str">
            <v>VAR_cap</v>
          </cell>
          <cell r="C500" t="str">
            <v>-</v>
          </cell>
          <cell r="H500">
            <v>1.8292402325355245E-2</v>
          </cell>
          <cell r="I500">
            <v>2.3073276925185553E-2</v>
          </cell>
          <cell r="J500">
            <v>2.7197706766645308E-2</v>
          </cell>
        </row>
        <row r="501">
          <cell r="A501" t="str">
            <v>D-IBIO</v>
          </cell>
          <cell r="B501" t="str">
            <v>VAR_fout</v>
          </cell>
          <cell r="C501" t="str">
            <v>IBIO</v>
          </cell>
          <cell r="H501">
            <v>2.6601921377869875</v>
          </cell>
          <cell r="I501">
            <v>2.6601994510599067</v>
          </cell>
          <cell r="J501">
            <v>5.4553533771495308</v>
          </cell>
        </row>
        <row r="502">
          <cell r="A502" t="str">
            <v>D-IBIO</v>
          </cell>
          <cell r="B502" t="str">
            <v>VAR_fin</v>
          </cell>
          <cell r="C502" t="str">
            <v>BIO</v>
          </cell>
          <cell r="H502">
            <v>2.6601921377869875</v>
          </cell>
          <cell r="I502">
            <v>2.6601994510599067</v>
          </cell>
          <cell r="J502">
            <v>5.4553533771495308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RHES_ELC</v>
          </cell>
          <cell r="H503">
            <v>7.7773240763988989E-4</v>
          </cell>
          <cell r="I503">
            <v>9.3581551815868978E-4</v>
          </cell>
          <cell r="J503">
            <v>3.466584062496212E-4</v>
          </cell>
        </row>
        <row r="504">
          <cell r="A504" t="str">
            <v>D-RHES_KEV_WOD_ELC_CHP</v>
          </cell>
          <cell r="B504" t="str">
            <v>VAR_fout</v>
          </cell>
          <cell r="C504" t="str">
            <v>ELC5</v>
          </cell>
          <cell r="H504">
            <v>5.4714395676451911E-4</v>
          </cell>
          <cell r="I504">
            <v>5.3312043504230144E-4</v>
          </cell>
          <cell r="J504">
            <v>2.3558051707791203E-4</v>
          </cell>
        </row>
        <row r="505">
          <cell r="A505" t="str">
            <v>D-RHES_KEV_WOD_ELC_CHP</v>
          </cell>
          <cell r="B505" t="str">
            <v>VAR_fin</v>
          </cell>
          <cell r="C505" t="str">
            <v>RHES_KEV_WOD_ELC_CHP</v>
          </cell>
          <cell r="H505">
            <v>1.3055076884234012E-3</v>
          </cell>
          <cell r="I505">
            <v>1.4498086495855727E-3</v>
          </cell>
          <cell r="J505">
            <v>5.6476682538790545E-4</v>
          </cell>
        </row>
        <row r="506">
          <cell r="A506" t="str">
            <v>RHNS-SHLFOBR</v>
          </cell>
          <cell r="B506" t="str">
            <v>VAR_fout</v>
          </cell>
          <cell r="C506" t="str">
            <v>CO2_R</v>
          </cell>
          <cell r="H506">
            <v>3.8480535167414298</v>
          </cell>
          <cell r="I506">
            <v>3.37209302930972</v>
          </cell>
        </row>
        <row r="507">
          <cell r="A507" t="str">
            <v>RHNS-SHLFOBR</v>
          </cell>
          <cell r="B507" t="str">
            <v>VAR_fout</v>
          </cell>
          <cell r="C507" t="str">
            <v>RHNS-SHLFO</v>
          </cell>
          <cell r="H507">
            <v>4.9569773168583992E-2</v>
          </cell>
          <cell r="I507">
            <v>4.3438555581158826E-2</v>
          </cell>
        </row>
        <row r="508">
          <cell r="A508" t="str">
            <v>RHNS-SHLFOBR</v>
          </cell>
          <cell r="B508" t="str">
            <v>VAR_fin</v>
          </cell>
          <cell r="C508" t="str">
            <v>RLFO</v>
          </cell>
          <cell r="H508">
            <v>5.2212395071118446E-2</v>
          </cell>
          <cell r="I508">
            <v>4.5754315187377541E-2</v>
          </cell>
        </row>
        <row r="509">
          <cell r="A509" t="str">
            <v>RHNS-SHLFOBR</v>
          </cell>
          <cell r="B509" t="str">
            <v>VAR_ncap</v>
          </cell>
          <cell r="C509" t="str">
            <v>-</v>
          </cell>
        </row>
        <row r="510">
          <cell r="A510" t="str">
            <v>RHNS-SHLFOBR</v>
          </cell>
          <cell r="B510" t="str">
            <v>VAR_cap</v>
          </cell>
          <cell r="C510" t="str">
            <v>-</v>
          </cell>
          <cell r="H510">
            <v>1.7886455589475974E-2</v>
          </cell>
          <cell r="I510">
            <v>3.167260004010972E-3</v>
          </cell>
        </row>
        <row r="511">
          <cell r="A511" t="str">
            <v>D-SNGA</v>
          </cell>
          <cell r="B511" t="str">
            <v>VAR_fout</v>
          </cell>
          <cell r="C511" t="str">
            <v>CO2</v>
          </cell>
          <cell r="H511">
            <v>801.67149733091003</v>
          </cell>
          <cell r="I511">
            <v>553.36994414510104</v>
          </cell>
          <cell r="J511">
            <v>314.99224641692302</v>
          </cell>
        </row>
        <row r="512">
          <cell r="A512" t="str">
            <v>D-SNGA</v>
          </cell>
          <cell r="B512" t="str">
            <v>VAR_fout</v>
          </cell>
          <cell r="C512" t="str">
            <v>SNGA</v>
          </cell>
          <cell r="H512">
            <v>15.481218295160835</v>
          </cell>
          <cell r="I512">
            <v>11.245149655939198</v>
          </cell>
          <cell r="J512">
            <v>7.2063658260693435</v>
          </cell>
        </row>
        <row r="513">
          <cell r="A513" t="str">
            <v>D-SNGA</v>
          </cell>
          <cell r="B513" t="str">
            <v>VAR_fout</v>
          </cell>
          <cell r="C513" t="str">
            <v>RSH2</v>
          </cell>
          <cell r="H513">
            <v>2.908835965689163E-3</v>
          </cell>
          <cell r="I513">
            <v>9.1968886077066995E-3</v>
          </cell>
          <cell r="J513">
            <v>3.6763929043969459E-3</v>
          </cell>
        </row>
        <row r="514">
          <cell r="A514" t="str">
            <v>D-SNGA</v>
          </cell>
          <cell r="B514" t="str">
            <v>VAR_fin</v>
          </cell>
          <cell r="C514" t="str">
            <v>NGA</v>
          </cell>
          <cell r="H514">
            <v>14.214033640618968</v>
          </cell>
          <cell r="I514">
            <v>9.8115238323599403</v>
          </cell>
          <cell r="J514">
            <v>5.5849689081014624</v>
          </cell>
        </row>
        <row r="515">
          <cell r="A515" t="str">
            <v>D-SNGA</v>
          </cell>
          <cell r="B515" t="str">
            <v>VAR_fin</v>
          </cell>
          <cell r="C515" t="str">
            <v>BNGA</v>
          </cell>
          <cell r="H515">
            <v>1.3166656893030941</v>
          </cell>
          <cell r="I515">
            <v>1.4695943097312512</v>
          </cell>
          <cell r="J515">
            <v>1.64460912297827</v>
          </cell>
        </row>
        <row r="516">
          <cell r="A516" t="str">
            <v>D-SNGA</v>
          </cell>
          <cell r="B516" t="str">
            <v>VAR_fin</v>
          </cell>
          <cell r="C516" t="str">
            <v>H2</v>
          </cell>
          <cell r="H516">
            <v>2.9060251706949313E-3</v>
          </cell>
          <cell r="I516">
            <v>9.1896925757614205E-3</v>
          </cell>
          <cell r="J516">
            <v>3.6702511659645709E-3</v>
          </cell>
        </row>
        <row r="517">
          <cell r="A517" t="str">
            <v>D-SNGA</v>
          </cell>
          <cell r="B517" t="str">
            <v>VAR_ncap</v>
          </cell>
          <cell r="C517" t="str">
            <v>-</v>
          </cell>
          <cell r="H517">
            <v>6.5183483080573202E-7</v>
          </cell>
          <cell r="I517">
            <v>6.40883126133821E-7</v>
          </cell>
          <cell r="J517">
            <v>1.6523443534709699E-6</v>
          </cell>
        </row>
        <row r="518">
          <cell r="A518" t="str">
            <v>D-SNGA</v>
          </cell>
          <cell r="B518" t="str">
            <v>VAR_cap</v>
          </cell>
          <cell r="C518" t="str">
            <v>-</v>
          </cell>
          <cell r="H518">
            <v>2.2350561289921833</v>
          </cell>
          <cell r="I518">
            <v>2.2350567698753094</v>
          </cell>
          <cell r="J518">
            <v>1.1208967230833826</v>
          </cell>
        </row>
        <row r="519">
          <cell r="A519" t="str">
            <v>D-IPLT</v>
          </cell>
          <cell r="B519" t="str">
            <v>VAR_fout</v>
          </cell>
          <cell r="C519" t="str">
            <v>IPLT</v>
          </cell>
          <cell r="H519">
            <v>0.73330798148505627</v>
          </cell>
          <cell r="I519">
            <v>0.73127015257346017</v>
          </cell>
          <cell r="J519">
            <v>0.72723668647780715</v>
          </cell>
        </row>
        <row r="520">
          <cell r="A520" t="str">
            <v>D-IPLT</v>
          </cell>
          <cell r="B520" t="str">
            <v>VAR_fin</v>
          </cell>
          <cell r="C520" t="str">
            <v>PLT</v>
          </cell>
          <cell r="H520">
            <v>0.73330798148505627</v>
          </cell>
          <cell r="I520">
            <v>0.73127015257346017</v>
          </cell>
          <cell r="J520">
            <v>0.72723668647780715</v>
          </cell>
        </row>
        <row r="521">
          <cell r="A521" t="str">
            <v>ITOT-SWHWODBR</v>
          </cell>
          <cell r="B521" t="str">
            <v>VAR_fout</v>
          </cell>
          <cell r="C521" t="str">
            <v>ITOT-SWH</v>
          </cell>
          <cell r="H521">
            <v>7.3673209120730103</v>
          </cell>
          <cell r="I521">
            <v>7.9189588334105387</v>
          </cell>
          <cell r="J521">
            <v>9.5630232287788228</v>
          </cell>
        </row>
        <row r="522">
          <cell r="A522" t="str">
            <v>ITOT-SWHWODBR</v>
          </cell>
          <cell r="B522" t="str">
            <v>VAR_fin</v>
          </cell>
          <cell r="C522" t="str">
            <v>IWOD</v>
          </cell>
          <cell r="H522">
            <v>12.382051953063888</v>
          </cell>
          <cell r="I522">
            <v>13.271998044822125</v>
          </cell>
          <cell r="J522">
            <v>15.938372047964707</v>
          </cell>
        </row>
        <row r="523">
          <cell r="A523" t="str">
            <v>ITOT-SWHWODBR</v>
          </cell>
          <cell r="B523" t="str">
            <v>VAR_fin</v>
          </cell>
          <cell r="C523" t="str">
            <v>ITOTWODBRC</v>
          </cell>
          <cell r="H523">
            <v>7.3673209120730103</v>
          </cell>
          <cell r="I523">
            <v>7.9189588334105387</v>
          </cell>
          <cell r="J523">
            <v>9.5630232287788228</v>
          </cell>
        </row>
        <row r="524">
          <cell r="A524" t="str">
            <v>ITOT-SWHWODBR</v>
          </cell>
          <cell r="B524" t="str">
            <v>VAR_ncap</v>
          </cell>
          <cell r="C524" t="str">
            <v>-</v>
          </cell>
          <cell r="H524">
            <v>0.30729204919054198</v>
          </cell>
          <cell r="I524">
            <v>0.223012467286125</v>
          </cell>
          <cell r="J524">
            <v>0.29410442128652398</v>
          </cell>
        </row>
        <row r="525">
          <cell r="A525" t="str">
            <v>ITOT-SWHWODBR</v>
          </cell>
          <cell r="B525" t="str">
            <v>VAR_cap</v>
          </cell>
          <cell r="C525" t="str">
            <v>-</v>
          </cell>
          <cell r="H525">
            <v>0.41124028771865212</v>
          </cell>
          <cell r="I525">
            <v>0.53153024273128224</v>
          </cell>
          <cell r="J525">
            <v>0.58588896411284297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ITOT_ELC</v>
          </cell>
          <cell r="H526">
            <v>2.7244513921134597</v>
          </cell>
          <cell r="I526">
            <v>2.840688029494236</v>
          </cell>
          <cell r="J526">
            <v>3.5620116698080926</v>
          </cell>
        </row>
        <row r="527">
          <cell r="A527" t="str">
            <v>D-ITOT_KEV_WOD_ELC_CHP</v>
          </cell>
          <cell r="B527" t="str">
            <v>VAR_fout</v>
          </cell>
          <cell r="C527" t="str">
            <v>ELC5</v>
          </cell>
          <cell r="H527">
            <v>4.4173399764989713E-3</v>
          </cell>
          <cell r="I527">
            <v>4.5810612170589168E-2</v>
          </cell>
          <cell r="J527">
            <v>4.0389351891968121E-2</v>
          </cell>
        </row>
        <row r="528">
          <cell r="A528" t="str">
            <v>D-ITOT_KEV_WOD_ELC_CHP</v>
          </cell>
          <cell r="B528" t="str">
            <v>VAR_fin</v>
          </cell>
          <cell r="C528" t="str">
            <v>ITOT_KEV_WOD_ELC_CHP</v>
          </cell>
          <cell r="H528">
            <v>2.7288395307241009</v>
          </cell>
          <cell r="I528">
            <v>2.8864986416648244</v>
          </cell>
          <cell r="J528">
            <v>3.6024010217000568</v>
          </cell>
        </row>
        <row r="529">
          <cell r="A529" t="str">
            <v>RHEM-SHSTG-SOL</v>
          </cell>
          <cell r="B529" t="str">
            <v>VAR_fout</v>
          </cell>
          <cell r="C529" t="str">
            <v>RHEM-SHASOL</v>
          </cell>
          <cell r="H529">
            <v>5.3257060480056927E-3</v>
          </cell>
          <cell r="I529">
            <v>1.8916752283651228E-3</v>
          </cell>
          <cell r="J529">
            <v>1.739086556985626E-3</v>
          </cell>
        </row>
        <row r="530">
          <cell r="A530" t="str">
            <v>RHEM-SHSTG-SOL</v>
          </cell>
          <cell r="B530" t="str">
            <v>VAR_fout</v>
          </cell>
          <cell r="C530" t="str">
            <v>AUX_RHEM-SHSTG-SOL_OUT</v>
          </cell>
          <cell r="H530">
            <v>5.3310317540536962E-3</v>
          </cell>
          <cell r="I530">
            <v>1.8935669035934869E-3</v>
          </cell>
          <cell r="J530">
            <v>1.740825643542611E-3</v>
          </cell>
        </row>
        <row r="531">
          <cell r="A531" t="str">
            <v>RHEM-SHSTG-SOL</v>
          </cell>
          <cell r="B531" t="str">
            <v>VAR_fin</v>
          </cell>
          <cell r="C531" t="str">
            <v>RHEM-SHASOL</v>
          </cell>
          <cell r="H531">
            <v>5.3228278661089836E-3</v>
          </cell>
          <cell r="I531">
            <v>1.8883167510168886E-3</v>
          </cell>
          <cell r="J531">
            <v>1.7344489849015032E-3</v>
          </cell>
        </row>
        <row r="532">
          <cell r="A532" t="str">
            <v>RHEM-SHSTG-SOL</v>
          </cell>
          <cell r="B532" t="str">
            <v>VAR_ncap</v>
          </cell>
          <cell r="C532" t="str">
            <v>-</v>
          </cell>
          <cell r="H532">
            <v>3.0045873455705101E-4</v>
          </cell>
          <cell r="I532">
            <v>9.7866020644301604E-5</v>
          </cell>
          <cell r="J532">
            <v>1.2325037416125901E-4</v>
          </cell>
        </row>
        <row r="533">
          <cell r="A533" t="str">
            <v>RHEM-SHSTG-SOL</v>
          </cell>
          <cell r="B533" t="str">
            <v>VAR_cap</v>
          </cell>
          <cell r="C533" t="str">
            <v>-</v>
          </cell>
          <cell r="H533">
            <v>4.5371258948297601E-3</v>
          </cell>
          <cell r="I533">
            <v>3.9868322669876202E-4</v>
          </cell>
          <cell r="J533">
            <v>3.21367463858179E-4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ITOT-ELS</v>
          </cell>
          <cell r="J534">
            <v>2.7655674226583918E-5</v>
          </cell>
        </row>
        <row r="535">
          <cell r="A535" t="str">
            <v>ITOT-SWHCONBR10</v>
          </cell>
          <cell r="B535" t="str">
            <v>VAR_fout</v>
          </cell>
          <cell r="C535" t="str">
            <v>ITOT-SWHC</v>
          </cell>
          <cell r="J535">
            <v>1.7030652331124135E-4</v>
          </cell>
        </row>
        <row r="536">
          <cell r="A536" t="str">
            <v>ITOT-SWHCONBR10</v>
          </cell>
          <cell r="B536" t="str">
            <v>VAR_fin</v>
          </cell>
          <cell r="C536" t="str">
            <v>CON</v>
          </cell>
          <cell r="J536">
            <v>1.9796219753782511E-4</v>
          </cell>
        </row>
        <row r="537">
          <cell r="A537" t="str">
            <v>ITOT-SWHCONBR10</v>
          </cell>
          <cell r="B537" t="str">
            <v>VAR_ncap</v>
          </cell>
          <cell r="C537" t="str">
            <v>-</v>
          </cell>
          <cell r="J537">
            <v>9.3252478278280408E-6</v>
          </cell>
        </row>
        <row r="538">
          <cell r="A538" t="str">
            <v>ITOT-SWHCONBR10</v>
          </cell>
          <cell r="B538" t="str">
            <v>VAR_cap</v>
          </cell>
          <cell r="C538" t="str">
            <v>-</v>
          </cell>
          <cell r="J538">
            <v>9.3252478278280408E-6</v>
          </cell>
        </row>
        <row r="539">
          <cell r="A539" t="str">
            <v>SCOM-SHSTG</v>
          </cell>
          <cell r="B539" t="str">
            <v>VAR_fout</v>
          </cell>
          <cell r="C539" t="str">
            <v>AUX_SCOM-SHSTG_OUT</v>
          </cell>
          <cell r="H539">
            <v>6.229598549209075E-5</v>
          </cell>
          <cell r="I539">
            <v>8.6556787737513107E-5</v>
          </cell>
          <cell r="J539">
            <v>2.6098217176342316E-3</v>
          </cell>
        </row>
        <row r="540">
          <cell r="A540" t="str">
            <v>SCOM-SHSTG</v>
          </cell>
          <cell r="B540" t="str">
            <v>VAR_fout</v>
          </cell>
          <cell r="C540" t="str">
            <v>SCOM-SHD</v>
          </cell>
          <cell r="H540">
            <v>6.2365280247921742E-5</v>
          </cell>
          <cell r="I540">
            <v>8.655678773751304E-5</v>
          </cell>
          <cell r="J540">
            <v>2.6098217176342316E-3</v>
          </cell>
        </row>
        <row r="541">
          <cell r="A541" t="str">
            <v>SCOM-SHSTG</v>
          </cell>
          <cell r="B541" t="str">
            <v>VAR_fin</v>
          </cell>
          <cell r="C541" t="str">
            <v>AUX_SCOM-SHSTG_IN</v>
          </cell>
          <cell r="H541">
            <v>7.0294611305666286E-5</v>
          </cell>
          <cell r="I541">
            <v>9.3947146618164997E-5</v>
          </cell>
          <cell r="J541">
            <v>2.6350614434663346E-3</v>
          </cell>
        </row>
        <row r="542">
          <cell r="A542" t="str">
            <v>SCOM-SHSTG</v>
          </cell>
          <cell r="B542" t="str">
            <v>VAR_fin</v>
          </cell>
          <cell r="C542" t="str">
            <v>SCOM-SHD</v>
          </cell>
          <cell r="H542">
            <v>7.0294611305666286E-5</v>
          </cell>
          <cell r="I542">
            <v>9.3947146618164997E-5</v>
          </cell>
          <cell r="J542">
            <v>2.6350614434663346E-3</v>
          </cell>
        </row>
        <row r="543">
          <cell r="A543" t="str">
            <v>SCOM-SHSTG</v>
          </cell>
          <cell r="B543" t="str">
            <v>VAR_ncap</v>
          </cell>
          <cell r="C543" t="str">
            <v>-</v>
          </cell>
          <cell r="H543">
            <v>9.8775217142183603E-5</v>
          </cell>
          <cell r="I543">
            <v>5.3116971317764905E-4</v>
          </cell>
          <cell r="J543">
            <v>6.4795350037091099E-4</v>
          </cell>
        </row>
        <row r="544">
          <cell r="A544" t="str">
            <v>SCOM-SHSTG</v>
          </cell>
          <cell r="B544" t="str">
            <v>VAR_cap</v>
          </cell>
          <cell r="C544" t="str">
            <v>-</v>
          </cell>
          <cell r="H544">
            <v>1.0774090638681758E-3</v>
          </cell>
          <cell r="I544">
            <v>9.7065563315491083E-4</v>
          </cell>
          <cell r="J544">
            <v>1.2511720589251491E-3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ITOT_ELC</v>
          </cell>
          <cell r="H545">
            <v>5.8442505421136158E-3</v>
          </cell>
          <cell r="I545">
            <v>0.18957724112173743</v>
          </cell>
          <cell r="J545">
            <v>0.16039716892376052</v>
          </cell>
        </row>
        <row r="546">
          <cell r="A546" t="str">
            <v>D-ITOT_KEV_HFC_ELC_CHP</v>
          </cell>
          <cell r="B546" t="str">
            <v>VAR_fout</v>
          </cell>
          <cell r="C546" t="str">
            <v>ELC5</v>
          </cell>
          <cell r="H546">
            <v>2.2325222211537193E-3</v>
          </cell>
          <cell r="I546">
            <v>2.569010254213832E-2</v>
          </cell>
          <cell r="J546">
            <v>1.9412035005324926E-2</v>
          </cell>
        </row>
        <row r="547">
          <cell r="A547" t="str">
            <v>D-ITOT_KEV_HFC_ELC_CHP</v>
          </cell>
          <cell r="B547" t="str">
            <v>VAR_fin</v>
          </cell>
          <cell r="C547" t="str">
            <v>ITOT_KEV_HFC_ELC_CHP</v>
          </cell>
          <cell r="H547">
            <v>8.0500074761318229E-3</v>
          </cell>
          <cell r="I547">
            <v>0.21524894675827408</v>
          </cell>
          <cell r="J547">
            <v>0.17979567091109055</v>
          </cell>
        </row>
        <row r="548">
          <cell r="A548" t="str">
            <v>D-RNGA</v>
          </cell>
          <cell r="B548" t="str">
            <v>VAR_fout</v>
          </cell>
          <cell r="C548" t="str">
            <v>CO2</v>
          </cell>
          <cell r="H548">
            <v>1605.0830776456801</v>
          </cell>
          <cell r="I548">
            <v>1085.0471121682399</v>
          </cell>
          <cell r="J548">
            <v>720.33163203666595</v>
          </cell>
        </row>
        <row r="549">
          <cell r="A549" t="str">
            <v>D-RNGA</v>
          </cell>
          <cell r="B549" t="str">
            <v>VAR_fout</v>
          </cell>
          <cell r="C549" t="str">
            <v>RNGA</v>
          </cell>
          <cell r="H549">
            <v>30.400244733311446</v>
          </cell>
          <cell r="I549">
            <v>21.839540885371584</v>
          </cell>
          <cell r="J549">
            <v>14.838812487140329</v>
          </cell>
        </row>
        <row r="550">
          <cell r="A550" t="str">
            <v>D-RNGA</v>
          </cell>
          <cell r="B550" t="str">
            <v>VAR_fout</v>
          </cell>
          <cell r="C550" t="str">
            <v>RSH2</v>
          </cell>
          <cell r="H550">
            <v>6.4609885456964359E-3</v>
          </cell>
          <cell r="I550">
            <v>2.9158479983927191E-2</v>
          </cell>
          <cell r="J550">
            <v>1.4082332853967736E-2</v>
          </cell>
        </row>
        <row r="551">
          <cell r="A551" t="str">
            <v>D-RNGA</v>
          </cell>
          <cell r="B551" t="str">
            <v>VAR_fin</v>
          </cell>
          <cell r="C551" t="str">
            <v>NGA</v>
          </cell>
          <cell r="H551">
            <v>28.458919816412791</v>
          </cell>
          <cell r="I551">
            <v>19.238423974614133</v>
          </cell>
          <cell r="J551">
            <v>12.771837447458635</v>
          </cell>
        </row>
        <row r="552">
          <cell r="A552" t="str">
            <v>D-RNGA</v>
          </cell>
          <cell r="B552" t="str">
            <v>VAR_fin</v>
          </cell>
          <cell r="C552" t="str">
            <v>BNGA</v>
          </cell>
          <cell r="H552">
            <v>2.0384909218283713</v>
          </cell>
          <cell r="I552">
            <v>2.6709993118078152</v>
          </cell>
          <cell r="J552">
            <v>2.11461363649516</v>
          </cell>
        </row>
        <row r="553">
          <cell r="A553" t="str">
            <v>D-RNGA</v>
          </cell>
          <cell r="B553" t="str">
            <v>VAR_fin</v>
          </cell>
          <cell r="C553" t="str">
            <v>H2</v>
          </cell>
          <cell r="H553">
            <v>6.4581777506996698E-3</v>
          </cell>
          <cell r="I553">
            <v>2.9156385123301813E-2</v>
          </cell>
          <cell r="J553">
            <v>1.4077186813483966E-2</v>
          </cell>
        </row>
        <row r="554">
          <cell r="A554" t="str">
            <v>D-RNGA</v>
          </cell>
          <cell r="B554" t="str">
            <v>VAR_ncap</v>
          </cell>
          <cell r="C554" t="str">
            <v>-</v>
          </cell>
          <cell r="H554">
            <v>1.8341795553737801E-7</v>
          </cell>
          <cell r="I554">
            <v>2.4166088516414899E-7</v>
          </cell>
          <cell r="J554">
            <v>4.44352430015461E-7</v>
          </cell>
        </row>
        <row r="555">
          <cell r="A555" t="str">
            <v>D-RNGA</v>
          </cell>
          <cell r="B555" t="str">
            <v>VAR_cap</v>
          </cell>
          <cell r="C555" t="str">
            <v>-</v>
          </cell>
          <cell r="H555">
            <v>3.0972409467058872</v>
          </cell>
          <cell r="I555">
            <v>3.0972411883667723</v>
          </cell>
          <cell r="J555">
            <v>1.5532838733595022</v>
          </cell>
        </row>
        <row r="556">
          <cell r="A556" t="str">
            <v>RHNS-SHLTHCHPNGA</v>
          </cell>
          <cell r="B556" t="str">
            <v>VAR_fout</v>
          </cell>
          <cell r="C556" t="str">
            <v>RHNS-SHLTHC-NGA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RHNSLTHCHPC</v>
          </cell>
        </row>
        <row r="558">
          <cell r="A558" t="str">
            <v>RHNS-SHLTHCHPNGA</v>
          </cell>
          <cell r="B558" t="str">
            <v>VAR_fin</v>
          </cell>
          <cell r="C558" t="str">
            <v>RHNS_LTH_CHPNGA_ON</v>
          </cell>
        </row>
        <row r="559">
          <cell r="A559" t="str">
            <v>RHNS-SHLTHCHPNGA</v>
          </cell>
          <cell r="B559" t="str">
            <v>VAR_ncap</v>
          </cell>
          <cell r="C559" t="str">
            <v>-</v>
          </cell>
          <cell r="H559">
            <v>1.34345482273616E-4</v>
          </cell>
          <cell r="I559">
            <v>5.5360757222236301E-5</v>
          </cell>
          <cell r="J559">
            <v>4.0049818463165801E-8</v>
          </cell>
        </row>
        <row r="560">
          <cell r="A560" t="str">
            <v>RHNS-SHLTHCHPNGA</v>
          </cell>
          <cell r="B560" t="str">
            <v>VAR_cap</v>
          </cell>
          <cell r="C560" t="str">
            <v>-</v>
          </cell>
          <cell r="H560">
            <v>2.3866202840705595E-4</v>
          </cell>
          <cell r="I560">
            <v>1.0998435805978E-4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ELC5</v>
          </cell>
          <cell r="H561">
            <v>1.7581374250249719E-3</v>
          </cell>
          <cell r="I561">
            <v>1.73512111035508E-3</v>
          </cell>
          <cell r="J561">
            <v>9.7533292052859864E-4</v>
          </cell>
        </row>
        <row r="562">
          <cell r="A562" t="str">
            <v>D-SCOM_KEV_BIO_ELC_CHP</v>
          </cell>
          <cell r="B562" t="str">
            <v>VAR_fout</v>
          </cell>
          <cell r="C562" t="str">
            <v>SCOM_ELC</v>
          </cell>
          <cell r="H562">
            <v>1.1042477944422626</v>
          </cell>
          <cell r="I562">
            <v>1.1042642624279233</v>
          </cell>
          <cell r="J562">
            <v>1.1050190854555255</v>
          </cell>
        </row>
        <row r="563">
          <cell r="A563" t="str">
            <v>D-SCOM_KEV_BIO_ELC_CHP</v>
          </cell>
          <cell r="B563" t="str">
            <v>VAR_fin</v>
          </cell>
          <cell r="C563" t="str">
            <v>SCOM_KEV_BIO_ELC_CHP</v>
          </cell>
          <cell r="H563">
            <v>1.1059795480118346</v>
          </cell>
          <cell r="I563">
            <v>1.105977382138424</v>
          </cell>
          <cell r="J563">
            <v>1.1059777222142702</v>
          </cell>
        </row>
        <row r="564">
          <cell r="A564" t="str">
            <v>RHES-SHLTHCHPWOD</v>
          </cell>
          <cell r="B564" t="str">
            <v>VAR_ncap</v>
          </cell>
          <cell r="C564" t="str">
            <v>-</v>
          </cell>
          <cell r="H564">
            <v>1.9386118721039799E-4</v>
          </cell>
          <cell r="I564">
            <v>1.4974301461189701E-4</v>
          </cell>
          <cell r="J564">
            <v>4.8768870742494199E-5</v>
          </cell>
        </row>
        <row r="565">
          <cell r="A565" t="str">
            <v>RHES-SHLTHCHPWOD</v>
          </cell>
          <cell r="B565" t="str">
            <v>VAR_cap</v>
          </cell>
          <cell r="C565" t="str">
            <v>-</v>
          </cell>
          <cell r="H565">
            <v>2.5335312706216623E-4</v>
          </cell>
          <cell r="I565">
            <v>2.5673137674099702E-4</v>
          </cell>
          <cell r="J565">
            <v>9.2997339808507983E-5</v>
          </cell>
        </row>
        <row r="566">
          <cell r="A566" t="str">
            <v>RHES-SHSTG-NGAHP</v>
          </cell>
          <cell r="B566" t="str">
            <v>VAR_fout</v>
          </cell>
          <cell r="C566" t="str">
            <v>RHES-SHANGAH</v>
          </cell>
          <cell r="H566">
            <v>0.5312648168456191</v>
          </cell>
          <cell r="I566">
            <v>0.72338947352020222</v>
          </cell>
          <cell r="J566">
            <v>0.74611863938863499</v>
          </cell>
        </row>
        <row r="567">
          <cell r="A567" t="str">
            <v>RHES-SHSTG-NGAHP</v>
          </cell>
          <cell r="B567" t="str">
            <v>VAR_fout</v>
          </cell>
          <cell r="C567" t="str">
            <v>AUX_RHES-SHSTG-NGAHP_OUT</v>
          </cell>
          <cell r="H567">
            <v>0.5317960816624645</v>
          </cell>
          <cell r="I567">
            <v>0.72411286299372235</v>
          </cell>
          <cell r="J567">
            <v>0.74686475802802232</v>
          </cell>
        </row>
        <row r="568">
          <cell r="A568" t="str">
            <v>RHES-SHSTG-NGAHP</v>
          </cell>
          <cell r="B568" t="str">
            <v>VAR_fin</v>
          </cell>
          <cell r="C568" t="str">
            <v>RHES-SHANGAH</v>
          </cell>
          <cell r="H568">
            <v>0.53129562872894132</v>
          </cell>
          <cell r="I568">
            <v>0.72340715538570677</v>
          </cell>
          <cell r="J568">
            <v>0.74614293250199848</v>
          </cell>
        </row>
        <row r="569">
          <cell r="A569" t="str">
            <v>RHES-SHSTG-NGAHP</v>
          </cell>
          <cell r="B569" t="str">
            <v>VAR_ncap</v>
          </cell>
          <cell r="C569" t="str">
            <v>-</v>
          </cell>
          <cell r="H569">
            <v>1.5422421700631499E-2</v>
          </cell>
          <cell r="I569">
            <v>5.68860609398677E-2</v>
          </cell>
          <cell r="J569">
            <v>5.3457692461817301E-2</v>
          </cell>
        </row>
        <row r="570">
          <cell r="A570" t="str">
            <v>RHES-SHSTG-NGAHP</v>
          </cell>
          <cell r="B570" t="str">
            <v>VAR_cap</v>
          </cell>
          <cell r="C570" t="str">
            <v>-</v>
          </cell>
          <cell r="H570">
            <v>9.3766980730929414E-2</v>
          </cell>
          <cell r="I570">
            <v>0.10947600048072458</v>
          </cell>
          <cell r="J570">
            <v>0.1012148802781674</v>
          </cell>
        </row>
        <row r="571">
          <cell r="A571" t="str">
            <v>D-RHNS_SOLELC</v>
          </cell>
          <cell r="B571" t="str">
            <v>VAR_fout</v>
          </cell>
          <cell r="C571" t="str">
            <v>RHNS_ELC</v>
          </cell>
          <cell r="H571">
            <v>7.1888238550846637</v>
          </cell>
          <cell r="I571">
            <v>7.5385341666250207</v>
          </cell>
          <cell r="J571">
            <v>8.2897648456479978</v>
          </cell>
        </row>
        <row r="572">
          <cell r="A572" t="str">
            <v>D-RHNS_SOLELC</v>
          </cell>
          <cell r="B572" t="str">
            <v>VAR_fout</v>
          </cell>
          <cell r="C572" t="str">
            <v>ELC5</v>
          </cell>
          <cell r="H572">
            <v>1.4882789678854651E-3</v>
          </cell>
          <cell r="I572">
            <v>3.0609582578382723E-3</v>
          </cell>
          <cell r="J572">
            <v>1.1855773881482361E-2</v>
          </cell>
        </row>
        <row r="573">
          <cell r="A573" t="str">
            <v>D-RHNS_SOLELC</v>
          </cell>
          <cell r="B573" t="str">
            <v>VAR_fin</v>
          </cell>
          <cell r="C573" t="str">
            <v>RHNS_SOL_ELC</v>
          </cell>
          <cell r="H573">
            <v>7.19031213405255</v>
          </cell>
          <cell r="I573">
            <v>7.5415951248828499</v>
          </cell>
          <cell r="J573">
            <v>8.3016206195294764</v>
          </cell>
        </row>
        <row r="574">
          <cell r="A574" t="str">
            <v>D-IHFO</v>
          </cell>
          <cell r="B574" t="str">
            <v>VAR_fout</v>
          </cell>
          <cell r="C574" t="str">
            <v>CO2</v>
          </cell>
          <cell r="H574">
            <v>0.50886110772034099</v>
          </cell>
          <cell r="I574">
            <v>3.8349520494097802E-2</v>
          </cell>
        </row>
        <row r="575">
          <cell r="A575" t="str">
            <v>D-IHFO</v>
          </cell>
          <cell r="B575" t="str">
            <v>VAR_fout</v>
          </cell>
          <cell r="C575" t="str">
            <v>IHFO</v>
          </cell>
          <cell r="H575">
            <v>6.4982147298313225E-3</v>
          </cell>
          <cell r="I575">
            <v>4.8972777674663893E-4</v>
          </cell>
        </row>
        <row r="576">
          <cell r="A576" t="str">
            <v>D-IHFO</v>
          </cell>
          <cell r="B576" t="str">
            <v>VAR_fin</v>
          </cell>
          <cell r="C576" t="str">
            <v>HFO</v>
          </cell>
          <cell r="H576">
            <v>6.6085858145498869E-3</v>
          </cell>
          <cell r="I576">
            <v>4.9804572070256947E-4</v>
          </cell>
        </row>
        <row r="577">
          <cell r="A577" t="str">
            <v>RHEM-SHCONBR</v>
          </cell>
          <cell r="B577" t="str">
            <v>VAR_fout</v>
          </cell>
          <cell r="C577" t="str">
            <v>RHEM-SHCON</v>
          </cell>
          <cell r="H577">
            <v>2.9477444594153737E-4</v>
          </cell>
          <cell r="I577">
            <v>3.3509788970752398E-4</v>
          </cell>
          <cell r="J577">
            <v>1.4849373137323599E-3</v>
          </cell>
        </row>
        <row r="578">
          <cell r="A578" t="str">
            <v>RHEM-SHCONBR</v>
          </cell>
          <cell r="B578" t="str">
            <v>VAR_fin</v>
          </cell>
          <cell r="C578" t="str">
            <v>CON</v>
          </cell>
          <cell r="H578">
            <v>2.9477444594153737E-4</v>
          </cell>
          <cell r="I578">
            <v>3.3509788970752398E-4</v>
          </cell>
          <cell r="J578">
            <v>1.4849373137323599E-3</v>
          </cell>
        </row>
        <row r="579">
          <cell r="A579" t="str">
            <v>RHEM-SHCONBR</v>
          </cell>
          <cell r="B579" t="str">
            <v>VAR_ncap</v>
          </cell>
          <cell r="C579" t="str">
            <v>-</v>
          </cell>
          <cell r="H579">
            <v>2.79113314944758E-6</v>
          </cell>
          <cell r="I579">
            <v>3.4917348917922702E-6</v>
          </cell>
          <cell r="J579">
            <v>8.1851222645468901E-5</v>
          </cell>
        </row>
        <row r="580">
          <cell r="A580" t="str">
            <v>RHEM-SHCONBR</v>
          </cell>
          <cell r="B580" t="str">
            <v>VAR_cap</v>
          </cell>
          <cell r="C580" t="str">
            <v>-</v>
          </cell>
          <cell r="H580">
            <v>1.9354606722866959E-5</v>
          </cell>
          <cell r="I580">
            <v>2.282117252082096E-5</v>
          </cell>
          <cell r="J580">
            <v>1.0480508314105564E-4</v>
          </cell>
        </row>
        <row r="581">
          <cell r="A581" t="str">
            <v>RHEM-SHSOLBR</v>
          </cell>
          <cell r="B581" t="str">
            <v>VAR_fout</v>
          </cell>
          <cell r="C581" t="str">
            <v>RHEM-SHASOL</v>
          </cell>
          <cell r="H581">
            <v>1.1500964072640915E-2</v>
          </cell>
          <cell r="I581">
            <v>1.0885615734977596E-2</v>
          </cell>
          <cell r="J581">
            <v>8.9625947389939935E-3</v>
          </cell>
        </row>
        <row r="582">
          <cell r="A582" t="str">
            <v>RHEM-SHSOLBR</v>
          </cell>
          <cell r="B582" t="str">
            <v>VAR_fin</v>
          </cell>
          <cell r="C582" t="str">
            <v>SOL</v>
          </cell>
          <cell r="H582">
            <v>1.1500964072640915E-2</v>
          </cell>
          <cell r="I582">
            <v>1.0885615734977596E-2</v>
          </cell>
          <cell r="J582">
            <v>8.9625947389939935E-3</v>
          </cell>
        </row>
        <row r="583">
          <cell r="A583" t="str">
            <v>RHEM-SHSOLBR</v>
          </cell>
          <cell r="B583" t="str">
            <v>VAR_ncap</v>
          </cell>
          <cell r="C583" t="str">
            <v>-</v>
          </cell>
          <cell r="H583">
            <v>1.3437289264092099E-6</v>
          </cell>
          <cell r="I583">
            <v>1.6874213190450401E-3</v>
          </cell>
          <cell r="J583">
            <v>1.4429507877023601E-4</v>
          </cell>
        </row>
        <row r="584">
          <cell r="A584" t="str">
            <v>RHEM-SHSOLBR</v>
          </cell>
          <cell r="B584" t="str">
            <v>VAR_cap</v>
          </cell>
          <cell r="C584" t="str">
            <v>-</v>
          </cell>
          <cell r="H584">
            <v>1.9275172927250089E-2</v>
          </cell>
          <cell r="I584">
            <v>1.6886550116538678E-3</v>
          </cell>
          <cell r="J584">
            <v>1.3691909848312332E-3</v>
          </cell>
        </row>
        <row r="585">
          <cell r="A585" t="str">
            <v>SCOM-SHH2BR</v>
          </cell>
          <cell r="B585" t="str">
            <v>VAR_ncap</v>
          </cell>
          <cell r="C585" t="str">
            <v>-</v>
          </cell>
          <cell r="H585">
            <v>0.33411678918793503</v>
          </cell>
          <cell r="I585">
            <v>0.711295768209664</v>
          </cell>
          <cell r="J585">
            <v>0.44863956749333</v>
          </cell>
        </row>
        <row r="586">
          <cell r="A586" t="str">
            <v>SCOM-SHH2BR</v>
          </cell>
          <cell r="B586" t="str">
            <v>VAR_cap</v>
          </cell>
          <cell r="C586" t="str">
            <v>-</v>
          </cell>
          <cell r="H586">
            <v>0.33411657915392307</v>
          </cell>
          <cell r="I586">
            <v>1.0454112446753663</v>
          </cell>
          <cell r="J586">
            <v>1.1061788437636184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ITOT-ELS</v>
          </cell>
          <cell r="H587">
            <v>0.36483571524627173</v>
          </cell>
          <cell r="I587">
            <v>0.60616252780180591</v>
          </cell>
          <cell r="J587">
            <v>0.60616376391559612</v>
          </cell>
        </row>
        <row r="588">
          <cell r="A588" t="str">
            <v>ITOT-SWHCONBR1</v>
          </cell>
          <cell r="B588" t="str">
            <v>VAR_fout</v>
          </cell>
          <cell r="C588" t="str">
            <v>ITOT-SWHC</v>
          </cell>
          <cell r="H588">
            <v>1.7343744914295973</v>
          </cell>
          <cell r="I588">
            <v>2.8816061091230547</v>
          </cell>
          <cell r="J588">
            <v>2.8816119854233673</v>
          </cell>
        </row>
        <row r="589">
          <cell r="A589" t="str">
            <v>ITOT-SWHCONBR1</v>
          </cell>
          <cell r="B589" t="str">
            <v>VAR_fin</v>
          </cell>
          <cell r="C589" t="str">
            <v>CON</v>
          </cell>
          <cell r="H589">
            <v>2.0992102066758682</v>
          </cell>
          <cell r="I589">
            <v>3.4877686369248586</v>
          </cell>
          <cell r="J589">
            <v>3.4877757493389634</v>
          </cell>
        </row>
        <row r="590">
          <cell r="A590" t="str">
            <v>ITOT-SWHCONBR1</v>
          </cell>
          <cell r="B590" t="str">
            <v>VAR_ncap</v>
          </cell>
          <cell r="C590" t="str">
            <v>-</v>
          </cell>
          <cell r="H590">
            <v>5.5261098688896698E-2</v>
          </cell>
          <cell r="I590">
            <v>0.13386968564343399</v>
          </cell>
          <cell r="J590">
            <v>6.9182393142694004E-2</v>
          </cell>
        </row>
        <row r="591">
          <cell r="A591" t="str">
            <v>ITOT-SWHCONBR1</v>
          </cell>
          <cell r="B591" t="str">
            <v>VAR_cap</v>
          </cell>
          <cell r="C591" t="str">
            <v>-</v>
          </cell>
          <cell r="H591">
            <v>0.11416898859312601</v>
          </cell>
          <cell r="I591">
            <v>0.18971280131064799</v>
          </cell>
          <cell r="J591">
            <v>0.189711261017602</v>
          </cell>
        </row>
        <row r="592">
          <cell r="A592" t="str">
            <v>SCOM-SHLTHCHPWOD</v>
          </cell>
          <cell r="B592" t="str">
            <v>VAR_ncap</v>
          </cell>
          <cell r="C592" t="str">
            <v>-</v>
          </cell>
          <cell r="H592">
            <v>2.48627964254231E-4</v>
          </cell>
          <cell r="I592">
            <v>1.5418485837086099E-4</v>
          </cell>
          <cell r="J592">
            <v>6.0047631307533501E-5</v>
          </cell>
        </row>
        <row r="593">
          <cell r="A593" t="str">
            <v>SCOM-SHLTHCHPWOD</v>
          </cell>
          <cell r="B593" t="str">
            <v>VAR_cap</v>
          </cell>
          <cell r="C593" t="str">
            <v>-</v>
          </cell>
          <cell r="H593">
            <v>3.1295143070403998E-4</v>
          </cell>
          <cell r="I593">
            <v>2.4518534974227104E-4</v>
          </cell>
          <cell r="J593">
            <v>1.05462667605142E-4</v>
          </cell>
        </row>
        <row r="594">
          <cell r="A594" t="str">
            <v>SCOM-SHSTG-NGAHP</v>
          </cell>
          <cell r="B594" t="str">
            <v>VAR_fout</v>
          </cell>
          <cell r="C594" t="str">
            <v>SCOM-SHANGAH</v>
          </cell>
          <cell r="H594">
            <v>3.2064888345006913E-5</v>
          </cell>
          <cell r="I594">
            <v>3.599562005233555E-5</v>
          </cell>
          <cell r="J594">
            <v>1.3175604257750802E-5</v>
          </cell>
        </row>
        <row r="595">
          <cell r="A595" t="str">
            <v>SCOM-SHSTG-NGAHP</v>
          </cell>
          <cell r="B595" t="str">
            <v>VAR_fin</v>
          </cell>
          <cell r="C595" t="str">
            <v>SCOM-SHANGAH</v>
          </cell>
          <cell r="H595">
            <v>3.7890954694362537E-5</v>
          </cell>
          <cell r="I595">
            <v>3.2647306240328968E-5</v>
          </cell>
          <cell r="J595">
            <v>1.0473843118279114E-5</v>
          </cell>
        </row>
        <row r="596">
          <cell r="A596" t="str">
            <v>SCOM-SHSTG-NGAHP</v>
          </cell>
          <cell r="B596" t="str">
            <v>VAR_ncap</v>
          </cell>
          <cell r="C596" t="str">
            <v>-</v>
          </cell>
          <cell r="H596">
            <v>3.6671253491822597E-2</v>
          </cell>
          <cell r="I596">
            <v>0.105182549679621</v>
          </cell>
          <cell r="J596">
            <v>0.116321740230504</v>
          </cell>
        </row>
        <row r="597">
          <cell r="A597" t="str">
            <v>SCOM-SHSTG-NGAHP</v>
          </cell>
          <cell r="B597" t="str">
            <v>VAR_cap</v>
          </cell>
          <cell r="C597" t="str">
            <v>-</v>
          </cell>
          <cell r="H597">
            <v>0.15704149058531222</v>
          </cell>
          <cell r="I597">
            <v>0.20217673276866707</v>
          </cell>
          <cell r="J597">
            <v>0.20808566597354725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ITOT-ELS</v>
          </cell>
          <cell r="H598">
            <v>5.9074997583089385E-4</v>
          </cell>
          <cell r="I598">
            <v>1.2791865940922711E-2</v>
          </cell>
          <cell r="J598">
            <v>1.2790125522280267E-2</v>
          </cell>
        </row>
        <row r="599">
          <cell r="A599" t="str">
            <v>ITOT-SWHCONBR2</v>
          </cell>
          <cell r="B599" t="str">
            <v>VAR_fout</v>
          </cell>
          <cell r="C599" t="str">
            <v>ITOT-SWHC</v>
          </cell>
          <cell r="H599">
            <v>9.1318641000663787E-4</v>
          </cell>
          <cell r="I599">
            <v>1.9773776747849175E-2</v>
          </cell>
          <cell r="J599">
            <v>1.9771086393694268E-2</v>
          </cell>
        </row>
        <row r="600">
          <cell r="A600" t="str">
            <v>ITOT-SWHCONBR2</v>
          </cell>
          <cell r="B600" t="str">
            <v>VAR_fin</v>
          </cell>
          <cell r="C600" t="str">
            <v>CON</v>
          </cell>
          <cell r="H600">
            <v>1.5039363858375303E-3</v>
          </cell>
          <cell r="I600">
            <v>3.2565642688771865E-2</v>
          </cell>
          <cell r="J600">
            <v>3.2561211915974546E-2</v>
          </cell>
        </row>
        <row r="601">
          <cell r="A601" t="str">
            <v>ITOT-SWHCONBR2</v>
          </cell>
          <cell r="B601" t="str">
            <v>VAR_ncap</v>
          </cell>
          <cell r="C601" t="str">
            <v>-</v>
          </cell>
          <cell r="H601">
            <v>4.4002737614820802E-5</v>
          </cell>
          <cell r="I601">
            <v>1.7014051253172601E-3</v>
          </cell>
          <cell r="J601">
            <v>5.1712432871073603E-4</v>
          </cell>
        </row>
        <row r="602">
          <cell r="A602" t="str">
            <v>ITOT-SWHCONBR2</v>
          </cell>
          <cell r="B602" t="str">
            <v>VAR_cap</v>
          </cell>
          <cell r="C602" t="str">
            <v>-</v>
          </cell>
          <cell r="H602">
            <v>8.0905619447000407E-5</v>
          </cell>
          <cell r="I602">
            <v>1.7706120260103E-3</v>
          </cell>
          <cell r="J602">
            <v>1.770503988503E-3</v>
          </cell>
        </row>
        <row r="603">
          <cell r="A603" t="str">
            <v>RHES-SHCONBR1</v>
          </cell>
          <cell r="B603" t="str">
            <v>VAR_fout</v>
          </cell>
          <cell r="C603" t="str">
            <v>RHES-SHCON</v>
          </cell>
          <cell r="H603">
            <v>4.2467286706015406</v>
          </cell>
          <cell r="I603">
            <v>4.7760826401822829</v>
          </cell>
          <cell r="J603">
            <v>6.4142461369570078</v>
          </cell>
        </row>
        <row r="604">
          <cell r="A604" t="str">
            <v>RHES-SHCONBR1</v>
          </cell>
          <cell r="B604" t="str">
            <v>VAR_fin</v>
          </cell>
          <cell r="C604" t="str">
            <v>CON</v>
          </cell>
          <cell r="H604">
            <v>4.2467286706015406</v>
          </cell>
          <cell r="I604">
            <v>4.7760826401822829</v>
          </cell>
          <cell r="J604">
            <v>6.4142461369570078</v>
          </cell>
        </row>
        <row r="605">
          <cell r="A605" t="str">
            <v>RHES-SHCONBR1</v>
          </cell>
          <cell r="B605" t="str">
            <v>VAR_ncap</v>
          </cell>
          <cell r="C605" t="str">
            <v>-</v>
          </cell>
          <cell r="H605">
            <v>0.12763621109669901</v>
          </cell>
          <cell r="I605">
            <v>4.2766084655214101E-2</v>
          </cell>
          <cell r="J605">
            <v>0.174259547678246</v>
          </cell>
        </row>
        <row r="606">
          <cell r="A606" t="str">
            <v>RHES-SHCONBR1</v>
          </cell>
          <cell r="B606" t="str">
            <v>VAR_cap</v>
          </cell>
          <cell r="C606" t="str">
            <v>-</v>
          </cell>
          <cell r="H606">
            <v>0.34309975014274235</v>
          </cell>
          <cell r="I606">
            <v>0.38586592547682769</v>
          </cell>
          <cell r="J606">
            <v>0.51820167742475709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ITOT-ELS</v>
          </cell>
          <cell r="H607">
            <v>3.1359576830702039E-4</v>
          </cell>
          <cell r="I607">
            <v>4.6109113189602493E-4</v>
          </cell>
          <cell r="J607">
            <v>4.5980528542788801E-4</v>
          </cell>
        </row>
        <row r="608">
          <cell r="A608" t="str">
            <v>ITOT-SWHCONBR3</v>
          </cell>
          <cell r="B608" t="str">
            <v>VAR_fout</v>
          </cell>
          <cell r="C608" t="str">
            <v>ITOT-SWHC</v>
          </cell>
          <cell r="H608">
            <v>6.2234859142469101E-4</v>
          </cell>
          <cell r="I608">
            <v>9.1506150737648056E-4</v>
          </cell>
          <cell r="J608">
            <v>9.1250967211877322E-4</v>
          </cell>
        </row>
        <row r="609">
          <cell r="A609" t="str">
            <v>ITOT-SWHCONBR3</v>
          </cell>
          <cell r="B609" t="str">
            <v>VAR_fin</v>
          </cell>
          <cell r="C609" t="str">
            <v>CON</v>
          </cell>
          <cell r="H609">
            <v>9.3594435973171162E-4</v>
          </cell>
          <cell r="I609">
            <v>1.3761526392725057E-3</v>
          </cell>
          <cell r="J609">
            <v>1.3723149575466608E-3</v>
          </cell>
        </row>
        <row r="610">
          <cell r="A610" t="str">
            <v>ITOT-SWHCONBR3</v>
          </cell>
          <cell r="B610" t="str">
            <v>VAR_ncap</v>
          </cell>
          <cell r="C610" t="str">
            <v>-</v>
          </cell>
          <cell r="H610">
            <v>1.9999226140453398E-5</v>
          </cell>
          <cell r="I610">
            <v>3.3406266830121297E-5</v>
          </cell>
          <cell r="J610">
            <v>4.0980486652338603E-5</v>
          </cell>
        </row>
        <row r="611">
          <cell r="A611" t="str">
            <v>ITOT-SWHCONBR3</v>
          </cell>
          <cell r="B611" t="str">
            <v>VAR_cap</v>
          </cell>
          <cell r="C611" t="str">
            <v>-</v>
          </cell>
          <cell r="H611">
            <v>4.9721670660519599E-5</v>
          </cell>
          <cell r="I611">
            <v>7.3705515667283098E-5</v>
          </cell>
          <cell r="J611">
            <v>7.3684100086914201E-5</v>
          </cell>
        </row>
        <row r="612">
          <cell r="A612" t="str">
            <v>ITOT-ELCSPECADV</v>
          </cell>
          <cell r="B612" t="str">
            <v>VAR_fout</v>
          </cell>
          <cell r="C612" t="str">
            <v>ITOT-ELS</v>
          </cell>
          <cell r="H612">
            <v>1.0199052075323446E-3</v>
          </cell>
          <cell r="I612">
            <v>1.2117861138476798E-3</v>
          </cell>
          <cell r="J612">
            <v>8.5929308459839937E-4</v>
          </cell>
        </row>
        <row r="613">
          <cell r="A613" t="str">
            <v>ITOT-ELCSPECADV</v>
          </cell>
          <cell r="B613" t="str">
            <v>VAR_fin</v>
          </cell>
          <cell r="C613" t="str">
            <v>ITOT_ELC</v>
          </cell>
          <cell r="H613">
            <v>9.4874903026264626E-4</v>
          </cell>
          <cell r="I613">
            <v>1.1016237398615268E-3</v>
          </cell>
          <cell r="J613">
            <v>7.4721137791165229E-4</v>
          </cell>
        </row>
        <row r="614">
          <cell r="A614" t="str">
            <v>ITOT-ELCSPECADV</v>
          </cell>
          <cell r="B614" t="str">
            <v>VAR_ncap</v>
          </cell>
          <cell r="C614" t="str">
            <v>-</v>
          </cell>
          <cell r="H614">
            <v>2.5307405339315701E-5</v>
          </cell>
          <cell r="I614">
            <v>1.60251375714122E-6</v>
          </cell>
          <cell r="J614">
            <v>6.6943111703142398E-7</v>
          </cell>
        </row>
        <row r="615">
          <cell r="A615" t="str">
            <v>ITOT-ELCSPECADV</v>
          </cell>
          <cell r="B615" t="str">
            <v>VAR_cap</v>
          </cell>
          <cell r="C615" t="str">
            <v>-</v>
          </cell>
          <cell r="H615">
            <v>7.5363732839615316E-5</v>
          </cell>
          <cell r="I615">
            <v>7.6576387767885327E-5</v>
          </cell>
          <cell r="J615">
            <v>5.9230116390529349E-5</v>
          </cell>
        </row>
        <row r="616">
          <cell r="A616" t="str">
            <v>RHES-SHELCBR</v>
          </cell>
          <cell r="B616" t="str">
            <v>VAR_fout</v>
          </cell>
          <cell r="C616" t="str">
            <v>RHES-SHAELCB</v>
          </cell>
          <cell r="H616">
            <v>1.35225020652339E-2</v>
          </cell>
          <cell r="I616">
            <v>3.3874163171443527E-3</v>
          </cell>
          <cell r="J616">
            <v>1.8935482552378906E-3</v>
          </cell>
        </row>
        <row r="617">
          <cell r="A617" t="str">
            <v>RHES-SHELCBR</v>
          </cell>
          <cell r="B617" t="str">
            <v>VAR_fin</v>
          </cell>
          <cell r="C617" t="str">
            <v>RHES_ELC</v>
          </cell>
          <cell r="H617">
            <v>1.473863019305567E-2</v>
          </cell>
          <cell r="I617">
            <v>3.6526246298731169E-3</v>
          </cell>
          <cell r="J617">
            <v>2.0044882595277396E-3</v>
          </cell>
        </row>
        <row r="618">
          <cell r="A618" t="str">
            <v>RHES-SHELCBR</v>
          </cell>
          <cell r="B618" t="str">
            <v>VAR_ncap</v>
          </cell>
          <cell r="C618" t="str">
            <v>-</v>
          </cell>
          <cell r="H618">
            <v>1.41073004544811E-6</v>
          </cell>
          <cell r="I618">
            <v>3.7115459989965199E-4</v>
          </cell>
          <cell r="J618">
            <v>3.5231386873533599E-7</v>
          </cell>
        </row>
        <row r="619">
          <cell r="A619" t="str">
            <v>RHES-SHELCBR</v>
          </cell>
          <cell r="B619" t="str">
            <v>VAR_cap</v>
          </cell>
          <cell r="C619" t="str">
            <v>-</v>
          </cell>
          <cell r="H619">
            <v>2.0104811565879732E-3</v>
          </cell>
          <cell r="I619">
            <v>3.7205851030776033E-4</v>
          </cell>
          <cell r="J619">
            <v>2.6422344114864892E-4</v>
          </cell>
        </row>
        <row r="620">
          <cell r="A620" t="str">
            <v>RHSA-WHELCBR</v>
          </cell>
          <cell r="B620" t="str">
            <v>VAR_fout</v>
          </cell>
          <cell r="C620" t="str">
            <v>RHSA-WHAELCB</v>
          </cell>
          <cell r="H620">
            <v>1.8599513562153627</v>
          </cell>
          <cell r="I620">
            <v>1.721461974977869</v>
          </cell>
          <cell r="J620">
            <v>1.5550576850566278</v>
          </cell>
        </row>
        <row r="621">
          <cell r="A621" t="str">
            <v>RHSA-WHELCBR</v>
          </cell>
          <cell r="B621" t="str">
            <v>VAR_fin</v>
          </cell>
          <cell r="C621" t="str">
            <v>RHSA_ELC</v>
          </cell>
          <cell r="H621">
            <v>3.7484306322290259</v>
          </cell>
          <cell r="I621">
            <v>3.4107593038877249</v>
          </cell>
          <cell r="J621">
            <v>2.9944318464750386</v>
          </cell>
        </row>
        <row r="622">
          <cell r="A622" t="str">
            <v>RHSA-WHELCBR</v>
          </cell>
          <cell r="B622" t="str">
            <v>VAR_ncap</v>
          </cell>
          <cell r="C622" t="str">
            <v>-</v>
          </cell>
          <cell r="H622">
            <v>5.1613732572537499E-2</v>
          </cell>
          <cell r="I622">
            <v>8.4490630419297996E-2</v>
          </cell>
          <cell r="J622">
            <v>3.6445143999518599E-2</v>
          </cell>
        </row>
        <row r="623">
          <cell r="A623" t="str">
            <v>RHSA-WHELCBR</v>
          </cell>
          <cell r="B623" t="str">
            <v>VAR_cap</v>
          </cell>
          <cell r="C623" t="str">
            <v>-</v>
          </cell>
          <cell r="H623">
            <v>0.12736646160914911</v>
          </cell>
          <cell r="I623">
            <v>0.13610347696779987</v>
          </cell>
          <cell r="J623">
            <v>0.11959424265987004</v>
          </cell>
        </row>
        <row r="624">
          <cell r="A624" t="str">
            <v>ITOT-SWHLTHDH</v>
          </cell>
          <cell r="B624" t="str">
            <v>VAR_fout</v>
          </cell>
          <cell r="C624" t="str">
            <v>ITOT-SWH</v>
          </cell>
          <cell r="H624">
            <v>7.166044275130516</v>
          </cell>
          <cell r="I624">
            <v>7.2037075954410907</v>
          </cell>
          <cell r="J624">
            <v>9.0034108357218194</v>
          </cell>
        </row>
        <row r="625">
          <cell r="A625" t="str">
            <v>ITOT-SWHLTHDH</v>
          </cell>
          <cell r="B625" t="str">
            <v>VAR_fin</v>
          </cell>
          <cell r="C625" t="str">
            <v>ITOT_LTH_DH</v>
          </cell>
          <cell r="H625">
            <v>7.628913126043809</v>
          </cell>
          <cell r="I625">
            <v>7.6288053817306789</v>
          </cell>
          <cell r="J625">
            <v>9.4772745639177138</v>
          </cell>
        </row>
        <row r="626">
          <cell r="A626" t="str">
            <v>ITOT-SWHLTHDH</v>
          </cell>
          <cell r="B626" t="str">
            <v>VAR_fin</v>
          </cell>
          <cell r="C626" t="str">
            <v>ITOTLTHDHC</v>
          </cell>
          <cell r="H626">
            <v>7.166044275130516</v>
          </cell>
          <cell r="I626">
            <v>7.2037075954410907</v>
          </cell>
          <cell r="J626">
            <v>9.0034108357218194</v>
          </cell>
        </row>
        <row r="627">
          <cell r="A627" t="str">
            <v>ITOT-SWHLTHDH</v>
          </cell>
          <cell r="B627" t="str">
            <v>VAR_ncap</v>
          </cell>
          <cell r="C627" t="str">
            <v>-</v>
          </cell>
          <cell r="H627">
            <v>0.25500271657472301</v>
          </cell>
          <cell r="I627">
            <v>0.33261874032397798</v>
          </cell>
          <cell r="J627">
            <v>0.47360794849300902</v>
          </cell>
        </row>
        <row r="628">
          <cell r="A628" t="str">
            <v>ITOT-SWHLTHDH</v>
          </cell>
          <cell r="B628" t="str">
            <v>VAR_cap</v>
          </cell>
          <cell r="C628" t="str">
            <v>-</v>
          </cell>
          <cell r="H628">
            <v>0.52663706405261612</v>
          </cell>
          <cell r="I628">
            <v>0.59893288137141742</v>
          </cell>
          <cell r="J628">
            <v>0.77713667145052412</v>
          </cell>
        </row>
        <row r="629">
          <cell r="A629" t="str">
            <v>RHES-SHCONBR2</v>
          </cell>
          <cell r="B629" t="str">
            <v>VAR_fout</v>
          </cell>
          <cell r="C629" t="str">
            <v>RHES-SHCON</v>
          </cell>
          <cell r="H629">
            <v>1.4194676860662461</v>
          </cell>
          <cell r="I629">
            <v>2.9190844690353503</v>
          </cell>
          <cell r="J629">
            <v>4.668079078678681</v>
          </cell>
        </row>
        <row r="630">
          <cell r="A630" t="str">
            <v>RHES-SHCONBR2</v>
          </cell>
          <cell r="B630" t="str">
            <v>VAR_fin</v>
          </cell>
          <cell r="C630" t="str">
            <v>CON</v>
          </cell>
          <cell r="H630">
            <v>1.4194676860662461</v>
          </cell>
          <cell r="I630">
            <v>2.9190844690353503</v>
          </cell>
          <cell r="J630">
            <v>4.668079078678681</v>
          </cell>
        </row>
        <row r="631">
          <cell r="A631" t="str">
            <v>RHES-SHCONBR2</v>
          </cell>
          <cell r="B631" t="str">
            <v>VAR_ncap</v>
          </cell>
          <cell r="C631" t="str">
            <v>-</v>
          </cell>
          <cell r="H631">
            <v>4.8152619453512603E-2</v>
          </cell>
          <cell r="I631">
            <v>0.121151510566231</v>
          </cell>
          <cell r="J631">
            <v>0.17179974586994601</v>
          </cell>
        </row>
        <row r="632">
          <cell r="A632" t="str">
            <v>RHES-SHCONBR2</v>
          </cell>
          <cell r="B632" t="str">
            <v>VAR_cap</v>
          </cell>
          <cell r="C632" t="str">
            <v>-</v>
          </cell>
          <cell r="H632">
            <v>0.11469162363124742</v>
          </cell>
          <cell r="I632">
            <v>0.23584322233692542</v>
          </cell>
          <cell r="J632">
            <v>0.37713217699612511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ITOT-ELS</v>
          </cell>
          <cell r="H633">
            <v>5.6890633280093525E-5</v>
          </cell>
          <cell r="I633">
            <v>6.4422667643903339E-5</v>
          </cell>
          <cell r="J633">
            <v>6.3987311654806789E-5</v>
          </cell>
        </row>
        <row r="634">
          <cell r="A634" t="str">
            <v>ITOT-SWHCONBR4</v>
          </cell>
          <cell r="B634" t="str">
            <v>VAR_fout</v>
          </cell>
          <cell r="C634" t="str">
            <v>ITOT-SWHC</v>
          </cell>
          <cell r="H634">
            <v>6.1137737709354104E-4</v>
          </cell>
          <cell r="I634">
            <v>6.923206738723394E-4</v>
          </cell>
          <cell r="J634">
            <v>6.8764210400293108E-4</v>
          </cell>
        </row>
        <row r="635">
          <cell r="A635" t="str">
            <v>ITOT-SWHCONBR4</v>
          </cell>
          <cell r="B635" t="str">
            <v>VAR_fin</v>
          </cell>
          <cell r="C635" t="str">
            <v>CON</v>
          </cell>
          <cell r="H635">
            <v>6.6826801037363486E-4</v>
          </cell>
          <cell r="I635">
            <v>7.5674334151624274E-4</v>
          </cell>
          <cell r="J635">
            <v>7.5162941565773877E-4</v>
          </cell>
        </row>
        <row r="636">
          <cell r="A636" t="str">
            <v>ITOT-SWHCONBR4</v>
          </cell>
          <cell r="B636" t="str">
            <v>VAR_ncap</v>
          </cell>
          <cell r="C636" t="str">
            <v>-</v>
          </cell>
          <cell r="H636">
            <v>3.3722448871689201E-5</v>
          </cell>
          <cell r="I636">
            <v>5.9684707211955898E-6</v>
          </cell>
          <cell r="J636">
            <v>2.1189551792891401E-5</v>
          </cell>
        </row>
        <row r="637">
          <cell r="A637" t="str">
            <v>ITOT-SWHCONBR4</v>
          </cell>
          <cell r="B637" t="str">
            <v>VAR_cap</v>
          </cell>
          <cell r="C637" t="str">
            <v>-</v>
          </cell>
          <cell r="H637">
            <v>3.3722448871689201E-5</v>
          </cell>
          <cell r="I637">
            <v>3.9690919592884799E-5</v>
          </cell>
          <cell r="J637">
            <v>3.97854865844592E-5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ITOT_ELC</v>
          </cell>
          <cell r="H638">
            <v>0.66592012348434837</v>
          </cell>
          <cell r="I638">
            <v>8.8593159242614017E-2</v>
          </cell>
          <cell r="J638">
            <v>0.63507081527148046</v>
          </cell>
        </row>
        <row r="639">
          <cell r="A639" t="str">
            <v>D-ITOT_NKEV_GAS_ELC_CHP</v>
          </cell>
          <cell r="B639" t="str">
            <v>VAR_fout</v>
          </cell>
          <cell r="C639" t="str">
            <v>ELC5</v>
          </cell>
          <cell r="H639">
            <v>4.0763806463562343E-3</v>
          </cell>
          <cell r="I639">
            <v>1.2386521221002646E-2</v>
          </cell>
          <cell r="J639">
            <v>3.4918050248341742E-2</v>
          </cell>
        </row>
        <row r="640">
          <cell r="A640" t="str">
            <v>D-ITOT_NKEV_GAS_ELC_CHP</v>
          </cell>
          <cell r="B640" t="str">
            <v>VAR_fin</v>
          </cell>
          <cell r="C640" t="str">
            <v>ITOT_NKEV_GAS_ELC_CHP</v>
          </cell>
          <cell r="H640">
            <v>0.66999650413070477</v>
          </cell>
          <cell r="I640">
            <v>0.10097968046361656</v>
          </cell>
          <cell r="J640">
            <v>0.66998886551982262</v>
          </cell>
        </row>
        <row r="641">
          <cell r="A641" t="str">
            <v>SCOM-SHELCBR</v>
          </cell>
          <cell r="B641" t="str">
            <v>VAR_fout</v>
          </cell>
          <cell r="C641" t="str">
            <v>SCOM-SHAELCB</v>
          </cell>
          <cell r="H641">
            <v>0.26580475042885809</v>
          </cell>
          <cell r="I641">
            <v>0.21829759037098323</v>
          </cell>
          <cell r="J641">
            <v>0.15816825140305957</v>
          </cell>
        </row>
        <row r="642">
          <cell r="A642" t="str">
            <v>SCOM-SHELCBR</v>
          </cell>
          <cell r="B642" t="str">
            <v>VAR_fin</v>
          </cell>
          <cell r="C642" t="str">
            <v>SCOM_ELC</v>
          </cell>
          <cell r="H642">
            <v>0.53076750963233255</v>
          </cell>
          <cell r="I642">
            <v>0.4292570677321233</v>
          </cell>
          <cell r="J642">
            <v>0.29820509466691936</v>
          </cell>
        </row>
        <row r="643">
          <cell r="A643" t="str">
            <v>SCOM-SHELCBR</v>
          </cell>
          <cell r="B643" t="str">
            <v>VAR_ncap</v>
          </cell>
          <cell r="C643" t="str">
            <v>-</v>
          </cell>
          <cell r="H643">
            <v>1.26200486402858E-2</v>
          </cell>
          <cell r="I643">
            <v>1.08164659174807E-2</v>
          </cell>
          <cell r="J643">
            <v>3.5284816113063202E-3</v>
          </cell>
        </row>
        <row r="644">
          <cell r="A644" t="str">
            <v>SCOM-SHELCBR</v>
          </cell>
          <cell r="B644" t="str">
            <v>VAR_cap</v>
          </cell>
          <cell r="C644" t="str">
            <v>-</v>
          </cell>
          <cell r="H644">
            <v>2.2848519527311498E-2</v>
          </cell>
          <cell r="I644">
            <v>2.3435157655494383E-2</v>
          </cell>
          <cell r="J644">
            <v>1.6714027720860454E-2</v>
          </cell>
        </row>
        <row r="645">
          <cell r="A645" t="str">
            <v>RHES-SHCONBR3</v>
          </cell>
          <cell r="B645" t="str">
            <v>VAR_fout</v>
          </cell>
          <cell r="C645" t="str">
            <v>RHES-SHCON</v>
          </cell>
          <cell r="H645">
            <v>0.69148526551758926</v>
          </cell>
          <cell r="I645">
            <v>0.69147261085180678</v>
          </cell>
          <cell r="J645">
            <v>1.8475993197461857</v>
          </cell>
        </row>
        <row r="646">
          <cell r="A646" t="str">
            <v>RHES-SHCONBR3</v>
          </cell>
          <cell r="B646" t="str">
            <v>VAR_fin</v>
          </cell>
          <cell r="C646" t="str">
            <v>CON</v>
          </cell>
          <cell r="H646">
            <v>0.69148526551758926</v>
          </cell>
          <cell r="I646">
            <v>0.69147261085180678</v>
          </cell>
          <cell r="J646">
            <v>1.8475993197461857</v>
          </cell>
        </row>
        <row r="647">
          <cell r="A647" t="str">
            <v>RHES-SHCONBR3</v>
          </cell>
          <cell r="B647" t="str">
            <v>VAR_ncap</v>
          </cell>
          <cell r="C647" t="str">
            <v>-</v>
          </cell>
          <cell r="H647">
            <v>9.2972231862463305E-8</v>
          </cell>
          <cell r="I647">
            <v>1.15508031313712E-7</v>
          </cell>
          <cell r="J647">
            <v>0.11704953190872</v>
          </cell>
        </row>
        <row r="648">
          <cell r="A648" t="str">
            <v>RHES-SHCONBR3</v>
          </cell>
          <cell r="B648" t="str">
            <v>VAR_cap</v>
          </cell>
          <cell r="C648" t="str">
            <v>-</v>
          </cell>
          <cell r="H648">
            <v>5.5877266097116789E-2</v>
          </cell>
          <cell r="I648">
            <v>5.5877464653945053E-2</v>
          </cell>
          <cell r="J648">
            <v>0.14926649613806939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ITOT-ELS</v>
          </cell>
          <cell r="H649">
            <v>1.0126219149032987E-4</v>
          </cell>
          <cell r="I649">
            <v>1.1227015649052808E-4</v>
          </cell>
          <cell r="J649">
            <v>1.1132653455715212E-4</v>
          </cell>
        </row>
        <row r="650">
          <cell r="A650" t="str">
            <v>ITOT-SWHCONBR5</v>
          </cell>
          <cell r="B650" t="str">
            <v>VAR_fout</v>
          </cell>
          <cell r="C650" t="str">
            <v>ITOT-SWHC</v>
          </cell>
          <cell r="H650">
            <v>4.9667854112552619E-4</v>
          </cell>
          <cell r="I650">
            <v>5.5067124972280523E-4</v>
          </cell>
          <cell r="J650">
            <v>5.4604290069790856E-4</v>
          </cell>
        </row>
        <row r="651">
          <cell r="A651" t="str">
            <v>ITOT-SWHCONBR5</v>
          </cell>
          <cell r="B651" t="str">
            <v>VAR_fin</v>
          </cell>
          <cell r="C651" t="str">
            <v>CON</v>
          </cell>
          <cell r="H651">
            <v>5.9794073261585561E-4</v>
          </cell>
          <cell r="I651">
            <v>6.6294140621333305E-4</v>
          </cell>
          <cell r="J651">
            <v>6.5736943525506028E-4</v>
          </cell>
        </row>
        <row r="652">
          <cell r="A652" t="str">
            <v>ITOT-SWHCONBR5</v>
          </cell>
          <cell r="B652" t="str">
            <v>VAR_ncap</v>
          </cell>
          <cell r="C652" t="str">
            <v>-</v>
          </cell>
          <cell r="H652">
            <v>3.0137988214616901E-5</v>
          </cell>
          <cell r="I652">
            <v>4.3033068501083999E-6</v>
          </cell>
          <cell r="J652">
            <v>1.8769928986090402E-5</v>
          </cell>
        </row>
        <row r="653">
          <cell r="A653" t="str">
            <v>ITOT-SWHCONBR5</v>
          </cell>
          <cell r="B653" t="str">
            <v>VAR_cap</v>
          </cell>
          <cell r="C653" t="str">
            <v>-</v>
          </cell>
          <cell r="H653">
            <v>3.0137988214616901E-5</v>
          </cell>
          <cell r="I653">
            <v>3.4441295064725302E-5</v>
          </cell>
          <cell r="J653">
            <v>3.4641190847771203E-5</v>
          </cell>
        </row>
        <row r="654">
          <cell r="A654" t="str">
            <v>RHES-SHSTG-ELC</v>
          </cell>
          <cell r="B654" t="str">
            <v>VAR_fout</v>
          </cell>
          <cell r="C654" t="str">
            <v>RHES-SHAELCB</v>
          </cell>
          <cell r="H654">
            <v>1.545368057652095E-3</v>
          </cell>
          <cell r="I654">
            <v>3.2031290230542878E-4</v>
          </cell>
          <cell r="J654">
            <v>2.2584802141376853E-4</v>
          </cell>
        </row>
        <row r="655">
          <cell r="A655" t="str">
            <v>RHES-SHSTG-ELC</v>
          </cell>
          <cell r="B655" t="str">
            <v>VAR_fout</v>
          </cell>
          <cell r="C655" t="str">
            <v>AUX_RHES-SHSTG-ELC_OUT</v>
          </cell>
          <cell r="H655">
            <v>1.5469134257097466E-3</v>
          </cell>
          <cell r="I655">
            <v>3.206332152077343E-4</v>
          </cell>
          <cell r="J655">
            <v>2.260738694351823E-4</v>
          </cell>
        </row>
        <row r="656">
          <cell r="A656" t="str">
            <v>RHES-SHSTG-ELC</v>
          </cell>
          <cell r="B656" t="str">
            <v>VAR_fin</v>
          </cell>
          <cell r="C656" t="str">
            <v>RHES-SHAELCB</v>
          </cell>
          <cell r="H656">
            <v>1.5460300846008332E-3</v>
          </cell>
          <cell r="I656">
            <v>3.2175009766313608E-4</v>
          </cell>
          <cell r="J656">
            <v>2.2671552847569151E-4</v>
          </cell>
        </row>
        <row r="657">
          <cell r="A657" t="str">
            <v>RHES-SHSTG-ELC</v>
          </cell>
          <cell r="B657" t="str">
            <v>VAR_ncap</v>
          </cell>
          <cell r="C657" t="str">
            <v>-</v>
          </cell>
          <cell r="H657">
            <v>3.2501347711090097E-5</v>
          </cell>
          <cell r="I657">
            <v>5.5358730796664598E-5</v>
          </cell>
          <cell r="J657">
            <v>2.17178003741505E-5</v>
          </cell>
        </row>
        <row r="658">
          <cell r="A658" t="str">
            <v>RHES-SHSTG-ELC</v>
          </cell>
          <cell r="B658" t="str">
            <v>VAR_cap</v>
          </cell>
          <cell r="C658" t="str">
            <v>-</v>
          </cell>
          <cell r="H658">
            <v>3.5465659893100035E-4</v>
          </cell>
          <cell r="I658">
            <v>6.6878156618354007E-5</v>
          </cell>
          <cell r="J658">
            <v>4.7539856547672898E-5</v>
          </cell>
        </row>
        <row r="659">
          <cell r="A659" t="str">
            <v>RHES-SHCONBR4</v>
          </cell>
          <cell r="B659" t="str">
            <v>VAR_fout</v>
          </cell>
          <cell r="C659" t="str">
            <v>RHES-SHCON</v>
          </cell>
          <cell r="H659">
            <v>0.42650667964723687</v>
          </cell>
          <cell r="I659">
            <v>0.42649908956236993</v>
          </cell>
          <cell r="J659">
            <v>0.24663252414911349</v>
          </cell>
        </row>
        <row r="660">
          <cell r="A660" t="str">
            <v>RHES-SHCONBR4</v>
          </cell>
          <cell r="B660" t="str">
            <v>VAR_fin</v>
          </cell>
          <cell r="C660" t="str">
            <v>CON</v>
          </cell>
          <cell r="H660">
            <v>0.42650667964723687</v>
          </cell>
          <cell r="I660">
            <v>0.42649908956236993</v>
          </cell>
          <cell r="J660">
            <v>0.24663252414911349</v>
          </cell>
        </row>
        <row r="661">
          <cell r="A661" t="str">
            <v>RHES-SHCONBR4</v>
          </cell>
          <cell r="B661" t="str">
            <v>VAR_ncap</v>
          </cell>
          <cell r="C661" t="str">
            <v>-</v>
          </cell>
          <cell r="H661">
            <v>5.07283251095936E-8</v>
          </cell>
          <cell r="I661">
            <v>5.3758613667374398E-8</v>
          </cell>
          <cell r="J661">
            <v>3.6438266318471301E-7</v>
          </cell>
        </row>
        <row r="662">
          <cell r="A662" t="str">
            <v>RHES-SHCONBR4</v>
          </cell>
          <cell r="B662" t="str">
            <v>VAR_cap</v>
          </cell>
          <cell r="C662" t="str">
            <v>-</v>
          </cell>
          <cell r="H662">
            <v>3.4470637019788232E-2</v>
          </cell>
          <cell r="I662">
            <v>3.4470701840377371E-2</v>
          </cell>
          <cell r="J662">
            <v>1.9928016102019261E-2</v>
          </cell>
        </row>
        <row r="663">
          <cell r="A663" t="str">
            <v>ITOT-SWHCONBR6</v>
          </cell>
          <cell r="B663" t="str">
            <v>VAR_fout</v>
          </cell>
          <cell r="C663" t="str">
            <v>ITOT-SWHC</v>
          </cell>
          <cell r="I663">
            <v>4.7283276348092027E-4</v>
          </cell>
          <cell r="J663">
            <v>4.6683560648858312E-4</v>
          </cell>
        </row>
        <row r="664">
          <cell r="A664" t="str">
            <v>ITOT-SWHCONBR6</v>
          </cell>
          <cell r="B664" t="str">
            <v>VAR_fin</v>
          </cell>
          <cell r="C664" t="str">
            <v>CON</v>
          </cell>
          <cell r="I664">
            <v>4.7283276348092027E-4</v>
          </cell>
          <cell r="J664">
            <v>4.6683560648858312E-4</v>
          </cell>
        </row>
        <row r="665">
          <cell r="A665" t="str">
            <v>ITOT-SWHCONBR6</v>
          </cell>
          <cell r="B665" t="str">
            <v>VAR_ncap</v>
          </cell>
          <cell r="C665" t="str">
            <v>-</v>
          </cell>
          <cell r="I665">
            <v>2.4154966917694E-5</v>
          </cell>
          <cell r="J665">
            <v>6.6410550169524404E-6</v>
          </cell>
        </row>
        <row r="666">
          <cell r="A666" t="str">
            <v>ITOT-SWHCONBR6</v>
          </cell>
          <cell r="B666" t="str">
            <v>VAR_cap</v>
          </cell>
          <cell r="C666" t="str">
            <v>-</v>
          </cell>
          <cell r="I666">
            <v>2.4154966917694E-5</v>
          </cell>
          <cell r="J666">
            <v>2.41711242772323E-5</v>
          </cell>
        </row>
        <row r="667">
          <cell r="A667" t="str">
            <v>RHNM-SHNGAHP</v>
          </cell>
          <cell r="B667" t="str">
            <v>VAR_fout</v>
          </cell>
          <cell r="C667" t="str">
            <v>CO2_R</v>
          </cell>
          <cell r="H667">
            <v>27.8721458231906</v>
          </cell>
          <cell r="I667">
            <v>34.251103765558497</v>
          </cell>
          <cell r="J667">
            <v>39.484162469695697</v>
          </cell>
        </row>
        <row r="668">
          <cell r="A668" t="str">
            <v>RHNM-SHNGAHP</v>
          </cell>
          <cell r="B668" t="str">
            <v>VAR_fout</v>
          </cell>
          <cell r="C668" t="str">
            <v>RHNM-SHANGAH</v>
          </cell>
          <cell r="H668">
            <v>1.0007775858329353</v>
          </cell>
          <cell r="I668">
            <v>1.2482868682996069</v>
          </cell>
          <cell r="J668">
            <v>1.4840390670208203</v>
          </cell>
        </row>
        <row r="669">
          <cell r="A669" t="str">
            <v>RHNM-SHNGAHP</v>
          </cell>
          <cell r="B669" t="str">
            <v>VAR_fin</v>
          </cell>
          <cell r="C669" t="str">
            <v>RNGA</v>
          </cell>
          <cell r="H669">
            <v>0.49418698268068373</v>
          </cell>
          <cell r="I669">
            <v>0.60728907385741926</v>
          </cell>
          <cell r="J669">
            <v>0.70007380265417929</v>
          </cell>
        </row>
        <row r="670">
          <cell r="A670" t="str">
            <v>RHNM-SHNGAHP</v>
          </cell>
          <cell r="B670" t="str">
            <v>VAR_fin</v>
          </cell>
          <cell r="C670" t="str">
            <v>RHNMELCHPC</v>
          </cell>
          <cell r="H670">
            <v>1.0007775858329353</v>
          </cell>
          <cell r="I670">
            <v>1.2482868682996069</v>
          </cell>
          <cell r="J670">
            <v>1.4840390670208203</v>
          </cell>
        </row>
        <row r="671">
          <cell r="A671" t="str">
            <v>RHNM-SHNGAHP</v>
          </cell>
          <cell r="B671" t="str">
            <v>VAR_ncap</v>
          </cell>
          <cell r="C671" t="str">
            <v>-</v>
          </cell>
          <cell r="H671">
            <v>2.30198590149681E-2</v>
          </cell>
          <cell r="I671">
            <v>4.8217080093089802E-2</v>
          </cell>
          <cell r="J671">
            <v>7.0860981944935494E-2</v>
          </cell>
        </row>
        <row r="672">
          <cell r="A672" t="str">
            <v>RHNM-SHNGAHP</v>
          </cell>
          <cell r="B672" t="str">
            <v>VAR_cap</v>
          </cell>
          <cell r="C672" t="str">
            <v>-</v>
          </cell>
          <cell r="H672">
            <v>7.7750192442525345E-2</v>
          </cell>
          <cell r="I672">
            <v>9.8061550450281115E-2</v>
          </cell>
          <cell r="J672">
            <v>0.11559072550512665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ELC5</v>
          </cell>
          <cell r="H673">
            <v>8.4107010971233803E-4</v>
          </cell>
          <cell r="I673">
            <v>5.1560883793612996E-4</v>
          </cell>
          <cell r="J673">
            <v>2.5142844641824069E-4</v>
          </cell>
        </row>
        <row r="674">
          <cell r="A674" t="str">
            <v>D-SCOM_KEV_WOD_ELC_CHP</v>
          </cell>
          <cell r="B674" t="str">
            <v>VAR_fout</v>
          </cell>
          <cell r="C674" t="str">
            <v>SCOM_ELC</v>
          </cell>
          <cell r="H674">
            <v>1.8230451299179145E-3</v>
          </cell>
          <cell r="I674">
            <v>7.7249636705915446E-4</v>
          </cell>
          <cell r="J674">
            <v>3.4746435341380518E-4</v>
          </cell>
        </row>
        <row r="675">
          <cell r="A675" t="str">
            <v>D-SCOM_KEV_WOD_ELC_CHP</v>
          </cell>
          <cell r="B675" t="str">
            <v>VAR_fin</v>
          </cell>
          <cell r="C675" t="str">
            <v>SCOM_KEV_WOD_ELC_CHP</v>
          </cell>
          <cell r="H675">
            <v>2.6342642527826025E-3</v>
          </cell>
          <cell r="I675">
            <v>1.2630168765188992E-3</v>
          </cell>
          <cell r="J675">
            <v>5.7947635017612615E-4</v>
          </cell>
        </row>
        <row r="676">
          <cell r="A676" t="str">
            <v>RHES-SHCONBR5</v>
          </cell>
          <cell r="B676" t="str">
            <v>VAR_fout</v>
          </cell>
          <cell r="C676" t="str">
            <v>RHES-SHCON</v>
          </cell>
          <cell r="H676">
            <v>8.0666908801477232E-4</v>
          </cell>
          <cell r="I676">
            <v>8.1011894454096234E-4</v>
          </cell>
          <cell r="J676">
            <v>5.0133874159519112E-4</v>
          </cell>
        </row>
        <row r="677">
          <cell r="A677" t="str">
            <v>RHES-SHCONBR5</v>
          </cell>
          <cell r="B677" t="str">
            <v>VAR_fin</v>
          </cell>
          <cell r="C677" t="str">
            <v>CON</v>
          </cell>
          <cell r="H677">
            <v>8.0666908801477232E-4</v>
          </cell>
          <cell r="I677">
            <v>8.1011894454096234E-4</v>
          </cell>
          <cell r="J677">
            <v>5.0133874159519112E-4</v>
          </cell>
        </row>
        <row r="678">
          <cell r="A678" t="str">
            <v>RHES-SHCONBR5</v>
          </cell>
          <cell r="B678" t="str">
            <v>VAR_ncap</v>
          </cell>
          <cell r="C678" t="str">
            <v>-</v>
          </cell>
          <cell r="H678">
            <v>3.59176960980329E-8</v>
          </cell>
          <cell r="I678">
            <v>3.7440746557530899E-8</v>
          </cell>
          <cell r="J678">
            <v>1.3238546402559701E-7</v>
          </cell>
        </row>
        <row r="679">
          <cell r="A679" t="str">
            <v>RHES-SHCONBR5</v>
          </cell>
          <cell r="B679" t="str">
            <v>VAR_cap</v>
          </cell>
          <cell r="C679" t="str">
            <v>-</v>
          </cell>
          <cell r="H679">
            <v>7.1812725177463932E-5</v>
          </cell>
          <cell r="I679">
            <v>7.1837323427774997E-5</v>
          </cell>
          <cell r="J679">
            <v>4.1741695575178902E-5</v>
          </cell>
        </row>
        <row r="680">
          <cell r="A680" t="str">
            <v>RHNS-SHCONBR</v>
          </cell>
          <cell r="B680" t="str">
            <v>VAR_fout</v>
          </cell>
          <cell r="C680" t="str">
            <v>RHNS-SHCON</v>
          </cell>
          <cell r="H680">
            <v>1.7764908363383091E-3</v>
          </cell>
          <cell r="I680">
            <v>4.671181375934922E-3</v>
          </cell>
          <cell r="J680">
            <v>6.4882440493795497E-3</v>
          </cell>
        </row>
        <row r="681">
          <cell r="A681" t="str">
            <v>RHNS-SHCONBR</v>
          </cell>
          <cell r="B681" t="str">
            <v>VAR_fin</v>
          </cell>
          <cell r="C681" t="str">
            <v>CON</v>
          </cell>
          <cell r="H681">
            <v>1.7764908363383091E-3</v>
          </cell>
          <cell r="I681">
            <v>4.671181375934922E-3</v>
          </cell>
          <cell r="J681">
            <v>6.4882440493795497E-3</v>
          </cell>
        </row>
        <row r="682">
          <cell r="A682" t="str">
            <v>RHNS-SHCONBR</v>
          </cell>
          <cell r="B682" t="str">
            <v>VAR_ncap</v>
          </cell>
          <cell r="C682" t="str">
            <v>-</v>
          </cell>
          <cell r="H682">
            <v>4.6408527498865E-7</v>
          </cell>
          <cell r="I682">
            <v>2.1142811198552401E-4</v>
          </cell>
          <cell r="J682">
            <v>1.3325142631473899E-4</v>
          </cell>
        </row>
        <row r="683">
          <cell r="A683" t="str">
            <v>RHNS-SHCONBR</v>
          </cell>
          <cell r="B683" t="str">
            <v>VAR_cap</v>
          </cell>
          <cell r="C683" t="str">
            <v>-</v>
          </cell>
          <cell r="H683">
            <v>1.2684931200205581E-4</v>
          </cell>
          <cell r="I683">
            <v>3.3826349618737916E-4</v>
          </cell>
          <cell r="J683">
            <v>4.7161926677409099E-4</v>
          </cell>
        </row>
        <row r="684">
          <cell r="A684" t="str">
            <v>D-RHEM_SOLELC</v>
          </cell>
          <cell r="B684" t="str">
            <v>VAR_fout</v>
          </cell>
          <cell r="C684" t="str">
            <v>ELC5</v>
          </cell>
          <cell r="H684">
            <v>1.4623386851724668E-3</v>
          </cell>
          <cell r="I684">
            <v>2.8557100702683875E-3</v>
          </cell>
          <cell r="J684">
            <v>9.7625668663597273E-3</v>
          </cell>
        </row>
        <row r="685">
          <cell r="A685" t="str">
            <v>D-RHEM_SOLELC</v>
          </cell>
          <cell r="B685" t="str">
            <v>VAR_fout</v>
          </cell>
          <cell r="C685" t="str">
            <v>RHEM_ELC</v>
          </cell>
          <cell r="H685">
            <v>2.6146942172055203</v>
          </cell>
          <cell r="I685">
            <v>2.7357979423662488</v>
          </cell>
          <cell r="J685">
            <v>2.9977506031116472</v>
          </cell>
        </row>
        <row r="686">
          <cell r="A686" t="str">
            <v>D-RHEM_SOLELC</v>
          </cell>
          <cell r="B686" t="str">
            <v>VAR_fin</v>
          </cell>
          <cell r="C686" t="str">
            <v>RHEM_SOL_ELC</v>
          </cell>
          <cell r="H686">
            <v>2.616156555890695</v>
          </cell>
          <cell r="I686">
            <v>2.738653652436517</v>
          </cell>
          <cell r="J686">
            <v>3.007513169978008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ITOT-ELS</v>
          </cell>
          <cell r="J687">
            <v>3.3833670090755081E-4</v>
          </cell>
        </row>
        <row r="688">
          <cell r="A688" t="str">
            <v>ITOT-SWHCONBR7</v>
          </cell>
          <cell r="B688" t="str">
            <v>VAR_fout</v>
          </cell>
          <cell r="C688" t="str">
            <v>ITOT-SWHC</v>
          </cell>
          <cell r="J688">
            <v>5.8998359195619334E-5</v>
          </cell>
        </row>
        <row r="689">
          <cell r="A689" t="str">
            <v>ITOT-SWHCONBR7</v>
          </cell>
          <cell r="B689" t="str">
            <v>VAR_fin</v>
          </cell>
          <cell r="C689" t="str">
            <v>CON</v>
          </cell>
          <cell r="J689">
            <v>3.9733506010317034E-4</v>
          </cell>
        </row>
        <row r="690">
          <cell r="A690" t="str">
            <v>ITOT-SWHCONBR7</v>
          </cell>
          <cell r="B690" t="str">
            <v>VAR_ncap</v>
          </cell>
          <cell r="C690" t="str">
            <v>-</v>
          </cell>
          <cell r="J690">
            <v>2.0599060147219701E-5</v>
          </cell>
        </row>
        <row r="691">
          <cell r="A691" t="str">
            <v>ITOT-SWHCONBR7</v>
          </cell>
          <cell r="B691" t="str">
            <v>VAR_cap</v>
          </cell>
          <cell r="C691" t="str">
            <v>-</v>
          </cell>
          <cell r="J691">
            <v>2.0599060147219701E-5</v>
          </cell>
        </row>
        <row r="692">
          <cell r="A692" t="str">
            <v>RHNS-SHSTG-ELCHP</v>
          </cell>
          <cell r="B692" t="str">
            <v>VAR_fout</v>
          </cell>
          <cell r="C692" t="str">
            <v>RHNS-SHAELCH</v>
          </cell>
          <cell r="H692">
            <v>0.22731572693165705</v>
          </cell>
          <cell r="I692">
            <v>0.27332727665919471</v>
          </cell>
          <cell r="J692">
            <v>0.38895259984770186</v>
          </cell>
        </row>
        <row r="693">
          <cell r="A693" t="str">
            <v>RHNS-SHSTG-ELCHP</v>
          </cell>
          <cell r="B693" t="str">
            <v>VAR_fout</v>
          </cell>
          <cell r="C693" t="str">
            <v>AUX_RHNS-SHSTG-ELCHP_OUT</v>
          </cell>
          <cell r="H693">
            <v>0.22754304265858857</v>
          </cell>
          <cell r="I693">
            <v>0.27360060393585389</v>
          </cell>
          <cell r="J693">
            <v>0.38934155244754948</v>
          </cell>
        </row>
        <row r="694">
          <cell r="A694" t="str">
            <v>RHNS-SHSTG-ELCHP</v>
          </cell>
          <cell r="B694" t="str">
            <v>VAR_fin</v>
          </cell>
          <cell r="C694" t="str">
            <v>RHNS-SHAELCH</v>
          </cell>
          <cell r="H694">
            <v>0.22732051098391953</v>
          </cell>
          <cell r="I694">
            <v>0.27333636574643128</v>
          </cell>
          <cell r="J694">
            <v>0.388962012044619</v>
          </cell>
        </row>
        <row r="695">
          <cell r="A695" t="str">
            <v>RHNS-SHSTG-ELCHP</v>
          </cell>
          <cell r="B695" t="str">
            <v>VAR_ncap</v>
          </cell>
          <cell r="C695" t="str">
            <v>-</v>
          </cell>
          <cell r="H695">
            <v>7.0253998196254802E-3</v>
          </cell>
          <cell r="I695">
            <v>1.9223358299563599E-2</v>
          </cell>
          <cell r="J695">
            <v>2.49284651841345E-2</v>
          </cell>
        </row>
        <row r="696">
          <cell r="A696" t="str">
            <v>RHNS-SHSTG-ELCHP</v>
          </cell>
          <cell r="B696" t="str">
            <v>VAR_cap</v>
          </cell>
          <cell r="C696" t="str">
            <v>-</v>
          </cell>
          <cell r="H696">
            <v>2.8504405929018449E-2</v>
          </cell>
          <cell r="I696">
            <v>3.3891575137531153E-2</v>
          </cell>
          <cell r="J696">
            <v>4.1801613456349175E-2</v>
          </cell>
        </row>
        <row r="697">
          <cell r="A697" t="str">
            <v>RHNS-SHSOLBR</v>
          </cell>
          <cell r="B697" t="str">
            <v>VAR_fout</v>
          </cell>
          <cell r="C697" t="str">
            <v>RHNS-SHASOL</v>
          </cell>
          <cell r="H697">
            <v>2.7046745679759192E-4</v>
          </cell>
          <cell r="I697">
            <v>2.9269631772184347E-4</v>
          </cell>
          <cell r="J697">
            <v>5.3981427352444106E-4</v>
          </cell>
        </row>
        <row r="698">
          <cell r="A698" t="str">
            <v>RHNS-SHSOLBR</v>
          </cell>
          <cell r="B698" t="str">
            <v>VAR_fin</v>
          </cell>
          <cell r="C698" t="str">
            <v>SOL</v>
          </cell>
          <cell r="H698">
            <v>2.7046745679759192E-4</v>
          </cell>
          <cell r="I698">
            <v>2.9269631772184347E-4</v>
          </cell>
          <cell r="J698">
            <v>5.3981427352444106E-4</v>
          </cell>
        </row>
        <row r="699">
          <cell r="A699" t="str">
            <v>RHNS-SHSOLBR</v>
          </cell>
          <cell r="B699" t="str">
            <v>VAR_ncap</v>
          </cell>
          <cell r="C699" t="str">
            <v>-</v>
          </cell>
          <cell r="H699">
            <v>3.0434289013171299E-5</v>
          </cell>
          <cell r="I699">
            <v>1.5000536228235999E-4</v>
          </cell>
          <cell r="J699">
            <v>4.4125755260598001E-5</v>
          </cell>
        </row>
        <row r="700">
          <cell r="A700" t="str">
            <v>RHNS-SHSOLBR</v>
          </cell>
          <cell r="B700" t="str">
            <v>VAR_cap</v>
          </cell>
          <cell r="C700" t="str">
            <v>-</v>
          </cell>
          <cell r="H700">
            <v>9.8505371012385604E-4</v>
          </cell>
          <cell r="I700">
            <v>1.9945777472261063E-4</v>
          </cell>
          <cell r="J700">
            <v>1.6557245485457106E-4</v>
          </cell>
        </row>
        <row r="701">
          <cell r="A701" t="str">
            <v>RHES-SHPLTBR</v>
          </cell>
          <cell r="B701" t="str">
            <v>VAR_fout</v>
          </cell>
          <cell r="C701" t="str">
            <v>RHES-SHPLT</v>
          </cell>
          <cell r="H701">
            <v>4.4045080514730349E-2</v>
          </cell>
          <cell r="I701">
            <v>4.9638491680081748E-2</v>
          </cell>
          <cell r="J701">
            <v>4.4574923064264173E-2</v>
          </cell>
        </row>
        <row r="702">
          <cell r="A702" t="str">
            <v>RHES-SHPLTBR</v>
          </cell>
          <cell r="B702" t="str">
            <v>VAR_fin</v>
          </cell>
          <cell r="C702" t="str">
            <v>RPLT</v>
          </cell>
          <cell r="H702">
            <v>5.9219786049090943E-2</v>
          </cell>
          <cell r="I702">
            <v>6.6088397436211657E-2</v>
          </cell>
          <cell r="J702">
            <v>5.8263304516786379E-2</v>
          </cell>
        </row>
        <row r="703">
          <cell r="A703" t="str">
            <v>RHES-SHPLTBR</v>
          </cell>
          <cell r="B703" t="str">
            <v>VAR_ncap</v>
          </cell>
          <cell r="C703" t="str">
            <v>-</v>
          </cell>
          <cell r="H703">
            <v>7.4468312827416299E-4</v>
          </cell>
          <cell r="I703">
            <v>3.3419165819235002E-3</v>
          </cell>
          <cell r="J703">
            <v>8.7462053762655395E-4</v>
          </cell>
        </row>
        <row r="704">
          <cell r="A704" t="str">
            <v>RHES-SHPLTBR</v>
          </cell>
          <cell r="B704" t="str">
            <v>VAR_cap</v>
          </cell>
          <cell r="C704" t="str">
            <v>-</v>
          </cell>
          <cell r="H704">
            <v>3.5835485803473455E-3</v>
          </cell>
          <cell r="I704">
            <v>4.086771054729009E-3</v>
          </cell>
          <cell r="J704">
            <v>3.6148193036850515E-3</v>
          </cell>
        </row>
        <row r="705">
          <cell r="A705" t="str">
            <v>RHES-SHCONBR6</v>
          </cell>
          <cell r="B705" t="str">
            <v>VAR_fout</v>
          </cell>
          <cell r="C705" t="str">
            <v>RHES-SHCON</v>
          </cell>
          <cell r="H705">
            <v>2.5142579680975609E-4</v>
          </cell>
          <cell r="I705">
            <v>2.4905897186352268E-4</v>
          </cell>
          <cell r="J705">
            <v>1.6295323785230946E-4</v>
          </cell>
        </row>
        <row r="706">
          <cell r="A706" t="str">
            <v>RHES-SHCONBR6</v>
          </cell>
          <cell r="B706" t="str">
            <v>VAR_fin</v>
          </cell>
          <cell r="C706" t="str">
            <v>CON</v>
          </cell>
          <cell r="H706">
            <v>2.5142579680975609E-4</v>
          </cell>
          <cell r="I706">
            <v>2.4905897186352268E-4</v>
          </cell>
          <cell r="J706">
            <v>1.6295323785230946E-4</v>
          </cell>
        </row>
        <row r="707">
          <cell r="A707" t="str">
            <v>RHES-SHCONBR6</v>
          </cell>
          <cell r="B707" t="str">
            <v>VAR_ncap</v>
          </cell>
          <cell r="C707" t="str">
            <v>-</v>
          </cell>
          <cell r="H707">
            <v>3.1929132965330498E-8</v>
          </cell>
          <cell r="I707">
            <v>3.1210852295763398E-8</v>
          </cell>
          <cell r="J707">
            <v>6.3694095939554E-8</v>
          </cell>
        </row>
        <row r="708">
          <cell r="A708" t="str">
            <v>RHES-SHCONBR6</v>
          </cell>
          <cell r="B708" t="str">
            <v>VAR_cap</v>
          </cell>
          <cell r="C708" t="str">
            <v>-</v>
          </cell>
          <cell r="H708">
            <v>2.1948198848074427E-5</v>
          </cell>
          <cell r="I708">
            <v>2.19595278151022E-5</v>
          </cell>
          <cell r="J708">
            <v>1.2830661017197807E-5</v>
          </cell>
        </row>
        <row r="709">
          <cell r="A709" t="str">
            <v>RHSA-WHPLTBR</v>
          </cell>
          <cell r="B709" t="str">
            <v>VAR_fout</v>
          </cell>
          <cell r="C709" t="str">
            <v>RHSA-WHPLT</v>
          </cell>
          <cell r="H709">
            <v>0.11493137761167681</v>
          </cell>
          <cell r="I709">
            <v>0.13335770389489915</v>
          </cell>
          <cell r="J709">
            <v>0.13377056102484688</v>
          </cell>
        </row>
        <row r="710">
          <cell r="A710" t="str">
            <v>RHSA-WHPLTBR</v>
          </cell>
          <cell r="B710" t="str">
            <v>VAR_fin</v>
          </cell>
          <cell r="C710" t="str">
            <v>RPLT</v>
          </cell>
          <cell r="H710">
            <v>0.24448998771636615</v>
          </cell>
          <cell r="I710">
            <v>0.27698057871976023</v>
          </cell>
          <cell r="J710">
            <v>0.26731289698447291</v>
          </cell>
        </row>
        <row r="711">
          <cell r="A711" t="str">
            <v>RHSA-WHPLTBR</v>
          </cell>
          <cell r="B711" t="str">
            <v>VAR_ncap</v>
          </cell>
          <cell r="C711" t="str">
            <v>-</v>
          </cell>
          <cell r="H711">
            <v>4.5557042452559699E-3</v>
          </cell>
          <cell r="I711">
            <v>4.5788696607899602E-3</v>
          </cell>
          <cell r="J711">
            <v>3.9067981685524996E-3</v>
          </cell>
        </row>
        <row r="712">
          <cell r="A712" t="str">
            <v>RHSA-WHPLTBR</v>
          </cell>
          <cell r="B712" t="str">
            <v>VAR_cap</v>
          </cell>
          <cell r="C712" t="str">
            <v>-</v>
          </cell>
          <cell r="H712">
            <v>7.8780332892271713E-3</v>
          </cell>
          <cell r="I712">
            <v>9.1352136987195975E-3</v>
          </cell>
          <cell r="J712">
            <v>9.1566197378195775E-3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ITOT-ELS</v>
          </cell>
          <cell r="J713">
            <v>5.7937072461852265E-5</v>
          </cell>
        </row>
        <row r="714">
          <cell r="A714" t="str">
            <v>ITOT-SWHCONBR8</v>
          </cell>
          <cell r="B714" t="str">
            <v>VAR_fout</v>
          </cell>
          <cell r="C714" t="str">
            <v>ITOT-SWHC</v>
          </cell>
          <cell r="J714">
            <v>2.236962380203685E-4</v>
          </cell>
        </row>
        <row r="715">
          <cell r="A715" t="str">
            <v>ITOT-SWHCONBR8</v>
          </cell>
          <cell r="B715" t="str">
            <v>VAR_fin</v>
          </cell>
          <cell r="C715" t="str">
            <v>CON</v>
          </cell>
          <cell r="J715">
            <v>2.8163331048222049E-4</v>
          </cell>
        </row>
        <row r="716">
          <cell r="A716" t="str">
            <v>ITOT-SWHCONBR8</v>
          </cell>
          <cell r="B716" t="str">
            <v>VAR_ncap</v>
          </cell>
          <cell r="C716" t="str">
            <v>-</v>
          </cell>
          <cell r="J716">
            <v>1.38795255327736E-5</v>
          </cell>
        </row>
        <row r="717">
          <cell r="A717" t="str">
            <v>ITOT-SWHCONBR8</v>
          </cell>
          <cell r="B717" t="str">
            <v>VAR_cap</v>
          </cell>
          <cell r="C717" t="str">
            <v>-</v>
          </cell>
          <cell r="J717">
            <v>1.38795255327736E-5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ELC5</v>
          </cell>
          <cell r="H718">
            <v>1.0928782279974738E-3</v>
          </cell>
          <cell r="I718">
            <v>1.2617696729799667E-3</v>
          </cell>
          <cell r="J718">
            <v>7.2673330909170061E-4</v>
          </cell>
        </row>
        <row r="719">
          <cell r="A719" t="str">
            <v>D-SCOM_KEV_HFC_ELC_CHP</v>
          </cell>
          <cell r="B719" t="str">
            <v>VAR_fout</v>
          </cell>
          <cell r="C719" t="str">
            <v>SCOM_ELC</v>
          </cell>
          <cell r="H719">
            <v>4.117201834443739E-3</v>
          </cell>
          <cell r="I719">
            <v>1.9824487535606557E-2</v>
          </cell>
          <cell r="J719">
            <v>9.8185083817203291E-3</v>
          </cell>
        </row>
        <row r="720">
          <cell r="A720" t="str">
            <v>D-SCOM_KEV_HFC_ELC_CHP</v>
          </cell>
          <cell r="B720" t="str">
            <v>VAR_fin</v>
          </cell>
          <cell r="C720" t="str">
            <v>SCOM_KEV_HFC_ELC_CHP</v>
          </cell>
          <cell r="H720">
            <v>5.1834591355262331E-3</v>
          </cell>
          <cell r="I720">
            <v>2.1069459984807283E-2</v>
          </cell>
          <cell r="J720">
            <v>1.0528547071953196E-2</v>
          </cell>
        </row>
        <row r="721">
          <cell r="A721" t="str">
            <v>D-EH2R</v>
          </cell>
          <cell r="B721" t="str">
            <v>VAR_fout</v>
          </cell>
          <cell r="C721" t="str">
            <v>EH2</v>
          </cell>
          <cell r="I721">
            <v>6.6310951343723475E-3</v>
          </cell>
          <cell r="J721">
            <v>1.2873170843040412E-2</v>
          </cell>
        </row>
        <row r="722">
          <cell r="A722" t="str">
            <v>D-EH2R</v>
          </cell>
          <cell r="B722" t="str">
            <v>VAR_fin</v>
          </cell>
          <cell r="C722" t="str">
            <v>H2</v>
          </cell>
          <cell r="I722">
            <v>6.6310951343723475E-3</v>
          </cell>
          <cell r="J722">
            <v>1.2873170843040412E-2</v>
          </cell>
        </row>
        <row r="723">
          <cell r="A723" t="str">
            <v>D-EH2R</v>
          </cell>
          <cell r="B723" t="str">
            <v>VAR_ncap</v>
          </cell>
          <cell r="C723" t="str">
            <v>-</v>
          </cell>
          <cell r="H723">
            <v>1.5829892925503999E-6</v>
          </cell>
          <cell r="I723">
            <v>7.8721625615330005E-4</v>
          </cell>
          <cell r="J723">
            <v>5.51360210314086E-4</v>
          </cell>
        </row>
        <row r="724">
          <cell r="A724" t="str">
            <v>D-EH2R</v>
          </cell>
          <cell r="B724" t="str">
            <v>VAR_cap</v>
          </cell>
          <cell r="C724" t="str">
            <v>-</v>
          </cell>
          <cell r="H724">
            <v>1.5829892925503999E-6</v>
          </cell>
          <cell r="I724">
            <v>7.8749663826129803E-4</v>
          </cell>
          <cell r="J724">
            <v>8.20998503829129E-4</v>
          </cell>
        </row>
        <row r="725">
          <cell r="A725" t="str">
            <v>SCOM-ELCSPECADV</v>
          </cell>
          <cell r="B725" t="str">
            <v>VAR_fout</v>
          </cell>
          <cell r="C725" t="str">
            <v>SCOM-ELS</v>
          </cell>
          <cell r="H725">
            <v>9.5334105738028256</v>
          </cell>
          <cell r="I725">
            <v>11.670698512293891</v>
          </cell>
          <cell r="J725">
            <v>15.078228994806038</v>
          </cell>
        </row>
        <row r="726">
          <cell r="A726" t="str">
            <v>SCOM-ELCSPECADV</v>
          </cell>
          <cell r="B726" t="str">
            <v>VAR_fin</v>
          </cell>
          <cell r="C726" t="str">
            <v>SCOM_ELC</v>
          </cell>
          <cell r="H726">
            <v>6.3556070492018897</v>
          </cell>
          <cell r="I726">
            <v>7.7804656748625938</v>
          </cell>
          <cell r="J726">
            <v>10.052152663204021</v>
          </cell>
        </row>
        <row r="727">
          <cell r="A727" t="str">
            <v>SCOM-ELCSPECADV</v>
          </cell>
          <cell r="B727" t="str">
            <v>VAR_ncap</v>
          </cell>
          <cell r="C727" t="str">
            <v>-</v>
          </cell>
          <cell r="H727">
            <v>0.24625118558150499</v>
          </cell>
          <cell r="I727">
            <v>0.22591005392291499</v>
          </cell>
          <cell r="J727">
            <v>0.62762079080338695</v>
          </cell>
        </row>
        <row r="728">
          <cell r="A728" t="str">
            <v>SCOM-ELCSPECADV</v>
          </cell>
          <cell r="B728" t="str">
            <v>VAR_cap</v>
          </cell>
          <cell r="C728" t="str">
            <v>-</v>
          </cell>
          <cell r="H728">
            <v>1.0076743701374185</v>
          </cell>
          <cell r="I728">
            <v>1.2335841553213767</v>
          </cell>
          <cell r="J728">
            <v>1.5937580404749792</v>
          </cell>
        </row>
        <row r="729">
          <cell r="A729" t="str">
            <v>RHSA-WHLTHRD</v>
          </cell>
          <cell r="B729" t="str">
            <v>VAR_fout</v>
          </cell>
          <cell r="C729" t="str">
            <v>RHSA-WHLTHRD</v>
          </cell>
          <cell r="H729">
            <v>1.6912574241845897</v>
          </cell>
          <cell r="I729">
            <v>1.9678224093441581</v>
          </cell>
          <cell r="J729">
            <v>2.1739268298053704</v>
          </cell>
        </row>
        <row r="730">
          <cell r="A730" t="str">
            <v>RHSA-WHLTHRD</v>
          </cell>
          <cell r="B730" t="str">
            <v>VAR_fin</v>
          </cell>
          <cell r="C730" t="str">
            <v>RHSA_LTH</v>
          </cell>
          <cell r="H730">
            <v>2.9820698741431761</v>
          </cell>
          <cell r="I730">
            <v>3.4241156767174403</v>
          </cell>
          <cell r="J730">
            <v>3.6972356583322883</v>
          </cell>
        </row>
        <row r="731">
          <cell r="A731" t="str">
            <v>RHSA-WHLTHRD</v>
          </cell>
          <cell r="B731" t="str">
            <v>VAR_ncap</v>
          </cell>
          <cell r="C731" t="str">
            <v>-</v>
          </cell>
          <cell r="H731">
            <v>7.9628428547786706E-2</v>
          </cell>
          <cell r="I731">
            <v>0.106523344272193</v>
          </cell>
          <cell r="J731">
            <v>7.2864073795781997E-2</v>
          </cell>
        </row>
        <row r="732">
          <cell r="A732" t="str">
            <v>RHSA-WHLTHRD</v>
          </cell>
          <cell r="B732" t="str">
            <v>VAR_cap</v>
          </cell>
          <cell r="C732" t="str">
            <v>-</v>
          </cell>
          <cell r="H732">
            <v>0.163983082269655</v>
          </cell>
          <cell r="I732">
            <v>0.23306893985881402</v>
          </cell>
          <cell r="J732">
            <v>0.25666116632196601</v>
          </cell>
        </row>
        <row r="733">
          <cell r="A733" t="str">
            <v>RHES-SHCONBR7</v>
          </cell>
          <cell r="B733" t="str">
            <v>VAR_fout</v>
          </cell>
          <cell r="C733" t="str">
            <v>RHES-SHCON</v>
          </cell>
          <cell r="H733">
            <v>2.3984218645719223E-4</v>
          </cell>
          <cell r="I733">
            <v>2.3727594401664432E-4</v>
          </cell>
          <cell r="J733">
            <v>1.5574850858063368E-4</v>
          </cell>
        </row>
        <row r="734">
          <cell r="A734" t="str">
            <v>RHES-SHCONBR7</v>
          </cell>
          <cell r="B734" t="str">
            <v>VAR_fin</v>
          </cell>
          <cell r="C734" t="str">
            <v>CON</v>
          </cell>
          <cell r="H734">
            <v>2.3984218645719223E-4</v>
          </cell>
          <cell r="I734">
            <v>2.3727594401664432E-4</v>
          </cell>
          <cell r="J734">
            <v>1.5574850858063368E-4</v>
          </cell>
        </row>
        <row r="735">
          <cell r="A735" t="str">
            <v>RHES-SHCONBR7</v>
          </cell>
          <cell r="B735" t="str">
            <v>VAR_ncap</v>
          </cell>
          <cell r="C735" t="str">
            <v>-</v>
          </cell>
          <cell r="H735">
            <v>3.1880553436287301E-8</v>
          </cell>
          <cell r="I735">
            <v>3.10020588354873E-8</v>
          </cell>
          <cell r="J735">
            <v>6.3311066158806705E-8</v>
          </cell>
        </row>
        <row r="736">
          <cell r="A736" t="str">
            <v>RHES-SHCONBR7</v>
          </cell>
          <cell r="B736" t="str">
            <v>VAR_cap</v>
          </cell>
          <cell r="C736" t="str">
            <v>-</v>
          </cell>
          <cell r="H736">
            <v>2.0815833046079888E-5</v>
          </cell>
          <cell r="I736">
            <v>2.0826966244955531E-5</v>
          </cell>
          <cell r="J736">
            <v>1.2175257748141738E-5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ITOT-ELS</v>
          </cell>
          <cell r="J737">
            <v>3.0674932061128641E-5</v>
          </cell>
        </row>
        <row r="738">
          <cell r="A738" t="str">
            <v>ITOT-SWHCONBR9</v>
          </cell>
          <cell r="B738" t="str">
            <v>VAR_fout</v>
          </cell>
          <cell r="C738" t="str">
            <v>ITOT-SWHC</v>
          </cell>
          <cell r="J738">
            <v>1.7803712279840513E-4</v>
          </cell>
        </row>
        <row r="739">
          <cell r="A739" t="str">
            <v>ITOT-SWHCONBR9</v>
          </cell>
          <cell r="B739" t="str">
            <v>VAR_fin</v>
          </cell>
          <cell r="C739" t="str">
            <v>CON</v>
          </cell>
          <cell r="J739">
            <v>2.0871205485953369E-4</v>
          </cell>
        </row>
        <row r="740">
          <cell r="A740" t="str">
            <v>ITOT-SWHCONBR9</v>
          </cell>
          <cell r="B740" t="str">
            <v>VAR_ncap</v>
          </cell>
          <cell r="C740" t="str">
            <v>-</v>
          </cell>
          <cell r="J740">
            <v>9.9104935882581293E-6</v>
          </cell>
        </row>
        <row r="741">
          <cell r="A741" t="str">
            <v>ITOT-SWHCONBR9</v>
          </cell>
          <cell r="B741" t="str">
            <v>VAR_cap</v>
          </cell>
          <cell r="C741" t="str">
            <v>-</v>
          </cell>
          <cell r="J741">
            <v>9.9104935882581293E-6</v>
          </cell>
        </row>
        <row r="742">
          <cell r="A742" t="str">
            <v>SCOM-SHPLTBR</v>
          </cell>
          <cell r="B742" t="str">
            <v>VAR_fout</v>
          </cell>
          <cell r="C742" t="str">
            <v>SCOM-SHPLT</v>
          </cell>
          <cell r="H742">
            <v>0.5506465328921154</v>
          </cell>
          <cell r="I742">
            <v>0.71173589346460875</v>
          </cell>
          <cell r="J742">
            <v>0.73428410814602263</v>
          </cell>
        </row>
        <row r="743">
          <cell r="A743" t="str">
            <v>SCOM-SHPLTBR</v>
          </cell>
          <cell r="B743" t="str">
            <v>VAR_fin</v>
          </cell>
          <cell r="C743" t="str">
            <v>SCOMPLTBRC</v>
          </cell>
          <cell r="H743">
            <v>0.5506465328921154</v>
          </cell>
          <cell r="I743">
            <v>0.71173589346460875</v>
          </cell>
          <cell r="J743">
            <v>0.73428410814602263</v>
          </cell>
        </row>
        <row r="744">
          <cell r="A744" t="str">
            <v>SCOM-SHPLTBR</v>
          </cell>
          <cell r="B744" t="str">
            <v>VAR_fin</v>
          </cell>
          <cell r="C744" t="str">
            <v>SPLT</v>
          </cell>
          <cell r="H744">
            <v>0.82399976690527665</v>
          </cell>
          <cell r="I744">
            <v>1.0493050868321008</v>
          </cell>
          <cell r="J744">
            <v>1.0769715300148457</v>
          </cell>
        </row>
        <row r="745">
          <cell r="A745" t="str">
            <v>SCOM-SHPLTBR</v>
          </cell>
          <cell r="B745" t="str">
            <v>VAR_ncap</v>
          </cell>
          <cell r="C745" t="str">
            <v>-</v>
          </cell>
          <cell r="H745">
            <v>2.31439028027439E-2</v>
          </cell>
          <cell r="I745">
            <v>3.5481677164890001E-2</v>
          </cell>
          <cell r="J745">
            <v>2.5951394973616499E-2</v>
          </cell>
        </row>
        <row r="746">
          <cell r="A746" t="str">
            <v>SCOM-SHPLTBR</v>
          </cell>
          <cell r="B746" t="str">
            <v>VAR_cap</v>
          </cell>
          <cell r="C746" t="str">
            <v>-</v>
          </cell>
          <cell r="H746">
            <v>4.5120392758410302E-2</v>
          </cell>
          <cell r="I746">
            <v>5.8627154682274606E-2</v>
          </cell>
          <cell r="J746">
            <v>6.1490776642656661E-2</v>
          </cell>
        </row>
        <row r="747">
          <cell r="A747" t="str">
            <v>ITOT-SWHELCHP</v>
          </cell>
          <cell r="B747" t="str">
            <v>VAR_fout</v>
          </cell>
          <cell r="C747" t="str">
            <v>ITOT-SWHAELCH</v>
          </cell>
          <cell r="H747">
            <v>6.1487378319195765</v>
          </cell>
          <cell r="I747">
            <v>10.932943174692712</v>
          </cell>
          <cell r="J747">
            <v>10.934676230270721</v>
          </cell>
        </row>
        <row r="748">
          <cell r="A748" t="str">
            <v>ITOT-SWHELCHP</v>
          </cell>
          <cell r="B748" t="str">
            <v>VAR_fin</v>
          </cell>
          <cell r="C748" t="str">
            <v>ITOT_ELC</v>
          </cell>
          <cell r="H748">
            <v>1.8831352913546837</v>
          </cell>
          <cell r="I748">
            <v>3.2865680285046852</v>
          </cell>
          <cell r="J748">
            <v>3.1700781795695727</v>
          </cell>
        </row>
        <row r="749">
          <cell r="A749" t="str">
            <v>ITOT-SWHELCHP</v>
          </cell>
          <cell r="B749" t="str">
            <v>VAR_fin</v>
          </cell>
          <cell r="C749" t="str">
            <v>ITOTELCHPC</v>
          </cell>
          <cell r="H749">
            <v>6.1487378319195765</v>
          </cell>
          <cell r="I749">
            <v>10.932943174692712</v>
          </cell>
          <cell r="J749">
            <v>10.934676230270721</v>
          </cell>
        </row>
        <row r="750">
          <cell r="A750" t="str">
            <v>ITOT-SWHELCHP</v>
          </cell>
          <cell r="B750" t="str">
            <v>VAR_ncap</v>
          </cell>
          <cell r="C750" t="str">
            <v>-</v>
          </cell>
          <cell r="H750">
            <v>5.2522003995104802E-2</v>
          </cell>
          <cell r="I750">
            <v>0.417753475499333</v>
          </cell>
          <cell r="J750">
            <v>0.27256425976848198</v>
          </cell>
        </row>
        <row r="751">
          <cell r="A751" t="str">
            <v>ITOT-SWHELCHP</v>
          </cell>
          <cell r="B751" t="str">
            <v>VAR_cap</v>
          </cell>
          <cell r="C751" t="str">
            <v>-</v>
          </cell>
          <cell r="H751">
            <v>0.33460860072633442</v>
          </cell>
          <cell r="I751">
            <v>0.61060940866892843</v>
          </cell>
          <cell r="J751">
            <v>0.59795281218373808</v>
          </cell>
        </row>
        <row r="752">
          <cell r="A752" t="str">
            <v>RHES-SHCONBR8</v>
          </cell>
          <cell r="B752" t="str">
            <v>VAR_fout</v>
          </cell>
          <cell r="C752" t="str">
            <v>RHES-SHCON</v>
          </cell>
          <cell r="H752">
            <v>6.239899668844557E-5</v>
          </cell>
          <cell r="I752">
            <v>5.6342847654027289E-5</v>
          </cell>
          <cell r="J752">
            <v>4.0916884260966451E-5</v>
          </cell>
        </row>
        <row r="753">
          <cell r="A753" t="str">
            <v>RHES-SHCONBR8</v>
          </cell>
          <cell r="B753" t="str">
            <v>VAR_fin</v>
          </cell>
          <cell r="C753" t="str">
            <v>CON</v>
          </cell>
          <cell r="H753">
            <v>6.239899668844557E-5</v>
          </cell>
          <cell r="I753">
            <v>5.6342847654027289E-5</v>
          </cell>
          <cell r="J753">
            <v>4.0916884260966451E-5</v>
          </cell>
        </row>
        <row r="754">
          <cell r="A754" t="str">
            <v>RHES-SHCONBR8</v>
          </cell>
          <cell r="B754" t="str">
            <v>VAR_ncap</v>
          </cell>
          <cell r="C754" t="str">
            <v>-</v>
          </cell>
          <cell r="H754">
            <v>1.9561172810809898E-8</v>
          </cell>
          <cell r="I754">
            <v>1.8020854106594E-8</v>
          </cell>
          <cell r="J754">
            <v>2.9811172427793603E-8</v>
          </cell>
        </row>
        <row r="755">
          <cell r="A755" t="str">
            <v>RHES-SHCONBR8</v>
          </cell>
          <cell r="B755" t="str">
            <v>VAR_cap</v>
          </cell>
          <cell r="C755" t="str">
            <v>-</v>
          </cell>
          <cell r="H755">
            <v>1.6314581043614398E-6</v>
          </cell>
          <cell r="I755">
            <v>1.6380201784816991E-6</v>
          </cell>
          <cell r="J755">
            <v>1.0897785035256671E-6</v>
          </cell>
        </row>
        <row r="756">
          <cell r="A756" t="str">
            <v>RHEM-SHWODBR</v>
          </cell>
          <cell r="B756" t="str">
            <v>VAR_fout</v>
          </cell>
          <cell r="C756" t="str">
            <v>RHEM-SHWOD</v>
          </cell>
          <cell r="H756">
            <v>3.905242194863916</v>
          </cell>
          <cell r="I756">
            <v>3.301156675664203</v>
          </cell>
          <cell r="J756">
            <v>1.9392555522800534</v>
          </cell>
        </row>
        <row r="757">
          <cell r="A757" t="str">
            <v>RHEM-SHWODBR</v>
          </cell>
          <cell r="B757" t="str">
            <v>VAR_fin</v>
          </cell>
          <cell r="C757" t="str">
            <v>RHEMWODBRC</v>
          </cell>
          <cell r="H757">
            <v>3.905242194863916</v>
          </cell>
          <cell r="I757">
            <v>3.301156675664203</v>
          </cell>
          <cell r="J757">
            <v>1.9392555522800534</v>
          </cell>
        </row>
        <row r="758">
          <cell r="A758" t="str">
            <v>RHEM-SHWODBR</v>
          </cell>
          <cell r="B758" t="str">
            <v>VAR_fin</v>
          </cell>
          <cell r="C758" t="str">
            <v>RWOD</v>
          </cell>
          <cell r="H758">
            <v>5.3826485363597971</v>
          </cell>
          <cell r="I758">
            <v>4.5500292329954908</v>
          </cell>
          <cell r="J758">
            <v>2.589039573473479</v>
          </cell>
        </row>
        <row r="759">
          <cell r="A759" t="str">
            <v>RHEM-SHWODBR</v>
          </cell>
          <cell r="B759" t="str">
            <v>VAR_ncap</v>
          </cell>
          <cell r="C759" t="str">
            <v>-</v>
          </cell>
          <cell r="H759">
            <v>0.18139123668019999</v>
          </cell>
          <cell r="I759">
            <v>5.2988071545226501E-2</v>
          </cell>
          <cell r="J759">
            <v>2.2971527271204498E-2</v>
          </cell>
        </row>
        <row r="760">
          <cell r="A760" t="str">
            <v>RHEM-SHWODBR</v>
          </cell>
          <cell r="B760" t="str">
            <v>VAR_cap</v>
          </cell>
          <cell r="C760" t="str">
            <v>-</v>
          </cell>
          <cell r="H760">
            <v>0.27583898966141707</v>
          </cell>
          <cell r="I760">
            <v>0.2343834384607697</v>
          </cell>
          <cell r="J760">
            <v>0.13815393909679163</v>
          </cell>
        </row>
        <row r="761">
          <cell r="A761" t="str">
            <v>RHES-SHCONBR9</v>
          </cell>
          <cell r="B761" t="str">
            <v>VAR_fout</v>
          </cell>
          <cell r="C761" t="str">
            <v>RHES-SHCON</v>
          </cell>
          <cell r="H761">
            <v>4.980269392283353E-5</v>
          </cell>
          <cell r="I761">
            <v>4.2471226917788522E-5</v>
          </cell>
          <cell r="J761">
            <v>3.0957882657223002E-5</v>
          </cell>
        </row>
        <row r="762">
          <cell r="A762" t="str">
            <v>RHES-SHCONBR9</v>
          </cell>
          <cell r="B762" t="str">
            <v>VAR_fin</v>
          </cell>
          <cell r="C762" t="str">
            <v>CON</v>
          </cell>
          <cell r="H762">
            <v>4.980269392283353E-5</v>
          </cell>
          <cell r="I762">
            <v>4.2471226917788522E-5</v>
          </cell>
          <cell r="J762">
            <v>3.0957882657223002E-5</v>
          </cell>
        </row>
        <row r="763">
          <cell r="A763" t="str">
            <v>RHES-SHCONBR9</v>
          </cell>
          <cell r="B763" t="str">
            <v>VAR_cap</v>
          </cell>
          <cell r="C763" t="str">
            <v>-</v>
          </cell>
          <cell r="H763">
            <v>-5.6919302585427998E-8</v>
          </cell>
          <cell r="I763">
            <v>-6.5538254613462999E-8</v>
          </cell>
          <cell r="J763">
            <v>-3.6288213874566301E-8</v>
          </cell>
        </row>
        <row r="764">
          <cell r="A764" t="str">
            <v>D-RHNS_LTH_CHPNGA</v>
          </cell>
          <cell r="B764" t="str">
            <v>VAR_fout</v>
          </cell>
          <cell r="C764" t="str">
            <v>RHSA_LTH</v>
          </cell>
          <cell r="H764">
            <v>1.8546624968464058E-3</v>
          </cell>
          <cell r="I764">
            <v>1.086494862401016E-3</v>
          </cell>
          <cell r="J764">
            <v>9.7424168202271943E-6</v>
          </cell>
        </row>
        <row r="765">
          <cell r="A765" t="str">
            <v>D-RHNS_LTH_CHPNGA</v>
          </cell>
          <cell r="B765" t="str">
            <v>VAR_fout</v>
          </cell>
          <cell r="C765" t="str">
            <v>LTH</v>
          </cell>
          <cell r="H765">
            <v>1.7288182381207752E-6</v>
          </cell>
          <cell r="I765">
            <v>1.0425308939576759E-6</v>
          </cell>
          <cell r="J765">
            <v>6.8159742730649333E-6</v>
          </cell>
        </row>
        <row r="766">
          <cell r="A766" t="str">
            <v>D-RHNS_LTH_CHPNGA</v>
          </cell>
          <cell r="B766" t="str">
            <v>VAR_fout</v>
          </cell>
          <cell r="C766" t="str">
            <v>RHNS_LTH_CHPNGA_ON</v>
          </cell>
          <cell r="H766">
            <v>8.9046992578463674E-4</v>
          </cell>
          <cell r="I766">
            <v>3.9418206996660009E-4</v>
          </cell>
          <cell r="J766">
            <v>7.3544483983708199E-6</v>
          </cell>
        </row>
        <row r="767">
          <cell r="A767" t="str">
            <v>D-RHNS_LTH_CHPNGA</v>
          </cell>
          <cell r="B767" t="str">
            <v>VAR_fin</v>
          </cell>
          <cell r="C767" t="str">
            <v>RHNS_LTH_CHPNGA</v>
          </cell>
          <cell r="H767">
            <v>2.7480341377099636E-3</v>
          </cell>
          <cell r="I767">
            <v>1.4830243767156106E-3</v>
          </cell>
          <cell r="J767">
            <v>2.3912839491662981E-5</v>
          </cell>
        </row>
        <row r="768">
          <cell r="A768" t="str">
            <v>D-SLFO</v>
          </cell>
          <cell r="B768" t="str">
            <v>VAR_fout</v>
          </cell>
          <cell r="C768" t="str">
            <v>CO2</v>
          </cell>
          <cell r="H768">
            <v>835.72424103412095</v>
          </cell>
          <cell r="I768">
            <v>407.29472995544398</v>
          </cell>
          <cell r="J768">
            <v>5.5115034294818096E-4</v>
          </cell>
        </row>
        <row r="769">
          <cell r="A769" t="str">
            <v>D-SLFO</v>
          </cell>
          <cell r="B769" t="str">
            <v>VAR_fout</v>
          </cell>
          <cell r="C769" t="str">
            <v>SLFO</v>
          </cell>
          <cell r="H769">
            <v>11.151104574403018</v>
          </cell>
          <cell r="I769">
            <v>5.4347456333326782</v>
          </cell>
          <cell r="J769">
            <v>0.42235096700464297</v>
          </cell>
        </row>
        <row r="770">
          <cell r="A770" t="str">
            <v>D-SLFO</v>
          </cell>
          <cell r="B770" t="str">
            <v>VAR_fin</v>
          </cell>
          <cell r="C770" t="str">
            <v>LFO</v>
          </cell>
          <cell r="H770">
            <v>11.339541940761473</v>
          </cell>
          <cell r="I770">
            <v>5.5263871093004582</v>
          </cell>
          <cell r="J770">
            <v>7.478295019649686E-6</v>
          </cell>
        </row>
        <row r="771">
          <cell r="A771" t="str">
            <v>D-SLFO</v>
          </cell>
          <cell r="B771" t="str">
            <v>VAR_fin</v>
          </cell>
          <cell r="C771" t="str">
            <v>BDS</v>
          </cell>
          <cell r="H771">
            <v>9.652662022314461E-4</v>
          </cell>
          <cell r="I771">
            <v>6.687416583247435E-4</v>
          </cell>
          <cell r="J771">
            <v>0.4295192345992736</v>
          </cell>
        </row>
        <row r="772">
          <cell r="A772" t="str">
            <v>D-RCOA</v>
          </cell>
          <cell r="B772" t="str">
            <v>VAR_fout</v>
          </cell>
          <cell r="C772" t="str">
            <v>CO2</v>
          </cell>
        </row>
        <row r="773">
          <cell r="A773" t="str">
            <v>D-RCOA</v>
          </cell>
          <cell r="B773" t="str">
            <v>VAR_fout</v>
          </cell>
          <cell r="C773" t="str">
            <v>RCOA</v>
          </cell>
        </row>
        <row r="774">
          <cell r="A774" t="str">
            <v>D-RCOA</v>
          </cell>
          <cell r="B774" t="str">
            <v>VAR_fin</v>
          </cell>
          <cell r="C774" t="str">
            <v>COA</v>
          </cell>
        </row>
        <row r="775">
          <cell r="A775" t="str">
            <v>SCOM-ELCSPECDC</v>
          </cell>
          <cell r="B775" t="str">
            <v>VAR_fout</v>
          </cell>
          <cell r="C775" t="str">
            <v>SCOM-ELSDC</v>
          </cell>
          <cell r="H775">
            <v>13.179390887137931</v>
          </cell>
          <cell r="I775">
            <v>13.115304700392768</v>
          </cell>
          <cell r="J775">
            <v>12.838404140405576</v>
          </cell>
        </row>
        <row r="776">
          <cell r="A776" t="str">
            <v>SCOM-ELCSPECDC</v>
          </cell>
          <cell r="B776" t="str">
            <v>VAR_fin</v>
          </cell>
          <cell r="C776" t="str">
            <v>SCOM_ELC</v>
          </cell>
          <cell r="H776">
            <v>13.179390887137931</v>
          </cell>
          <cell r="I776">
            <v>13.115304700392768</v>
          </cell>
          <cell r="J776">
            <v>12.838404140405576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ELC5</v>
          </cell>
          <cell r="H777">
            <v>1.9398020344791786E-3</v>
          </cell>
          <cell r="I777">
            <v>1.4410354275028749E-3</v>
          </cell>
          <cell r="J777">
            <v>6.9904383541493102E-4</v>
          </cell>
        </row>
        <row r="778">
          <cell r="A778" t="str">
            <v>D-RHEM_KEV_WOD_ELC_CHP</v>
          </cell>
          <cell r="B778" t="str">
            <v>VAR_fout</v>
          </cell>
          <cell r="C778" t="str">
            <v>RHEM_ELC</v>
          </cell>
          <cell r="H778">
            <v>0.31589935688421467</v>
          </cell>
          <cell r="I778">
            <v>0.39339965819375394</v>
          </cell>
          <cell r="J778">
            <v>5.1622094494842069E-3</v>
          </cell>
        </row>
        <row r="779">
          <cell r="A779" t="str">
            <v>D-RHEM_KEV_WOD_ELC_CHP</v>
          </cell>
          <cell r="B779" t="str">
            <v>VAR_fin</v>
          </cell>
          <cell r="C779" t="str">
            <v>RHEM_KEV_WOD_ELC_CHP</v>
          </cell>
          <cell r="H779">
            <v>0.31781981462140413</v>
          </cell>
          <cell r="I779">
            <v>0.39482158957051089</v>
          </cell>
          <cell r="J779">
            <v>5.8457300499365145E-3</v>
          </cell>
        </row>
        <row r="780">
          <cell r="A780" t="str">
            <v>RHES-SHSTG-SOL</v>
          </cell>
          <cell r="B780" t="str">
            <v>VAR_fout</v>
          </cell>
          <cell r="C780" t="str">
            <v>AUX_RHES-SHSTG-SOL_OUT</v>
          </cell>
          <cell r="H780">
            <v>9.0768901630087391E-3</v>
          </cell>
          <cell r="I780">
            <v>3.4570140997523149E-3</v>
          </cell>
          <cell r="J780">
            <v>2.9173796909420387E-3</v>
          </cell>
        </row>
        <row r="781">
          <cell r="A781" t="str">
            <v>RHES-SHSTG-SOL</v>
          </cell>
          <cell r="B781" t="str">
            <v>VAR_fout</v>
          </cell>
          <cell r="C781" t="str">
            <v>RHES-SHASOL</v>
          </cell>
          <cell r="H781">
            <v>9.0678223406680716E-3</v>
          </cell>
          <cell r="I781">
            <v>3.4535605392131039E-3</v>
          </cell>
          <cell r="J781">
            <v>2.9144652257163243E-3</v>
          </cell>
        </row>
        <row r="782">
          <cell r="A782" t="str">
            <v>RHES-SHSTG-SOL</v>
          </cell>
          <cell r="B782" t="str">
            <v>VAR_fin</v>
          </cell>
          <cell r="C782" t="str">
            <v>RHES-SHASOL</v>
          </cell>
          <cell r="H782">
            <v>9.0624212743243109E-3</v>
          </cell>
          <cell r="I782">
            <v>3.450198958996939E-3</v>
          </cell>
          <cell r="J782">
            <v>2.9098096086046825E-3</v>
          </cell>
        </row>
        <row r="783">
          <cell r="A783" t="str">
            <v>RHES-SHSTG-SOL</v>
          </cell>
          <cell r="B783" t="str">
            <v>VAR_ncap</v>
          </cell>
          <cell r="C783" t="str">
            <v>-</v>
          </cell>
          <cell r="H783">
            <v>3.3397335126333601E-4</v>
          </cell>
          <cell r="I783">
            <v>2.3988453887526101E-4</v>
          </cell>
          <cell r="J783">
            <v>1.99646410704491E-4</v>
          </cell>
        </row>
        <row r="784">
          <cell r="A784" t="str">
            <v>RHES-SHSTG-SOL</v>
          </cell>
          <cell r="B784" t="str">
            <v>VAR_cap</v>
          </cell>
          <cell r="C784" t="str">
            <v>-</v>
          </cell>
          <cell r="H784">
            <v>3.2434003243262E-3</v>
          </cell>
          <cell r="I784">
            <v>5.7449679014091903E-4</v>
          </cell>
          <cell r="J784">
            <v>5.1500760370135697E-4</v>
          </cell>
        </row>
        <row r="785">
          <cell r="A785" t="str">
            <v>D-ITOT_LTH</v>
          </cell>
          <cell r="B785" t="str">
            <v>VAR_fout</v>
          </cell>
          <cell r="C785" t="str">
            <v>ITOT_LTH_DH</v>
          </cell>
          <cell r="H785">
            <v>7.628913126043809</v>
          </cell>
          <cell r="I785">
            <v>7.6289250963690076</v>
          </cell>
          <cell r="J785">
            <v>10.310201283886597</v>
          </cell>
        </row>
        <row r="786">
          <cell r="A786" t="str">
            <v>D-ITOT_LTH</v>
          </cell>
          <cell r="B786" t="str">
            <v>VAR_fin</v>
          </cell>
          <cell r="C786" t="str">
            <v>LTH</v>
          </cell>
          <cell r="H786">
            <v>8.27726874326782</v>
          </cell>
          <cell r="I786">
            <v>8.271856139844207</v>
          </cell>
          <cell r="J786">
            <v>11.164461907582766</v>
          </cell>
        </row>
        <row r="787">
          <cell r="A787" t="str">
            <v>D-ITOT_LTH</v>
          </cell>
          <cell r="B787" t="str">
            <v>VAR_ncap</v>
          </cell>
          <cell r="C787" t="str">
            <v>-</v>
          </cell>
          <cell r="H787">
            <v>1.37644694609643E-7</v>
          </cell>
          <cell r="I787">
            <v>1.9661826974039199E-7</v>
          </cell>
          <cell r="J787">
            <v>2.1611948167977099E-7</v>
          </cell>
        </row>
        <row r="788">
          <cell r="A788" t="str">
            <v>D-ITOT_LTH</v>
          </cell>
          <cell r="B788" t="str">
            <v>VAR_cap</v>
          </cell>
          <cell r="C788" t="str">
            <v>-</v>
          </cell>
          <cell r="H788">
            <v>0.795472908393555</v>
          </cell>
          <cell r="I788">
            <v>0.795473105011825</v>
          </cell>
          <cell r="J788">
            <v>0.79547332113130598</v>
          </cell>
        </row>
        <row r="789">
          <cell r="A789" t="str">
            <v>D-IH2</v>
          </cell>
          <cell r="B789" t="str">
            <v>VAR_fout</v>
          </cell>
          <cell r="C789" t="str">
            <v>IH2</v>
          </cell>
          <cell r="H789">
            <v>1.8207077769374393</v>
          </cell>
          <cell r="I789">
            <v>2.1243246906880846</v>
          </cell>
          <cell r="J789">
            <v>3.6541646337877562</v>
          </cell>
        </row>
        <row r="790">
          <cell r="A790" t="str">
            <v>D-IH2</v>
          </cell>
          <cell r="B790" t="str">
            <v>VAR_fin</v>
          </cell>
          <cell r="C790" t="str">
            <v>H2</v>
          </cell>
          <cell r="H790">
            <v>1.8345786352501814</v>
          </cell>
          <cell r="I790">
            <v>2.1405086204587125</v>
          </cell>
          <cell r="J790">
            <v>3.6820034778508934</v>
          </cell>
        </row>
        <row r="791">
          <cell r="A791" t="str">
            <v>D-IH2</v>
          </cell>
          <cell r="B791" t="str">
            <v>VAR_ncap</v>
          </cell>
          <cell r="C791" t="str">
            <v>-</v>
          </cell>
          <cell r="H791">
            <v>6.43849487126643E-2</v>
          </cell>
          <cell r="I791">
            <v>0.297221611043614</v>
          </cell>
          <cell r="J791">
            <v>0.17513187645287701</v>
          </cell>
        </row>
        <row r="792">
          <cell r="A792" t="str">
            <v>D-IH2</v>
          </cell>
          <cell r="B792" t="str">
            <v>VAR_cap</v>
          </cell>
          <cell r="C792" t="str">
            <v>-</v>
          </cell>
          <cell r="H792">
            <v>6.4385862758542994E-2</v>
          </cell>
          <cell r="I792">
            <v>0.36160747380215702</v>
          </cell>
          <cell r="J792">
            <v>0.53673935025503405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RHNM_LTH_CHPWOD_ON</v>
          </cell>
          <cell r="H793">
            <v>2.6333178394767596E-2</v>
          </cell>
          <cell r="I793">
            <v>0.30230549521538819</v>
          </cell>
        </row>
        <row r="794">
          <cell r="A794" t="str">
            <v>D-RHNM_LTH_CHPWOD</v>
          </cell>
          <cell r="B794" t="str">
            <v>VAR_fout</v>
          </cell>
          <cell r="C794" t="str">
            <v>RHSA_LTH</v>
          </cell>
          <cell r="H794">
            <v>0.80408230359064647</v>
          </cell>
          <cell r="I794">
            <v>0.61584521062729947</v>
          </cell>
          <cell r="J794">
            <v>1.5227998754604686E-2</v>
          </cell>
        </row>
        <row r="795">
          <cell r="A795" t="str">
            <v>D-RHNM_LTH_CHPWOD</v>
          </cell>
          <cell r="B795" t="str">
            <v>VAR_fout</v>
          </cell>
          <cell r="C795" t="str">
            <v>LTH</v>
          </cell>
          <cell r="H795">
            <v>5.8666210224217594E-4</v>
          </cell>
          <cell r="I795">
            <v>5.7951936295092162E-4</v>
          </cell>
          <cell r="J795">
            <v>2.6712338334194117E-5</v>
          </cell>
        </row>
        <row r="796">
          <cell r="A796" t="str">
            <v>D-RHNM_LTH_CHPWOD</v>
          </cell>
          <cell r="B796" t="str">
            <v>VAR_fin</v>
          </cell>
          <cell r="C796" t="str">
            <v>RHNM_LTH_CHPWOD</v>
          </cell>
          <cell r="H796">
            <v>0.8310021440876566</v>
          </cell>
          <cell r="I796">
            <v>0.91873025113512985</v>
          </cell>
          <cell r="J796">
            <v>1.5254786343227052E-2</v>
          </cell>
        </row>
        <row r="797">
          <cell r="A797" t="str">
            <v>RHNS-SHWODBR</v>
          </cell>
          <cell r="B797" t="str">
            <v>VAR_fout</v>
          </cell>
          <cell r="C797" t="str">
            <v>RHNS-SHWOD</v>
          </cell>
          <cell r="H797">
            <v>7.8601381985353727E-2</v>
          </cell>
          <cell r="I797">
            <v>8.0615402985001999E-2</v>
          </cell>
          <cell r="J797">
            <v>8.2290858207038617E-2</v>
          </cell>
        </row>
        <row r="798">
          <cell r="A798" t="str">
            <v>RHNS-SHWODBR</v>
          </cell>
          <cell r="B798" t="str">
            <v>VAR_fin</v>
          </cell>
          <cell r="C798" t="str">
            <v>RHNSWODBRC</v>
          </cell>
          <cell r="H798">
            <v>7.8601381985353727E-2</v>
          </cell>
          <cell r="I798">
            <v>8.0615402985001999E-2</v>
          </cell>
          <cell r="J798">
            <v>8.2290858207038617E-2</v>
          </cell>
        </row>
        <row r="799">
          <cell r="A799" t="str">
            <v>RHNS-SHWODBR</v>
          </cell>
          <cell r="B799" t="str">
            <v>VAR_fin</v>
          </cell>
          <cell r="C799" t="str">
            <v>RWOD</v>
          </cell>
          <cell r="H799">
            <v>0.10376808408574398</v>
          </cell>
          <cell r="I799">
            <v>0.10625292403503768</v>
          </cell>
          <cell r="J799">
            <v>0.10804876490876812</v>
          </cell>
        </row>
        <row r="800">
          <cell r="A800" t="str">
            <v>RHNS-SHWODBR</v>
          </cell>
          <cell r="B800" t="str">
            <v>VAR_ncap</v>
          </cell>
          <cell r="C800" t="str">
            <v>-</v>
          </cell>
          <cell r="H800">
            <v>1.41963072158667E-2</v>
          </cell>
        </row>
        <row r="801">
          <cell r="A801" t="str">
            <v>RHNS-SHWODBR</v>
          </cell>
          <cell r="B801" t="str">
            <v>VAR_cap</v>
          </cell>
          <cell r="C801" t="str">
            <v>-</v>
          </cell>
          <cell r="H801">
            <v>1.7910189376301202E-2</v>
          </cell>
          <cell r="I801">
            <v>1.4840118477743332E-2</v>
          </cell>
          <cell r="J801">
            <v>6.0049126558626674E-3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ELC5</v>
          </cell>
          <cell r="H802">
            <v>1.2027780192471345E-3</v>
          </cell>
          <cell r="I802">
            <v>7.1957185920892581E-4</v>
          </cell>
        </row>
        <row r="803">
          <cell r="A803" t="str">
            <v>D-RHNM_NKEV_GAS_ELC_CHP</v>
          </cell>
          <cell r="B803" t="str">
            <v>VAR_fout</v>
          </cell>
          <cell r="C803" t="str">
            <v>RHNM_ELC</v>
          </cell>
          <cell r="H803">
            <v>4.0722117226928744E-3</v>
          </cell>
          <cell r="I803">
            <v>2.0084958526435511E-3</v>
          </cell>
        </row>
        <row r="804">
          <cell r="A804" t="str">
            <v>D-RHNM_NKEV_GAS_ELC_CHP</v>
          </cell>
          <cell r="B804" t="str">
            <v>VAR_fin</v>
          </cell>
          <cell r="C804" t="str">
            <v>RHNM_NKEV_GAS_ELC_CHP</v>
          </cell>
          <cell r="H804">
            <v>5.2461086753225247E-3</v>
          </cell>
          <cell r="I804">
            <v>2.711050264918038E-3</v>
          </cell>
        </row>
        <row r="805">
          <cell r="A805" t="str">
            <v>D-RLFO</v>
          </cell>
          <cell r="B805" t="str">
            <v>VAR_fout</v>
          </cell>
          <cell r="C805" t="str">
            <v>CO2</v>
          </cell>
          <cell r="H805">
            <v>1169.6193156998299</v>
          </cell>
          <cell r="I805">
            <v>448.71513442875101</v>
          </cell>
          <cell r="J805">
            <v>7.1789910374605301E-4</v>
          </cell>
        </row>
        <row r="806">
          <cell r="A806" t="str">
            <v>D-RLFO</v>
          </cell>
          <cell r="B806" t="str">
            <v>VAR_fout</v>
          </cell>
          <cell r="C806" t="str">
            <v>RLFO</v>
          </cell>
          <cell r="H806">
            <v>15.6059066942434</v>
          </cell>
          <cell r="I806">
            <v>5.9873776162118615</v>
          </cell>
          <cell r="J806">
            <v>0.57741248459387784</v>
          </cell>
        </row>
        <row r="807">
          <cell r="A807" t="str">
            <v>D-RLFO</v>
          </cell>
          <cell r="B807" t="str">
            <v>VAR_fin</v>
          </cell>
          <cell r="C807" t="str">
            <v>LFO</v>
          </cell>
          <cell r="H807">
            <v>15.870004283579796</v>
          </cell>
          <cell r="I807">
            <v>6.0884007385176568</v>
          </cell>
          <cell r="J807">
            <v>9.7408290874634051E-6</v>
          </cell>
        </row>
        <row r="808">
          <cell r="A808" t="str">
            <v>D-RLFO</v>
          </cell>
          <cell r="B808" t="str">
            <v>VAR_fin</v>
          </cell>
          <cell r="C808" t="str">
            <v>BDS</v>
          </cell>
          <cell r="H808">
            <v>9.6635017103071242E-4</v>
          </cell>
          <cell r="I808">
            <v>6.7162577198594318E-4</v>
          </cell>
          <cell r="J808">
            <v>0.58721657947911698</v>
          </cell>
        </row>
        <row r="809">
          <cell r="A809" t="str">
            <v>D-SCOM_LTH_CHPBIO</v>
          </cell>
          <cell r="B809" t="str">
            <v>VAR_fout</v>
          </cell>
          <cell r="C809" t="str">
            <v>SCOM_LTH_CHPBIO_ON</v>
          </cell>
        </row>
        <row r="810">
          <cell r="A810" t="str">
            <v>D-SCOM_LTH_CHPBIO</v>
          </cell>
          <cell r="B810" t="str">
            <v>VAR_fout</v>
          </cell>
          <cell r="C810" t="str">
            <v>LTH</v>
          </cell>
        </row>
        <row r="811">
          <cell r="A811" t="str">
            <v>D-SCOM_LTH_CHPBIO</v>
          </cell>
          <cell r="B811" t="str">
            <v>VAR_fin</v>
          </cell>
          <cell r="C811" t="str">
            <v>SCOM_LTH_CHPBIO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ELC5</v>
          </cell>
          <cell r="H812">
            <v>1.2007797545740789E-3</v>
          </cell>
          <cell r="I812">
            <v>4.5922584632084479E-4</v>
          </cell>
        </row>
        <row r="813">
          <cell r="A813" t="str">
            <v>D-SCOM_NKEV_GAS_ELC_CHP</v>
          </cell>
          <cell r="B813" t="str">
            <v>VAR_fout</v>
          </cell>
          <cell r="C813" t="str">
            <v>SCOM_ELC</v>
          </cell>
          <cell r="H813">
            <v>4.5997681588456343E-3</v>
          </cell>
          <cell r="I813">
            <v>6.4397075548956262E-4</v>
          </cell>
        </row>
        <row r="814">
          <cell r="A814" t="str">
            <v>D-SCOM_NKEV_GAS_ELC_CHP</v>
          </cell>
          <cell r="B814" t="str">
            <v>VAR_fin</v>
          </cell>
          <cell r="C814" t="str">
            <v>SCOM_NKEV_GAS_ELC_CHP</v>
          </cell>
          <cell r="H814">
            <v>5.7739269865047221E-3</v>
          </cell>
          <cell r="I814">
            <v>1.0811952019520118E-3</v>
          </cell>
        </row>
        <row r="815">
          <cell r="A815" t="str">
            <v>RHEM-SHLTHDH</v>
          </cell>
          <cell r="B815" t="str">
            <v>VAR_fout</v>
          </cell>
          <cell r="C815" t="str">
            <v>RHEM-SHLTHD</v>
          </cell>
          <cell r="H815">
            <v>5.4114923635621173</v>
          </cell>
          <cell r="I815">
            <v>5.6678561225557909</v>
          </cell>
          <cell r="J815">
            <v>5.1307491214861205</v>
          </cell>
        </row>
        <row r="816">
          <cell r="A816" t="str">
            <v>RHEM-SHLTHDH</v>
          </cell>
          <cell r="B816" t="str">
            <v>VAR_fin</v>
          </cell>
          <cell r="C816" t="str">
            <v>RHEMLTHDHC</v>
          </cell>
          <cell r="H816">
            <v>5.4114923635621173</v>
          </cell>
          <cell r="I816">
            <v>5.6678561225557909</v>
          </cell>
          <cell r="J816">
            <v>5.1307491214861205</v>
          </cell>
        </row>
        <row r="817">
          <cell r="A817" t="str">
            <v>RHEM-SHLTHDH</v>
          </cell>
          <cell r="B817" t="str">
            <v>VAR_fin</v>
          </cell>
          <cell r="C817" t="str">
            <v>RHEM_LTH_DH</v>
          </cell>
          <cell r="H817">
            <v>6.0639927981741026</v>
          </cell>
          <cell r="I817">
            <v>6.3512680789669158</v>
          </cell>
          <cell r="J817">
            <v>5.7493984342333766</v>
          </cell>
        </row>
        <row r="818">
          <cell r="A818" t="str">
            <v>RHEM-SHLTHDH</v>
          </cell>
          <cell r="B818" t="str">
            <v>VAR_ncap</v>
          </cell>
          <cell r="C818" t="str">
            <v>-</v>
          </cell>
          <cell r="H818">
            <v>5.0782465280169498E-2</v>
          </cell>
          <cell r="I818">
            <v>7.9092575114513702E-2</v>
          </cell>
          <cell r="J818">
            <v>7.4937850137280396E-2</v>
          </cell>
        </row>
        <row r="819">
          <cell r="A819" t="str">
            <v>RHEM-SHLTHDH</v>
          </cell>
          <cell r="B819" t="str">
            <v>VAR_cap</v>
          </cell>
          <cell r="C819" t="str">
            <v>-</v>
          </cell>
          <cell r="H819">
            <v>0.39389195060664495</v>
          </cell>
          <cell r="I819">
            <v>0.40144216700273994</v>
          </cell>
          <cell r="J819">
            <v>0.39674731156366394</v>
          </cell>
        </row>
        <row r="820">
          <cell r="A820" t="str">
            <v>D-ITOT_SOLELC</v>
          </cell>
          <cell r="B820" t="str">
            <v>VAR_fout</v>
          </cell>
          <cell r="C820" t="str">
            <v>ITOT_ELC</v>
          </cell>
          <cell r="H820">
            <v>20.467262772328684</v>
          </cell>
          <cell r="I820">
            <v>40.232353910442519</v>
          </cell>
          <cell r="J820">
            <v>43.141538933242892</v>
          </cell>
        </row>
        <row r="821">
          <cell r="A821" t="str">
            <v>D-ITOT_SOLELC</v>
          </cell>
          <cell r="B821" t="str">
            <v>VAR_fout</v>
          </cell>
          <cell r="C821" t="str">
            <v>ELC5</v>
          </cell>
          <cell r="H821">
            <v>2.81544802437663E-3</v>
          </cell>
          <cell r="I821">
            <v>0.4767609559379305</v>
          </cell>
          <cell r="J821">
            <v>0.43977116091937402</v>
          </cell>
        </row>
        <row r="822">
          <cell r="A822" t="str">
            <v>D-ITOT_SOLELC</v>
          </cell>
          <cell r="B822" t="str">
            <v>VAR_fin</v>
          </cell>
          <cell r="C822" t="str">
            <v>ITOT_SOL_ELC</v>
          </cell>
          <cell r="H822">
            <v>20.470078220353066</v>
          </cell>
          <cell r="I822">
            <v>40.709114866380425</v>
          </cell>
          <cell r="J822">
            <v>43.581310094162227</v>
          </cell>
        </row>
        <row r="823">
          <cell r="A823" t="str">
            <v>D-SWOD</v>
          </cell>
          <cell r="B823" t="str">
            <v>VAR_fout</v>
          </cell>
          <cell r="C823" t="str">
            <v>SWOD</v>
          </cell>
          <cell r="H823">
            <v>8.4628158125272517</v>
          </cell>
          <cell r="I823">
            <v>7.1495955857386422</v>
          </cell>
          <cell r="J823">
            <v>4.7621358113507126</v>
          </cell>
        </row>
        <row r="824">
          <cell r="A824" t="str">
            <v>D-SWOD</v>
          </cell>
          <cell r="B824" t="str">
            <v>VAR_fin</v>
          </cell>
          <cell r="C824" t="str">
            <v>WOD</v>
          </cell>
          <cell r="H824">
            <v>8.4628158125272517</v>
          </cell>
          <cell r="I824">
            <v>7.1495955857386422</v>
          </cell>
          <cell r="J824">
            <v>4.7621358113507126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CO2_O</v>
          </cell>
          <cell r="I825">
            <v>0.14536777511038459</v>
          </cell>
          <cell r="J825">
            <v>1011.4110171050864</v>
          </cell>
        </row>
        <row r="826">
          <cell r="A826" t="str">
            <v>ITOT-PROCESSCO2CCS</v>
          </cell>
          <cell r="B826" t="str">
            <v>VAR_fout</v>
          </cell>
          <cell r="C826" t="str">
            <v>CO2</v>
          </cell>
          <cell r="I826">
            <v>-0.14536777511038501</v>
          </cell>
          <cell r="J826">
            <v>-1011.41101710509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ITOT_ELC</v>
          </cell>
          <cell r="I827">
            <v>3.0783764141022668E-4</v>
          </cell>
          <cell r="J827">
            <v>2.1418115656343009</v>
          </cell>
        </row>
        <row r="828">
          <cell r="A828" t="str">
            <v>ITOT-PROCESSCO2CCS</v>
          </cell>
          <cell r="B828" t="str">
            <v>VAR_fin</v>
          </cell>
          <cell r="C828" t="str">
            <v>ITOT_LTH_DH</v>
          </cell>
          <cell r="I828">
            <v>1.1971463832619915E-4</v>
          </cell>
          <cell r="J828">
            <v>0.83292671996889445</v>
          </cell>
        </row>
        <row r="829">
          <cell r="A829" t="str">
            <v>ITOT-PROCESSCO2CCS</v>
          </cell>
          <cell r="B829" t="str">
            <v>VAR_ncap</v>
          </cell>
          <cell r="C829" t="str">
            <v>-</v>
          </cell>
          <cell r="I829">
            <v>0.41814278432950802</v>
          </cell>
          <cell r="J829">
            <v>3000.7863117165898</v>
          </cell>
        </row>
        <row r="830">
          <cell r="A830" t="str">
            <v>ITOT-PROCESSCO2CCS</v>
          </cell>
          <cell r="B830" t="str">
            <v>VAR_cap</v>
          </cell>
          <cell r="C830" t="str">
            <v>-</v>
          </cell>
          <cell r="I830">
            <v>0.41814278432950802</v>
          </cell>
          <cell r="J830">
            <v>3001.2044545009198</v>
          </cell>
        </row>
        <row r="831">
          <cell r="A831" t="str">
            <v>D-RSH2R</v>
          </cell>
          <cell r="B831" t="str">
            <v>VAR_fout</v>
          </cell>
          <cell r="C831" t="str">
            <v>RSH2</v>
          </cell>
          <cell r="H831">
            <v>4.4419342002680523E-4</v>
          </cell>
          <cell r="I831">
            <v>3.4211180594686641E-4</v>
          </cell>
          <cell r="J831">
            <v>2.6622916126562969E-4</v>
          </cell>
        </row>
        <row r="832">
          <cell r="A832" t="str">
            <v>D-RSH2R</v>
          </cell>
          <cell r="B832" t="str">
            <v>VAR_fin</v>
          </cell>
          <cell r="C832" t="str">
            <v>H2</v>
          </cell>
          <cell r="H832">
            <v>4.4419342002680523E-4</v>
          </cell>
          <cell r="I832">
            <v>3.4211180594686641E-4</v>
          </cell>
          <cell r="J832">
            <v>2.6622916126562969E-4</v>
          </cell>
        </row>
        <row r="833">
          <cell r="A833" t="str">
            <v>D-RSH2R</v>
          </cell>
          <cell r="B833" t="str">
            <v>VAR_ncap</v>
          </cell>
          <cell r="C833" t="str">
            <v>-</v>
          </cell>
          <cell r="H833">
            <v>7.0573364652584702E-5</v>
          </cell>
          <cell r="I833">
            <v>9.7762971540868497E-5</v>
          </cell>
          <cell r="J833">
            <v>3.2421995477880798E-5</v>
          </cell>
        </row>
        <row r="834">
          <cell r="A834" t="str">
            <v>D-RSH2R</v>
          </cell>
          <cell r="B834" t="str">
            <v>VAR_cap</v>
          </cell>
          <cell r="C834" t="str">
            <v>-</v>
          </cell>
          <cell r="H834">
            <v>1.22720991538939E-4</v>
          </cell>
          <cell r="I834">
            <v>1.10263061619139E-4</v>
          </cell>
          <cell r="J834">
            <v>6.5907890375490802E-5</v>
          </cell>
        </row>
        <row r="835">
          <cell r="A835" t="str">
            <v>SCOM-SHLTHCHPBIO</v>
          </cell>
          <cell r="B835" t="str">
            <v>VAR_fout</v>
          </cell>
          <cell r="C835" t="str">
            <v>SCOM-SHLTHC-BIO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SCOM_LTH_CHPBIO_ON</v>
          </cell>
        </row>
        <row r="837">
          <cell r="A837" t="str">
            <v>SCOM-SHLTHCHPBIO</v>
          </cell>
          <cell r="B837" t="str">
            <v>VAR_fin</v>
          </cell>
          <cell r="C837" t="str">
            <v>SCOMLTHCHPC</v>
          </cell>
        </row>
        <row r="838">
          <cell r="A838" t="str">
            <v>SCOM-SHLTHCHPBIO</v>
          </cell>
          <cell r="B838" t="str">
            <v>VAR_ncap</v>
          </cell>
          <cell r="C838" t="str">
            <v>-</v>
          </cell>
          <cell r="H838">
            <v>4.9150076047384403E-2</v>
          </cell>
          <cell r="I838">
            <v>3.9642628271715198E-2</v>
          </cell>
          <cell r="J838">
            <v>5.1916465327280399E-2</v>
          </cell>
        </row>
        <row r="839">
          <cell r="A839" t="str">
            <v>SCOM-SHLTHCHPBIO</v>
          </cell>
          <cell r="B839" t="str">
            <v>VAR_cap</v>
          </cell>
          <cell r="C839" t="str">
            <v>-</v>
          </cell>
          <cell r="H839">
            <v>8.9264699849245593E-2</v>
          </cell>
          <cell r="I839">
            <v>7.7080250377424803E-2</v>
          </cell>
          <cell r="J839">
            <v>7.7080738377667102E-2</v>
          </cell>
        </row>
        <row r="840">
          <cell r="A840" t="str">
            <v>D-RSH2</v>
          </cell>
          <cell r="B840" t="str">
            <v>VAR_fout</v>
          </cell>
          <cell r="C840" t="str">
            <v>RSH2</v>
          </cell>
          <cell r="H840">
            <v>4.0610864983866001E-4</v>
          </cell>
          <cell r="I840">
            <v>3.3150661577566957E-4</v>
          </cell>
          <cell r="J840">
            <v>3.0710681287099059E-4</v>
          </cell>
        </row>
        <row r="841">
          <cell r="A841" t="str">
            <v>D-RSH2</v>
          </cell>
          <cell r="B841" t="str">
            <v>VAR_fin</v>
          </cell>
          <cell r="C841" t="str">
            <v>H2</v>
          </cell>
          <cell r="H841">
            <v>4.0920254311074036E-4</v>
          </cell>
          <cell r="I841">
            <v>3.3403216180529979E-4</v>
          </cell>
          <cell r="J841">
            <v>3.0944647173452168E-4</v>
          </cell>
        </row>
        <row r="842">
          <cell r="A842" t="str">
            <v>D-RSH2</v>
          </cell>
          <cell r="B842" t="str">
            <v>VAR_ncap</v>
          </cell>
          <cell r="C842" t="str">
            <v>-</v>
          </cell>
          <cell r="H842">
            <v>3.2686446608675103E-5</v>
          </cell>
          <cell r="I842">
            <v>3.25359787100847E-6</v>
          </cell>
          <cell r="J842">
            <v>1.64558941150427E-6</v>
          </cell>
        </row>
        <row r="843">
          <cell r="A843" t="str">
            <v>D-RSH2</v>
          </cell>
          <cell r="B843" t="str">
            <v>VAR_cap</v>
          </cell>
          <cell r="C843" t="str">
            <v>-</v>
          </cell>
          <cell r="H843">
            <v>1.21067599460787E-4</v>
          </cell>
          <cell r="I843">
            <v>1.2432119733179499E-4</v>
          </cell>
          <cell r="J843">
            <v>1.2596678674329899E-4</v>
          </cell>
        </row>
        <row r="844">
          <cell r="A844" t="str">
            <v>RHES-SHNGABR</v>
          </cell>
          <cell r="B844" t="str">
            <v>VAR_fout</v>
          </cell>
          <cell r="C844" t="str">
            <v>CO2_R</v>
          </cell>
          <cell r="H844">
            <v>298.71449969036001</v>
          </cell>
          <cell r="I844">
            <v>141.708973941773</v>
          </cell>
          <cell r="J844">
            <v>57.031574252740398</v>
          </cell>
        </row>
        <row r="845">
          <cell r="A845" t="str">
            <v>RHES-SHNGABR</v>
          </cell>
          <cell r="B845" t="str">
            <v>VAR_fout</v>
          </cell>
          <cell r="C845" t="str">
            <v>RHES-SHNGA</v>
          </cell>
          <cell r="H845">
            <v>4.859141578602264</v>
          </cell>
          <cell r="I845">
            <v>2.305157493376798</v>
          </cell>
          <cell r="J845">
            <v>0.94681199464743993</v>
          </cell>
        </row>
        <row r="846">
          <cell r="A846" t="str">
            <v>RHES-SHNGABR</v>
          </cell>
          <cell r="B846" t="str">
            <v>VAR_fin</v>
          </cell>
          <cell r="C846" t="str">
            <v>RNGA</v>
          </cell>
          <cell r="H846">
            <v>5.2963563774886522</v>
          </cell>
          <cell r="I846">
            <v>2.5125704599605165</v>
          </cell>
          <cell r="J846">
            <v>1.0111981250485891</v>
          </cell>
        </row>
        <row r="847">
          <cell r="A847" t="str">
            <v>RHES-SHNGABR</v>
          </cell>
          <cell r="B847" t="str">
            <v>VAR_ncap</v>
          </cell>
          <cell r="C847" t="str">
            <v>-</v>
          </cell>
          <cell r="H847">
            <v>1.1327289644802899E-2</v>
          </cell>
          <cell r="I847">
            <v>0.17526548943870801</v>
          </cell>
          <cell r="J847">
            <v>1.6650272787803899E-7</v>
          </cell>
        </row>
        <row r="848">
          <cell r="A848" t="str">
            <v>RHES-SHNGABR</v>
          </cell>
          <cell r="B848" t="str">
            <v>VAR_cap</v>
          </cell>
          <cell r="C848" t="str">
            <v>-</v>
          </cell>
          <cell r="H848">
            <v>0.39272073347977071</v>
          </cell>
          <cell r="I848">
            <v>0.18659263069977819</v>
          </cell>
          <cell r="J848">
            <v>0.1161063570051496</v>
          </cell>
        </row>
        <row r="849">
          <cell r="A849" t="str">
            <v>SCOM-SHLTHCHPHFC</v>
          </cell>
          <cell r="B849" t="str">
            <v>VAR_ncap</v>
          </cell>
          <cell r="C849" t="str">
            <v>-</v>
          </cell>
          <cell r="H849">
            <v>1.68336682112164E-4</v>
          </cell>
          <cell r="I849">
            <v>6.8176456546808703E-4</v>
          </cell>
          <cell r="J849">
            <v>2.8280928235770701E-4</v>
          </cell>
        </row>
        <row r="850">
          <cell r="A850" t="str">
            <v>SCOM-SHLTHCHPHFC</v>
          </cell>
          <cell r="B850" t="str">
            <v>VAR_cap</v>
          </cell>
          <cell r="C850" t="str">
            <v>-</v>
          </cell>
          <cell r="H850">
            <v>2.0939352535317643E-4</v>
          </cell>
          <cell r="I850">
            <v>7.7671255375625498E-4</v>
          </cell>
          <cell r="J850">
            <v>4.4516042319536303E-4</v>
          </cell>
        </row>
        <row r="851">
          <cell r="A851" t="str">
            <v>RHSA-WHNGABR</v>
          </cell>
          <cell r="B851" t="str">
            <v>VAR_fout</v>
          </cell>
          <cell r="C851" t="str">
            <v>RHSA-WHNGA</v>
          </cell>
          <cell r="H851">
            <v>2.3785050521572431</v>
          </cell>
          <cell r="I851">
            <v>1.4264803091380824</v>
          </cell>
          <cell r="J851">
            <v>0.63679281014053568</v>
          </cell>
        </row>
        <row r="852">
          <cell r="A852" t="str">
            <v>RHSA-WHNGABR</v>
          </cell>
          <cell r="B852" t="str">
            <v>VAR_fout</v>
          </cell>
          <cell r="C852" t="str">
            <v>CO2_R</v>
          </cell>
          <cell r="H852">
            <v>239.61770699534</v>
          </cell>
          <cell r="I852">
            <v>143.70788930620901</v>
          </cell>
          <cell r="J852">
            <v>63.618726863200003</v>
          </cell>
        </row>
        <row r="853">
          <cell r="A853" t="str">
            <v>RHSA-WHNGABR</v>
          </cell>
          <cell r="B853" t="str">
            <v>VAR_fin</v>
          </cell>
          <cell r="C853" t="str">
            <v>RNGA</v>
          </cell>
          <cell r="H853">
            <v>4.248540904172704</v>
          </cell>
          <cell r="I853">
            <v>2.5480122217412959</v>
          </cell>
          <cell r="J853">
            <v>1.127991611049644</v>
          </cell>
        </row>
        <row r="854">
          <cell r="A854" t="str">
            <v>RHSA-WHNGABR</v>
          </cell>
          <cell r="B854" t="str">
            <v>VAR_ncap</v>
          </cell>
          <cell r="C854" t="str">
            <v>-</v>
          </cell>
          <cell r="H854">
            <v>5.0173333485405598E-2</v>
          </cell>
          <cell r="I854">
            <v>5.05032663646343E-2</v>
          </cell>
          <cell r="J854">
            <v>5.0487241007608495E-7</v>
          </cell>
        </row>
        <row r="855">
          <cell r="A855" t="str">
            <v>RHSA-WHNGABR</v>
          </cell>
          <cell r="B855" t="str">
            <v>VAR_cap</v>
          </cell>
          <cell r="C855" t="str">
            <v>-</v>
          </cell>
          <cell r="H855">
            <v>0.16315738518414669</v>
          </cell>
          <cell r="I855">
            <v>0.10067609843788479</v>
          </cell>
          <cell r="J855">
            <v>5.7873614714021408E-2</v>
          </cell>
        </row>
        <row r="856">
          <cell r="A856" t="str">
            <v>ITOT-SWHWSTBR</v>
          </cell>
          <cell r="B856" t="str">
            <v>VAR_fout</v>
          </cell>
          <cell r="C856" t="str">
            <v>ITOT-SWH</v>
          </cell>
          <cell r="H856">
            <v>5.6806089831877733</v>
          </cell>
          <cell r="I856">
            <v>4.5257712401916841</v>
          </cell>
          <cell r="J856">
            <v>3.2361443320330894</v>
          </cell>
        </row>
        <row r="857">
          <cell r="A857" t="str">
            <v>ITOT-SWHWSTBR</v>
          </cell>
          <cell r="B857" t="str">
            <v>VAR_fout</v>
          </cell>
          <cell r="C857" t="str">
            <v>CO2_I</v>
          </cell>
          <cell r="H857">
            <v>998.41006371179003</v>
          </cell>
          <cell r="I857">
            <v>795.43858160944706</v>
          </cell>
          <cell r="J857">
            <v>552.04815075858698</v>
          </cell>
        </row>
        <row r="858">
          <cell r="A858" t="str">
            <v>ITOT-SWHWSTBR</v>
          </cell>
          <cell r="B858" t="str">
            <v>VAR_fin</v>
          </cell>
          <cell r="C858" t="str">
            <v>IWST</v>
          </cell>
          <cell r="H858">
            <v>10.758729134825327</v>
          </cell>
          <cell r="I858">
            <v>8.5715364397569669</v>
          </cell>
          <cell r="J858">
            <v>5.9487947280020101</v>
          </cell>
        </row>
        <row r="859">
          <cell r="A859" t="str">
            <v>ITOT-SWHWSTBR</v>
          </cell>
          <cell r="B859" t="str">
            <v>VAR_ncap</v>
          </cell>
          <cell r="C859" t="str">
            <v>-</v>
          </cell>
          <cell r="H859">
            <v>0.23473992311847899</v>
          </cell>
          <cell r="I859">
            <v>0.107054181559366</v>
          </cell>
          <cell r="J859">
            <v>4.7894687791554799E-2</v>
          </cell>
        </row>
        <row r="860">
          <cell r="A860" t="str">
            <v>ITOT-SWHWSTBR</v>
          </cell>
          <cell r="B860" t="str">
            <v>VAR_cap</v>
          </cell>
          <cell r="C860" t="str">
            <v>-</v>
          </cell>
          <cell r="H860">
            <v>0.32794241566077703</v>
          </cell>
          <cell r="I860">
            <v>0.34178182249924621</v>
          </cell>
          <cell r="J860">
            <v>0.22483579365188508</v>
          </cell>
        </row>
        <row r="861">
          <cell r="A861" t="str">
            <v>SCOM-SHSTG-ELC</v>
          </cell>
          <cell r="B861" t="str">
            <v>VAR_fout</v>
          </cell>
          <cell r="C861" t="str">
            <v>SCOM-SHAELCB</v>
          </cell>
          <cell r="H861">
            <v>3.0466682259291163E-5</v>
          </cell>
          <cell r="I861">
            <v>2.8869630119661731E-5</v>
          </cell>
          <cell r="J861">
            <v>8.784681522424923E-6</v>
          </cell>
        </row>
        <row r="862">
          <cell r="A862" t="str">
            <v>SCOM-SHSTG-ELC</v>
          </cell>
          <cell r="B862" t="str">
            <v>VAR_fin</v>
          </cell>
          <cell r="C862" t="str">
            <v>SCOM-SHAELCB</v>
          </cell>
          <cell r="H862">
            <v>3.4104582571534115E-5</v>
          </cell>
          <cell r="I862">
            <v>3.405673359168308E-5</v>
          </cell>
          <cell r="J862">
            <v>9.4285953758511712E-6</v>
          </cell>
        </row>
        <row r="863">
          <cell r="A863" t="str">
            <v>SCOM-SHSTG-ELC</v>
          </cell>
          <cell r="B863" t="str">
            <v>VAR_ncap</v>
          </cell>
          <cell r="C863" t="str">
            <v>-</v>
          </cell>
          <cell r="H863">
            <v>2.21324182493843E-3</v>
          </cell>
          <cell r="I863">
            <v>3.3259486696987401E-3</v>
          </cell>
          <cell r="J863">
            <v>6.5470494283094199E-4</v>
          </cell>
        </row>
        <row r="864">
          <cell r="A864" t="str">
            <v>SCOM-SHSTG-ELC</v>
          </cell>
          <cell r="B864" t="str">
            <v>VAR_cap</v>
          </cell>
          <cell r="C864" t="str">
            <v>-</v>
          </cell>
          <cell r="H864">
            <v>5.3740291340130704E-3</v>
          </cell>
          <cell r="I864">
            <v>5.5141223577269078E-3</v>
          </cell>
          <cell r="J864">
            <v>3.9325764372181013E-3</v>
          </cell>
        </row>
        <row r="865">
          <cell r="A865" t="str">
            <v>SCOM-SHNGABR</v>
          </cell>
          <cell r="B865" t="str">
            <v>VAR_fout</v>
          </cell>
          <cell r="C865" t="str">
            <v>CO2_S</v>
          </cell>
          <cell r="H865">
            <v>635.32653748485802</v>
          </cell>
          <cell r="I865">
            <v>338.22529812856197</v>
          </cell>
          <cell r="J865">
            <v>126.818732442529</v>
          </cell>
        </row>
        <row r="866">
          <cell r="A866" t="str">
            <v>SCOM-SHNGABR</v>
          </cell>
          <cell r="B866" t="str">
            <v>VAR_fout</v>
          </cell>
          <cell r="C866" t="str">
            <v>SCOM-SHNGA</v>
          </cell>
          <cell r="H866">
            <v>9.7648038093698251</v>
          </cell>
          <cell r="I866">
            <v>5.1984349538834405</v>
          </cell>
          <cell r="J866">
            <v>1.9491709673527928</v>
          </cell>
        </row>
        <row r="867">
          <cell r="A867" t="str">
            <v>SCOM-SHNGABR</v>
          </cell>
          <cell r="B867" t="str">
            <v>VAR_fin</v>
          </cell>
          <cell r="C867" t="str">
            <v>SNGA</v>
          </cell>
          <cell r="H867">
            <v>11.26465491994429</v>
          </cell>
          <cell r="I867">
            <v>5.996902449087969</v>
          </cell>
          <cell r="J867">
            <v>2.2485590858604469</v>
          </cell>
        </row>
        <row r="868">
          <cell r="A868" t="str">
            <v>SCOM-SHNGABR</v>
          </cell>
          <cell r="B868" t="str">
            <v>VAR_ncap</v>
          </cell>
          <cell r="C868" t="str">
            <v>-</v>
          </cell>
          <cell r="H868">
            <v>0.49123674907173998</v>
          </cell>
          <cell r="I868">
            <v>2.7589082043129601E-2</v>
          </cell>
          <cell r="J868">
            <v>9.2604364116265794E-6</v>
          </cell>
        </row>
        <row r="869">
          <cell r="A869" t="str">
            <v>SCOM-SHNGABR</v>
          </cell>
          <cell r="B869" t="str">
            <v>VAR_cap</v>
          </cell>
          <cell r="C869" t="str">
            <v>-</v>
          </cell>
          <cell r="H869">
            <v>1.1350605043001889</v>
          </cell>
          <cell r="I869">
            <v>0.5188248751757728</v>
          </cell>
          <cell r="J869">
            <v>0.22782008389216693</v>
          </cell>
        </row>
        <row r="870">
          <cell r="A870" t="str">
            <v>RHEM-SHELCHP</v>
          </cell>
          <cell r="B870" t="str">
            <v>VAR_fout</v>
          </cell>
          <cell r="C870" t="str">
            <v>RHEM-SHAELCH</v>
          </cell>
          <cell r="H870">
            <v>18.148720285526011</v>
          </cell>
          <cell r="I870">
            <v>22.204497279207104</v>
          </cell>
          <cell r="J870">
            <v>22.172786721085203</v>
          </cell>
        </row>
        <row r="871">
          <cell r="A871" t="str">
            <v>RHEM-SHELCHP</v>
          </cell>
          <cell r="B871" t="str">
            <v>VAR_fin</v>
          </cell>
          <cell r="C871" t="str">
            <v>RHEMELCHPC</v>
          </cell>
          <cell r="H871">
            <v>18.148720285526011</v>
          </cell>
          <cell r="I871">
            <v>22.204497279207104</v>
          </cell>
          <cell r="J871">
            <v>22.172786721085203</v>
          </cell>
        </row>
        <row r="872">
          <cell r="A872" t="str">
            <v>RHEM-SHELCHP</v>
          </cell>
          <cell r="B872" t="str">
            <v>VAR_fin</v>
          </cell>
          <cell r="C872" t="str">
            <v>RHEM_ELC</v>
          </cell>
          <cell r="H872">
            <v>5.0742508745493335</v>
          </cell>
          <cell r="I872">
            <v>5.8647865921943172</v>
          </cell>
          <cell r="J872">
            <v>5.3536995217753445</v>
          </cell>
        </row>
        <row r="873">
          <cell r="A873" t="str">
            <v>RHEM-SHELCHP</v>
          </cell>
          <cell r="B873" t="str">
            <v>VAR_ncap</v>
          </cell>
          <cell r="C873" t="str">
            <v>-</v>
          </cell>
          <cell r="H873">
            <v>0.80578102748651104</v>
          </cell>
          <cell r="I873">
            <v>0.60439254831309697</v>
          </cell>
          <cell r="J873">
            <v>0.78644565859043902</v>
          </cell>
        </row>
        <row r="874">
          <cell r="A874" t="str">
            <v>RHEM-SHELCHP</v>
          </cell>
          <cell r="B874" t="str">
            <v>VAR_cap</v>
          </cell>
          <cell r="C874" t="str">
            <v>-</v>
          </cell>
          <cell r="H874">
            <v>1.2815901448739739</v>
          </cell>
          <cell r="I874">
            <v>1.5679846122129841</v>
          </cell>
          <cell r="J874">
            <v>1.5659144548859822</v>
          </cell>
        </row>
        <row r="875">
          <cell r="A875" t="str">
            <v>RHNM-SHSTG-ELC</v>
          </cell>
          <cell r="B875" t="str">
            <v>VAR_fout</v>
          </cell>
          <cell r="C875" t="str">
            <v>RHNM-SHAELCB</v>
          </cell>
          <cell r="H875">
            <v>2.6001536099867323E-4</v>
          </cell>
          <cell r="I875">
            <v>5.3348300231671622E-4</v>
          </cell>
          <cell r="J875">
            <v>2.9683220281492503E-4</v>
          </cell>
        </row>
        <row r="876">
          <cell r="A876" t="str">
            <v>RHNM-SHSTG-ELC</v>
          </cell>
          <cell r="B876" t="str">
            <v>VAR_fout</v>
          </cell>
          <cell r="C876" t="str">
            <v>AUX_RHNM-SHSTG-ELC_OUT</v>
          </cell>
          <cell r="H876">
            <v>2.6027537635967197E-4</v>
          </cell>
          <cell r="I876">
            <v>5.3401648531903247E-4</v>
          </cell>
          <cell r="J876">
            <v>2.971290350177401E-4</v>
          </cell>
        </row>
        <row r="877">
          <cell r="A877" t="str">
            <v>RHNM-SHSTG-ELC</v>
          </cell>
          <cell r="B877" t="str">
            <v>VAR_fin</v>
          </cell>
          <cell r="C877" t="str">
            <v>RHNM-SHAELCB</v>
          </cell>
          <cell r="H877">
            <v>2.5567284312084753E-4</v>
          </cell>
          <cell r="I877">
            <v>5.2678406723146538E-4</v>
          </cell>
          <cell r="J877">
            <v>2.9694472523976255E-4</v>
          </cell>
        </row>
        <row r="878">
          <cell r="A878" t="str">
            <v>RHNM-SHSTG-ELC</v>
          </cell>
          <cell r="B878" t="str">
            <v>VAR_ncap</v>
          </cell>
          <cell r="C878" t="str">
            <v>-</v>
          </cell>
          <cell r="H878">
            <v>2.34133977209666E-4</v>
          </cell>
          <cell r="I878">
            <v>6.3137070377084005E-5</v>
          </cell>
          <cell r="J878">
            <v>4.8250141277745003E-5</v>
          </cell>
        </row>
        <row r="879">
          <cell r="A879" t="str">
            <v>RHNM-SHSTG-ELC</v>
          </cell>
          <cell r="B879" t="str">
            <v>VAR_cap</v>
          </cell>
          <cell r="C879" t="str">
            <v>-</v>
          </cell>
          <cell r="H879">
            <v>1.665639830948941E-3</v>
          </cell>
          <cell r="I879">
            <v>2.5902516434087502E-4</v>
          </cell>
          <cell r="J879">
            <v>1.09774880580268E-4</v>
          </cell>
        </row>
        <row r="880">
          <cell r="A880" t="str">
            <v>D-RWOD</v>
          </cell>
          <cell r="B880" t="str">
            <v>VAR_fout</v>
          </cell>
          <cell r="C880" t="str">
            <v>RWOD</v>
          </cell>
          <cell r="H880">
            <v>15.095454583396421</v>
          </cell>
          <cell r="I880">
            <v>13.31441665906687</v>
          </cell>
          <cell r="J880">
            <v>6.2168787718771394</v>
          </cell>
        </row>
        <row r="881">
          <cell r="A881" t="str">
            <v>D-RWOD</v>
          </cell>
          <cell r="B881" t="str">
            <v>VAR_fin</v>
          </cell>
          <cell r="C881" t="str">
            <v>WOD</v>
          </cell>
          <cell r="H881">
            <v>15.095454583396421</v>
          </cell>
          <cell r="I881">
            <v>13.31441665906687</v>
          </cell>
          <cell r="J881">
            <v>6.2168787718771394</v>
          </cell>
        </row>
        <row r="882">
          <cell r="A882" t="str">
            <v>RHNS-SHLTHCHPWOD</v>
          </cell>
          <cell r="B882" t="str">
            <v>VAR_ncap</v>
          </cell>
          <cell r="C882" t="str">
            <v>-</v>
          </cell>
          <cell r="H882">
            <v>4.2664056724816402E-4</v>
          </cell>
          <cell r="I882">
            <v>3.0484205458719798E-4</v>
          </cell>
          <cell r="J882">
            <v>8.9717429902810096E-5</v>
          </cell>
        </row>
        <row r="883">
          <cell r="A883" t="str">
            <v>RHNS-SHLTHCHPWOD</v>
          </cell>
          <cell r="B883" t="str">
            <v>VAR_cap</v>
          </cell>
          <cell r="C883" t="str">
            <v>-</v>
          </cell>
          <cell r="H883">
            <v>5.4987806354578296E-4</v>
          </cell>
          <cell r="I883">
            <v>5.3257126047401705E-4</v>
          </cell>
          <cell r="J883">
            <v>1.7725649073960497E-4</v>
          </cell>
        </row>
        <row r="884">
          <cell r="A884" t="str">
            <v>RHNM-SHELCBR</v>
          </cell>
          <cell r="B884" t="str">
            <v>VAR_fout</v>
          </cell>
          <cell r="C884" t="str">
            <v>RHNM-SHAELCB</v>
          </cell>
          <cell r="H884">
            <v>1.7438793391834379E-3</v>
          </cell>
          <cell r="I884">
            <v>1.9371520292331818E-3</v>
          </cell>
          <cell r="J884">
            <v>1.9092394042734492E-3</v>
          </cell>
        </row>
        <row r="885">
          <cell r="A885" t="str">
            <v>RHNM-SHELCBR</v>
          </cell>
          <cell r="B885" t="str">
            <v>VAR_fin</v>
          </cell>
          <cell r="C885" t="str">
            <v>RHNM_ELC</v>
          </cell>
          <cell r="H885">
            <v>1.835662462298355E-3</v>
          </cell>
          <cell r="I885">
            <v>2.0391073991928247E-3</v>
          </cell>
          <cell r="J885">
            <v>2.0097256887088898E-3</v>
          </cell>
        </row>
        <row r="886">
          <cell r="A886" t="str">
            <v>RHNM-SHELCBR</v>
          </cell>
          <cell r="B886" t="str">
            <v>VAR_ncap</v>
          </cell>
          <cell r="C886" t="str">
            <v>-</v>
          </cell>
          <cell r="H886">
            <v>1.0984938714038799E-3</v>
          </cell>
        </row>
        <row r="887">
          <cell r="A887" t="str">
            <v>RHNM-SHELCBR</v>
          </cell>
          <cell r="B887" t="str">
            <v>VAR_cap</v>
          </cell>
          <cell r="C887" t="str">
            <v>-</v>
          </cell>
          <cell r="H887">
            <v>7.0805091543057596E-3</v>
          </cell>
          <cell r="I887">
            <v>1.0980313345386337E-3</v>
          </cell>
          <cell r="J887">
            <v>4.6382154078850659E-4</v>
          </cell>
        </row>
        <row r="888">
          <cell r="A888" t="str">
            <v>RHNS-SHSTG-NGAHP</v>
          </cell>
          <cell r="B888" t="str">
            <v>VAR_fout</v>
          </cell>
          <cell r="C888" t="str">
            <v>RHNS-SHANGAH</v>
          </cell>
          <cell r="H888">
            <v>3.5694916748345427E-2</v>
          </cell>
          <cell r="I888">
            <v>5.6488652710418981E-2</v>
          </cell>
          <cell r="J888">
            <v>8.2685075878743922E-2</v>
          </cell>
        </row>
        <row r="889">
          <cell r="A889" t="str">
            <v>RHNS-SHSTG-NGAHP</v>
          </cell>
          <cell r="B889" t="str">
            <v>VAR_fout</v>
          </cell>
          <cell r="C889" t="str">
            <v>AUX_RHNS-SHSTG-NGAHP_OUT</v>
          </cell>
          <cell r="H889">
            <v>3.573061166509376E-2</v>
          </cell>
          <cell r="I889">
            <v>5.6545141363129367E-2</v>
          </cell>
          <cell r="J889">
            <v>8.2767760954622668E-2</v>
          </cell>
        </row>
        <row r="890">
          <cell r="A890" t="str">
            <v>RHNS-SHSTG-NGAHP</v>
          </cell>
          <cell r="B890" t="str">
            <v>VAR_fin</v>
          </cell>
          <cell r="C890" t="str">
            <v>RHNS-SHANGAH</v>
          </cell>
          <cell r="H890">
            <v>3.5721702336139111E-2</v>
          </cell>
          <cell r="I890">
            <v>5.6510215390544564E-2</v>
          </cell>
          <cell r="J890">
            <v>8.2712724244413213E-2</v>
          </cell>
        </row>
        <row r="891">
          <cell r="A891" t="str">
            <v>RHNS-SHSTG-NGAHP</v>
          </cell>
          <cell r="B891" t="str">
            <v>VAR_ncap</v>
          </cell>
          <cell r="C891" t="str">
            <v>-</v>
          </cell>
          <cell r="H891">
            <v>2.9460587312381899E-3</v>
          </cell>
          <cell r="I891">
            <v>5.8728650937153902E-3</v>
          </cell>
          <cell r="J891">
            <v>9.5823535167148793E-3</v>
          </cell>
        </row>
        <row r="892">
          <cell r="A892" t="str">
            <v>RHNS-SHSTG-NGAHP</v>
          </cell>
          <cell r="B892" t="str">
            <v>VAR_cap</v>
          </cell>
          <cell r="C892" t="str">
            <v>-</v>
          </cell>
          <cell r="H892">
            <v>9.8667876387045945E-3</v>
          </cell>
          <cell r="I892">
            <v>1.2273005213175139E-2</v>
          </cell>
          <cell r="J892">
            <v>1.5043043921899882E-2</v>
          </cell>
        </row>
        <row r="893">
          <cell r="A893" t="str">
            <v>RHNS-SHLTHDH</v>
          </cell>
          <cell r="B893" t="str">
            <v>VAR_fout</v>
          </cell>
          <cell r="C893" t="str">
            <v>RHNS-SHLTHD</v>
          </cell>
          <cell r="H893">
            <v>0.1591266738259228</v>
          </cell>
          <cell r="I893">
            <v>0.17109505049476714</v>
          </cell>
          <cell r="J893">
            <v>0.19843234469994625</v>
          </cell>
        </row>
        <row r="894">
          <cell r="A894" t="str">
            <v>RHNS-SHLTHDH</v>
          </cell>
          <cell r="B894" t="str">
            <v>VAR_fin</v>
          </cell>
          <cell r="C894" t="str">
            <v>RHNS_LTH_DH</v>
          </cell>
          <cell r="H894">
            <v>0.1749482446231671</v>
          </cell>
          <cell r="I894">
            <v>0.18801801150998101</v>
          </cell>
          <cell r="J894">
            <v>0.21793502367562231</v>
          </cell>
        </row>
        <row r="895">
          <cell r="A895" t="str">
            <v>RHNS-SHLTHDH</v>
          </cell>
          <cell r="B895" t="str">
            <v>VAR_fin</v>
          </cell>
          <cell r="C895" t="str">
            <v>RHNSLTHDHC</v>
          </cell>
          <cell r="H895">
            <v>0.1591266738259228</v>
          </cell>
          <cell r="I895">
            <v>0.17109505049476714</v>
          </cell>
          <cell r="J895">
            <v>0.19843234469994625</v>
          </cell>
        </row>
        <row r="896">
          <cell r="A896" t="str">
            <v>RHNS-SHLTHDH</v>
          </cell>
          <cell r="B896" t="str">
            <v>VAR_ncap</v>
          </cell>
          <cell r="C896" t="str">
            <v>-</v>
          </cell>
          <cell r="H896">
            <v>1.3167631375620799E-2</v>
          </cell>
          <cell r="I896">
            <v>6.8293078813951797E-3</v>
          </cell>
          <cell r="J896">
            <v>8.1938263804087006E-3</v>
          </cell>
        </row>
        <row r="897">
          <cell r="A897" t="str">
            <v>RHNS-SHLTHDH</v>
          </cell>
          <cell r="B897" t="str">
            <v>VAR_cap</v>
          </cell>
          <cell r="C897" t="str">
            <v>-</v>
          </cell>
          <cell r="H897">
            <v>2.2482346220591701E-2</v>
          </cell>
          <cell r="I897">
            <v>1.60861707633949E-2</v>
          </cell>
          <cell r="J897">
            <v>1.5975319071165596E-2</v>
          </cell>
        </row>
        <row r="898">
          <cell r="A898" t="str">
            <v>ITOT-SWHNGAHP</v>
          </cell>
          <cell r="B898" t="str">
            <v>VAR_fout</v>
          </cell>
          <cell r="C898" t="str">
            <v>ITOT-SWHANGAH</v>
          </cell>
          <cell r="H898">
            <v>4.7182056382281982E-3</v>
          </cell>
          <cell r="I898">
            <v>3.4305234331728036E-3</v>
          </cell>
          <cell r="J898">
            <v>1.7270312500273239E-3</v>
          </cell>
        </row>
        <row r="899">
          <cell r="A899" t="str">
            <v>ITOT-SWHNGAHP</v>
          </cell>
          <cell r="B899" t="str">
            <v>VAR_fout</v>
          </cell>
          <cell r="C899" t="str">
            <v>CO2_I</v>
          </cell>
          <cell r="H899">
            <v>0.13583142759651301</v>
          </cell>
          <cell r="I899">
            <v>9.6937938384644096E-2</v>
          </cell>
          <cell r="J899">
            <v>4.7064353145005698E-2</v>
          </cell>
        </row>
        <row r="900">
          <cell r="A900" t="str">
            <v>ITOT-SWHNGAHP</v>
          </cell>
          <cell r="B900" t="str">
            <v>VAR_fin</v>
          </cell>
          <cell r="C900" t="str">
            <v>ITOTELCHPC</v>
          </cell>
          <cell r="H900">
            <v>4.7182056382281982E-3</v>
          </cell>
          <cell r="I900">
            <v>3.4305234331728036E-3</v>
          </cell>
          <cell r="J900">
            <v>1.7270312500273239E-3</v>
          </cell>
        </row>
        <row r="901">
          <cell r="A901" t="str">
            <v>ITOT-SWHNGAHP</v>
          </cell>
          <cell r="B901" t="str">
            <v>VAR_fin</v>
          </cell>
          <cell r="C901" t="str">
            <v>INGA</v>
          </cell>
          <cell r="H901">
            <v>2.4083586453282372E-3</v>
          </cell>
          <cell r="I901">
            <v>1.7187577727773783E-3</v>
          </cell>
          <cell r="J901">
            <v>8.3447434654265425E-4</v>
          </cell>
        </row>
        <row r="902">
          <cell r="A902" t="str">
            <v>ITOT-SWHNGAHP</v>
          </cell>
          <cell r="B902" t="str">
            <v>VAR_ncap</v>
          </cell>
          <cell r="C902" t="str">
            <v>-</v>
          </cell>
          <cell r="H902">
            <v>3.5067549185661398E-4</v>
          </cell>
          <cell r="I902">
            <v>7.5522536520758498E-6</v>
          </cell>
          <cell r="J902">
            <v>2.4714662818512401E-5</v>
          </cell>
        </row>
        <row r="903">
          <cell r="A903" t="str">
            <v>ITOT-SWHNGAHP</v>
          </cell>
          <cell r="B903" t="str">
            <v>VAR_cap</v>
          </cell>
          <cell r="C903" t="str">
            <v>-</v>
          </cell>
          <cell r="H903">
            <v>4.6910619537841197E-4</v>
          </cell>
          <cell r="I903">
            <v>3.5622236794850284E-4</v>
          </cell>
          <cell r="J903">
            <v>1.7561123197313633E-4</v>
          </cell>
        </row>
        <row r="904">
          <cell r="A904" t="str">
            <v>RHSA-WHLFOBR</v>
          </cell>
          <cell r="B904" t="str">
            <v>VAR_fout</v>
          </cell>
          <cell r="C904" t="str">
            <v>CO2_R</v>
          </cell>
          <cell r="H904">
            <v>194.814037373948</v>
          </cell>
          <cell r="I904">
            <v>96.602768227211101</v>
          </cell>
          <cell r="J904">
            <v>7.2544209822866597</v>
          </cell>
        </row>
        <row r="905">
          <cell r="A905" t="str">
            <v>RHSA-WHLFOBR</v>
          </cell>
          <cell r="B905" t="str">
            <v>VAR_fout</v>
          </cell>
          <cell r="C905" t="str">
            <v>RHSA-WHLFO</v>
          </cell>
          <cell r="H905">
            <v>1.4573482848904407</v>
          </cell>
          <cell r="I905">
            <v>0.73344309094863747</v>
          </cell>
          <cell r="J905">
            <v>5.8059926865031766E-2</v>
          </cell>
        </row>
        <row r="906">
          <cell r="A906" t="str">
            <v>RHSA-WHLFOBR</v>
          </cell>
          <cell r="B906" t="str">
            <v>VAR_fin</v>
          </cell>
          <cell r="C906" t="str">
            <v>RLFO</v>
          </cell>
          <cell r="H906">
            <v>2.6433383632828691</v>
          </cell>
          <cell r="I906">
            <v>1.3107566923637868</v>
          </cell>
          <cell r="J906">
            <v>9.843176366739026E-2</v>
          </cell>
        </row>
        <row r="907">
          <cell r="A907" t="str">
            <v>RHSA-WHLFOBR</v>
          </cell>
          <cell r="B907" t="str">
            <v>VAR_ncap</v>
          </cell>
          <cell r="C907" t="str">
            <v>-</v>
          </cell>
          <cell r="H907">
            <v>2.0170643423385599E-2</v>
          </cell>
          <cell r="I907">
            <v>2.9975491824380501E-2</v>
          </cell>
        </row>
        <row r="908">
          <cell r="A908" t="str">
            <v>RHSA-WHLFOBR</v>
          </cell>
          <cell r="B908" t="str">
            <v>VAR_cap</v>
          </cell>
          <cell r="C908" t="str">
            <v>-</v>
          </cell>
          <cell r="H908">
            <v>9.9889091767472404E-2</v>
          </cell>
          <cell r="I908">
            <v>5.0145869476672413E-2</v>
          </cell>
          <cell r="J908">
            <v>5.8402110643847004E-3</v>
          </cell>
        </row>
        <row r="909">
          <cell r="A909" t="str">
            <v>D-IWST</v>
          </cell>
          <cell r="B909" t="str">
            <v>VAR_fout</v>
          </cell>
          <cell r="C909" t="str">
            <v>CO2</v>
          </cell>
          <cell r="H909">
            <v>1001.7551405217999</v>
          </cell>
          <cell r="I909">
            <v>1073.7796511162201</v>
          </cell>
          <cell r="J909">
            <v>1086.8543906156201</v>
          </cell>
        </row>
        <row r="910">
          <cell r="A910" t="str">
            <v>D-IWST</v>
          </cell>
          <cell r="B910" t="str">
            <v>VAR_fout</v>
          </cell>
          <cell r="C910" t="str">
            <v>IWST</v>
          </cell>
          <cell r="H910">
            <v>10.794775221140112</v>
          </cell>
          <cell r="I910">
            <v>11.570901412890304</v>
          </cell>
          <cell r="J910">
            <v>11.71179300232348</v>
          </cell>
        </row>
        <row r="911">
          <cell r="A911" t="str">
            <v>D-IWST</v>
          </cell>
          <cell r="B911" t="str">
            <v>VAR_fin</v>
          </cell>
          <cell r="C911" t="str">
            <v>WSTNREN</v>
          </cell>
          <cell r="H911">
            <v>10.794775221140112</v>
          </cell>
          <cell r="I911">
            <v>11.570901412890304</v>
          </cell>
          <cell r="J911">
            <v>11.71179300232348</v>
          </cell>
        </row>
        <row r="912">
          <cell r="A912" t="str">
            <v>RHES-SHLFOBR</v>
          </cell>
          <cell r="B912" t="str">
            <v>VAR_fout</v>
          </cell>
          <cell r="C912" t="str">
            <v>CO2_R</v>
          </cell>
          <cell r="H912">
            <v>349.242097895141</v>
          </cell>
          <cell r="I912">
            <v>114.615403254502</v>
          </cell>
          <cell r="J912">
            <v>11.299883486372901</v>
          </cell>
        </row>
        <row r="913">
          <cell r="A913" t="str">
            <v>RHES-SHLFOBR</v>
          </cell>
          <cell r="B913" t="str">
            <v>VAR_fout</v>
          </cell>
          <cell r="C913" t="str">
            <v>RHES-SHLFO</v>
          </cell>
          <cell r="H913">
            <v>4.1052809418077958</v>
          </cell>
          <cell r="I913">
            <v>1.3450732865092405</v>
          </cell>
          <cell r="J913">
            <v>0.13281511650404121</v>
          </cell>
        </row>
        <row r="914">
          <cell r="A914" t="str">
            <v>RHES-SHLFOBR</v>
          </cell>
          <cell r="B914" t="str">
            <v>VAR_fin</v>
          </cell>
          <cell r="C914" t="str">
            <v>RLFO</v>
          </cell>
          <cell r="H914">
            <v>4.7386987502732927</v>
          </cell>
          <cell r="I914">
            <v>1.5551615095590532</v>
          </cell>
          <cell r="J914">
            <v>0.15332270673504636</v>
          </cell>
        </row>
        <row r="915">
          <cell r="A915" t="str">
            <v>RHES-SHLFOBR</v>
          </cell>
          <cell r="B915" t="str">
            <v>VAR_ncap</v>
          </cell>
          <cell r="C915" t="str">
            <v>-</v>
          </cell>
          <cell r="H915">
            <v>8.8419712191960004E-3</v>
          </cell>
          <cell r="I915">
            <v>9.9856067721760797E-2</v>
          </cell>
          <cell r="J915">
            <v>1.09506393665757E-7</v>
          </cell>
        </row>
        <row r="916">
          <cell r="A916" t="str">
            <v>RHES-SHLFOBR</v>
          </cell>
          <cell r="B916" t="str">
            <v>VAR_cap</v>
          </cell>
          <cell r="C916" t="str">
            <v>-</v>
          </cell>
          <cell r="H916">
            <v>0.33178206045680125</v>
          </cell>
          <cell r="I916">
            <v>0.1086978631447765</v>
          </cell>
          <cell r="J916">
            <v>1.68852234875057E-2</v>
          </cell>
        </row>
        <row r="917">
          <cell r="A917" t="str">
            <v>ITOT-SWHSTG</v>
          </cell>
          <cell r="B917" t="str">
            <v>VAR_fout</v>
          </cell>
          <cell r="C917" t="str">
            <v>ITOT-SWH</v>
          </cell>
          <cell r="H917">
            <v>6.5618317791828976E-3</v>
          </cell>
          <cell r="I917">
            <v>0.21870137796018843</v>
          </cell>
          <cell r="J917">
            <v>1.6674179576788912</v>
          </cell>
        </row>
        <row r="918">
          <cell r="A918" t="str">
            <v>ITOT-SWHSTG</v>
          </cell>
          <cell r="B918" t="str">
            <v>VAR_fout</v>
          </cell>
          <cell r="C918" t="str">
            <v>AUX_ITOT-STG_OUT</v>
          </cell>
          <cell r="H918">
            <v>6.5545408549838157E-3</v>
          </cell>
          <cell r="I918">
            <v>0.21870137796018863</v>
          </cell>
          <cell r="J918">
            <v>1.6674179576788917</v>
          </cell>
        </row>
        <row r="919">
          <cell r="A919" t="str">
            <v>ITOT-SWHSTG</v>
          </cell>
          <cell r="B919" t="str">
            <v>VAR_fin</v>
          </cell>
          <cell r="C919" t="str">
            <v>AUX_ITOT-STG_IN</v>
          </cell>
          <cell r="H919">
            <v>7.2909241598357538E-3</v>
          </cell>
          <cell r="I919">
            <v>0.23516277274087427</v>
          </cell>
          <cell r="J919">
            <v>1.6842605614174435</v>
          </cell>
        </row>
        <row r="920">
          <cell r="A920" t="str">
            <v>ITOT-SWHSTG</v>
          </cell>
          <cell r="B920" t="str">
            <v>VAR_fin</v>
          </cell>
          <cell r="C920" t="str">
            <v>ITOT-SWH</v>
          </cell>
          <cell r="H920">
            <v>7.2909241598357538E-3</v>
          </cell>
          <cell r="I920">
            <v>0.23516277274087427</v>
          </cell>
          <cell r="J920">
            <v>1.6842605614174435</v>
          </cell>
        </row>
        <row r="921">
          <cell r="A921" t="str">
            <v>ITOT-SWHSTG</v>
          </cell>
          <cell r="B921" t="str">
            <v>VAR_ncap</v>
          </cell>
          <cell r="C921" t="str">
            <v>-</v>
          </cell>
          <cell r="H921">
            <v>1.6585896639066001E-3</v>
          </cell>
          <cell r="I921">
            <v>5.4778299766131501E-2</v>
          </cell>
          <cell r="J921">
            <v>0.22318571472903501</v>
          </cell>
        </row>
        <row r="922">
          <cell r="A922" t="str">
            <v>ITOT-SWHSTG</v>
          </cell>
          <cell r="B922" t="str">
            <v>VAR_cap</v>
          </cell>
          <cell r="C922" t="str">
            <v>-</v>
          </cell>
          <cell r="H922">
            <v>1.99878891144731E-3</v>
          </cell>
          <cell r="I922">
            <v>5.643605018702718E-2</v>
          </cell>
          <cell r="J922">
            <v>0.26363449068963479</v>
          </cell>
        </row>
        <row r="923">
          <cell r="A923" t="str">
            <v>SCOM-SHLFOBR</v>
          </cell>
          <cell r="B923" t="str">
            <v>VAR_fout</v>
          </cell>
          <cell r="C923" t="str">
            <v>CO2_S</v>
          </cell>
          <cell r="H923">
            <v>821.83640713350303</v>
          </cell>
          <cell r="I923">
            <v>400.54075317661898</v>
          </cell>
          <cell r="J923">
            <v>31.127266268242199</v>
          </cell>
        </row>
        <row r="924">
          <cell r="A924" t="str">
            <v>SCOM-SHLFOBR</v>
          </cell>
          <cell r="B924" t="str">
            <v>VAR_fout</v>
          </cell>
          <cell r="C924" t="str">
            <v>SCOM-SHLFO</v>
          </cell>
          <cell r="H924">
            <v>9.1300432124772328</v>
          </cell>
          <cell r="I924">
            <v>4.4497351943994001</v>
          </cell>
          <cell r="J924">
            <v>0.34580274571502456</v>
          </cell>
        </row>
        <row r="925">
          <cell r="A925" t="str">
            <v>SCOM-SHLFOBR</v>
          </cell>
          <cell r="B925" t="str">
            <v>VAR_fin</v>
          </cell>
          <cell r="C925" t="str">
            <v>SLFO</v>
          </cell>
          <cell r="H925">
            <v>11.151104574403018</v>
          </cell>
          <cell r="I925">
            <v>5.4347456333326782</v>
          </cell>
          <cell r="J925">
            <v>0.42235096700464297</v>
          </cell>
        </row>
        <row r="926">
          <cell r="A926" t="str">
            <v>SCOM-SHLFOBR</v>
          </cell>
          <cell r="B926" t="str">
            <v>VAR_ncap</v>
          </cell>
          <cell r="C926" t="str">
            <v>-</v>
          </cell>
          <cell r="H926">
            <v>0.34556551882552899</v>
          </cell>
          <cell r="I926">
            <v>6.9902558227240504E-6</v>
          </cell>
          <cell r="J926">
            <v>3.8286892668535798E-7</v>
          </cell>
        </row>
        <row r="927">
          <cell r="A927" t="str">
            <v>SCOM-SHLFOBR</v>
          </cell>
          <cell r="B927" t="str">
            <v>VAR_cap</v>
          </cell>
          <cell r="C927" t="str">
            <v>-</v>
          </cell>
          <cell r="H927">
            <v>0.79833979012740752</v>
          </cell>
          <cell r="I927">
            <v>0.34557237858635742</v>
          </cell>
          <cell r="J927">
            <v>5.8378597787895295E-2</v>
          </cell>
        </row>
        <row r="928">
          <cell r="A928" t="str">
            <v>RHNM-SHPLTBR</v>
          </cell>
          <cell r="B928" t="str">
            <v>VAR_fout</v>
          </cell>
          <cell r="C928" t="str">
            <v>RHNM-SHPLT</v>
          </cell>
          <cell r="H928">
            <v>1.8962296000853984E-2</v>
          </cell>
          <cell r="I928">
            <v>2.1621668811202633E-2</v>
          </cell>
          <cell r="J928">
            <v>2.6420688241816943E-2</v>
          </cell>
        </row>
        <row r="929">
          <cell r="A929" t="str">
            <v>RHNM-SHPLTBR</v>
          </cell>
          <cell r="B929" t="str">
            <v>VAR_fin</v>
          </cell>
          <cell r="C929" t="str">
            <v>RPLT</v>
          </cell>
          <cell r="H929">
            <v>2.4991609258536197E-2</v>
          </cell>
          <cell r="I929">
            <v>2.8267307184683926E-2</v>
          </cell>
          <cell r="J929">
            <v>3.4541353726371619E-2</v>
          </cell>
        </row>
        <row r="930">
          <cell r="A930" t="str">
            <v>RHNM-SHPLTBR</v>
          </cell>
          <cell r="B930" t="str">
            <v>VAR_fin</v>
          </cell>
          <cell r="C930" t="str">
            <v>RHNMPLTBRC</v>
          </cell>
          <cell r="H930">
            <v>1.8962296000853984E-2</v>
          </cell>
          <cell r="I930">
            <v>2.1621668811202633E-2</v>
          </cell>
          <cell r="J930">
            <v>2.6420688241816943E-2</v>
          </cell>
        </row>
        <row r="931">
          <cell r="A931" t="str">
            <v>RHNM-SHPLTBR</v>
          </cell>
          <cell r="B931" t="str">
            <v>VAR_ncap</v>
          </cell>
          <cell r="C931" t="str">
            <v>-</v>
          </cell>
          <cell r="H931">
            <v>6.3251942600360802E-6</v>
          </cell>
          <cell r="I931">
            <v>1.7453077885989799E-3</v>
          </cell>
          <cell r="J931">
            <v>8.1940345618221398E-4</v>
          </cell>
        </row>
        <row r="932">
          <cell r="A932" t="str">
            <v>RHNM-SHPLTBR</v>
          </cell>
          <cell r="B932" t="str">
            <v>VAR_cap</v>
          </cell>
          <cell r="C932" t="str">
            <v>-</v>
          </cell>
          <cell r="H932">
            <v>2.35379806977855E-3</v>
          </cell>
          <cell r="I932">
            <v>1.7539805711369596E-3</v>
          </cell>
          <cell r="J932">
            <v>2.0884315493979464E-3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RHES_ELC</v>
          </cell>
          <cell r="H933">
            <v>3.7812480254506508E-3</v>
          </cell>
          <cell r="I933">
            <v>1.0997291150780699E-3</v>
          </cell>
        </row>
        <row r="934">
          <cell r="A934" t="str">
            <v>D-RHES_NKEV_GAS_ELC_CHP</v>
          </cell>
          <cell r="B934" t="str">
            <v>VAR_fout</v>
          </cell>
          <cell r="C934" t="str">
            <v>ELC5</v>
          </cell>
          <cell r="H934">
            <v>9.4923766721836001E-4</v>
          </cell>
          <cell r="I934">
            <v>4.7650605508639223E-4</v>
          </cell>
        </row>
        <row r="935">
          <cell r="A935" t="str">
            <v>D-RHES_NKEV_GAS_ELC_CHP</v>
          </cell>
          <cell r="B935" t="str">
            <v>VAR_fin</v>
          </cell>
          <cell r="C935" t="str">
            <v>RHES_NKEV_GAS_ELC_CHP</v>
          </cell>
          <cell r="H935">
            <v>4.7059715227222125E-3</v>
          </cell>
          <cell r="I935">
            <v>1.5581209770929639E-3</v>
          </cell>
        </row>
        <row r="936">
          <cell r="A936" t="str">
            <v>SCOM-SHSTG-SOL</v>
          </cell>
          <cell r="B936" t="str">
            <v>VAR_fout</v>
          </cell>
          <cell r="C936" t="str">
            <v>SCOM-SHASOL</v>
          </cell>
          <cell r="H936">
            <v>3.7701478895572554E-5</v>
          </cell>
          <cell r="I936">
            <v>3.5411346980452736E-5</v>
          </cell>
          <cell r="J936">
            <v>2.1904581422466815E-5</v>
          </cell>
        </row>
        <row r="937">
          <cell r="A937" t="str">
            <v>SCOM-SHSTG-SOL</v>
          </cell>
          <cell r="B937" t="str">
            <v>VAR_fin</v>
          </cell>
          <cell r="C937" t="str">
            <v>SCOM-SHASOL</v>
          </cell>
          <cell r="H937">
            <v>3.0094350969566869E-5</v>
          </cell>
          <cell r="I937">
            <v>2.8884989435496256E-5</v>
          </cell>
          <cell r="J937">
            <v>7.7837585512099583E-6</v>
          </cell>
        </row>
        <row r="938">
          <cell r="A938" t="str">
            <v>SCOM-SHSTG-SOL</v>
          </cell>
          <cell r="B938" t="str">
            <v>VAR_ncap</v>
          </cell>
          <cell r="C938" t="str">
            <v>-</v>
          </cell>
          <cell r="H938">
            <v>1.43326458274162E-2</v>
          </cell>
          <cell r="I938">
            <v>1.15614352544699E-2</v>
          </cell>
          <cell r="J938">
            <v>1.3411968854327201E-2</v>
          </cell>
        </row>
        <row r="939">
          <cell r="A939" t="str">
            <v>SCOM-SHSTG-SOL</v>
          </cell>
          <cell r="B939" t="str">
            <v>VAR_cap</v>
          </cell>
          <cell r="C939" t="str">
            <v>-</v>
          </cell>
          <cell r="H939">
            <v>2.2593300266491399E-2</v>
          </cell>
          <cell r="I939">
            <v>2.58947237406821E-2</v>
          </cell>
          <cell r="J939">
            <v>2.7865122527210899E-2</v>
          </cell>
        </row>
        <row r="940">
          <cell r="A940" t="str">
            <v>RHNM-SHELCBRA</v>
          </cell>
          <cell r="B940" t="str">
            <v>VAR_fout</v>
          </cell>
          <cell r="C940" t="str">
            <v>RHNM-SHELCB</v>
          </cell>
          <cell r="H940">
            <v>1.748244544131152E-3</v>
          </cell>
          <cell r="I940">
            <v>1.9438572349075626E-3</v>
          </cell>
          <cell r="J940">
            <v>1.9091214573063165E-3</v>
          </cell>
        </row>
        <row r="941">
          <cell r="A941" t="str">
            <v>RHNM-SHELCBRA</v>
          </cell>
          <cell r="B941" t="str">
            <v>VAR_fin</v>
          </cell>
          <cell r="C941" t="str">
            <v>RHNM-SHAELCB</v>
          </cell>
          <cell r="H941">
            <v>1.748244544131152E-3</v>
          </cell>
          <cell r="I941">
            <v>1.9438572349075626E-3</v>
          </cell>
          <cell r="J941">
            <v>1.9091214573063165E-3</v>
          </cell>
        </row>
        <row r="942">
          <cell r="A942" t="str">
            <v>RHNM-SHELCBRA</v>
          </cell>
          <cell r="B942" t="str">
            <v>VAR_ncap</v>
          </cell>
          <cell r="C942" t="str">
            <v>-</v>
          </cell>
          <cell r="H942">
            <v>1.1551562037668201E-3</v>
          </cell>
        </row>
        <row r="943">
          <cell r="A943" t="str">
            <v>RHNM-SHELCBRA</v>
          </cell>
          <cell r="B943" t="str">
            <v>VAR_cap</v>
          </cell>
          <cell r="C943" t="str">
            <v>-</v>
          </cell>
          <cell r="H943">
            <v>7.0804225165066121E-3</v>
          </cell>
          <cell r="I943">
            <v>1.0987323689505041E-3</v>
          </cell>
          <cell r="J943">
            <v>4.6396006207708248E-4</v>
          </cell>
        </row>
        <row r="944">
          <cell r="A944" t="str">
            <v>RHNM-SHSTG-SOL</v>
          </cell>
          <cell r="B944" t="str">
            <v>VAR_fout</v>
          </cell>
          <cell r="C944" t="str">
            <v>AUX_RHNM-SHSTG-SOL_OUT</v>
          </cell>
          <cell r="H944">
            <v>2.4851284705396113E-5</v>
          </cell>
          <cell r="I944">
            <v>2.2730845627268158E-5</v>
          </cell>
          <cell r="J944">
            <v>5.6843811821153695E-5</v>
          </cell>
        </row>
        <row r="945">
          <cell r="A945" t="str">
            <v>RHNM-SHSTG-SOL</v>
          </cell>
          <cell r="B945" t="str">
            <v>VAR_fout</v>
          </cell>
          <cell r="C945" t="str">
            <v>RHNM-SHASOL</v>
          </cell>
          <cell r="H945">
            <v>2.4826458247148969E-5</v>
          </cell>
          <cell r="I945">
            <v>2.2708137489778379E-5</v>
          </cell>
          <cell r="J945">
            <v>5.6787024796357306E-5</v>
          </cell>
        </row>
        <row r="946">
          <cell r="A946" t="str">
            <v>RHNM-SHSTG-SOL</v>
          </cell>
          <cell r="B946" t="str">
            <v>VAR_fin</v>
          </cell>
          <cell r="C946" t="str">
            <v>RHNM-SHASOL</v>
          </cell>
          <cell r="H946">
            <v>6.7542921375055995E-6</v>
          </cell>
          <cell r="I946">
            <v>1.5298554693538279E-5</v>
          </cell>
          <cell r="J946">
            <v>5.2205862355474809E-5</v>
          </cell>
        </row>
        <row r="947">
          <cell r="A947" t="str">
            <v>RHNM-SHSTG-SOL</v>
          </cell>
          <cell r="B947" t="str">
            <v>VAR_ncap</v>
          </cell>
          <cell r="C947" t="str">
            <v>-</v>
          </cell>
          <cell r="H947">
            <v>1.0299263260095599E-6</v>
          </cell>
          <cell r="I947">
            <v>1.8511812692477601E-5</v>
          </cell>
          <cell r="J947">
            <v>2.81229807259485E-5</v>
          </cell>
        </row>
        <row r="948">
          <cell r="A948" t="str">
            <v>RHNM-SHSTG-SOL</v>
          </cell>
          <cell r="B948" t="str">
            <v>VAR_cap</v>
          </cell>
          <cell r="C948" t="str">
            <v>-</v>
          </cell>
          <cell r="H948">
            <v>2.2380630897126099E-4</v>
          </cell>
          <cell r="I948">
            <v>5.32847563209207E-5</v>
          </cell>
          <cell r="J948">
            <v>4.1993277111767597E-5</v>
          </cell>
        </row>
        <row r="949">
          <cell r="A949" t="str">
            <v>RHNS-SHELCHP</v>
          </cell>
          <cell r="B949" t="str">
            <v>VAR_fout</v>
          </cell>
          <cell r="C949" t="str">
            <v>RHNS-SHAELCH</v>
          </cell>
          <cell r="H949">
            <v>2.2166390949681629</v>
          </cell>
          <cell r="I949">
            <v>2.6314626916831276</v>
          </cell>
          <cell r="J949">
            <v>3.2505751069976911</v>
          </cell>
        </row>
        <row r="950">
          <cell r="A950" t="str">
            <v>RHNS-SHELCHP</v>
          </cell>
          <cell r="B950" t="str">
            <v>VAR_fin</v>
          </cell>
          <cell r="C950" t="str">
            <v>RHNS_ELC</v>
          </cell>
          <cell r="H950">
            <v>0.59678644110805334</v>
          </cell>
          <cell r="I950">
            <v>0.68487511449232918</v>
          </cell>
          <cell r="J950">
            <v>0.77775382011347183</v>
          </cell>
        </row>
        <row r="951">
          <cell r="A951" t="str">
            <v>RHNS-SHELCHP</v>
          </cell>
          <cell r="B951" t="str">
            <v>VAR_fin</v>
          </cell>
          <cell r="C951" t="str">
            <v>RHNSELCHPC</v>
          </cell>
          <cell r="H951">
            <v>2.2166390949681629</v>
          </cell>
          <cell r="I951">
            <v>2.6314626916831276</v>
          </cell>
          <cell r="J951">
            <v>3.2505751069976911</v>
          </cell>
        </row>
        <row r="952">
          <cell r="A952" t="str">
            <v>RHNS-SHELCHP</v>
          </cell>
          <cell r="B952" t="str">
            <v>VAR_ncap</v>
          </cell>
          <cell r="C952" t="str">
            <v>-</v>
          </cell>
          <cell r="H952">
            <v>4.1998411905003301E-2</v>
          </cell>
          <cell r="I952">
            <v>0.10732147112782101</v>
          </cell>
          <cell r="J952">
            <v>0.141222559840922</v>
          </cell>
        </row>
        <row r="953">
          <cell r="A953" t="str">
            <v>RHNS-SHELCHP</v>
          </cell>
          <cell r="B953" t="str">
            <v>VAR_cap</v>
          </cell>
          <cell r="C953" t="str">
            <v>-</v>
          </cell>
          <cell r="H953">
            <v>0.16154688174839249</v>
          </cell>
          <cell r="I953">
            <v>0.19205138804914759</v>
          </cell>
          <cell r="J953">
            <v>0.2368742693448318</v>
          </cell>
        </row>
        <row r="954">
          <cell r="A954" t="str">
            <v>SCOM-SHBIOBR</v>
          </cell>
          <cell r="B954" t="str">
            <v>VAR_fout</v>
          </cell>
          <cell r="C954" t="str">
            <v>SCOM-SHBIO</v>
          </cell>
        </row>
        <row r="955">
          <cell r="A955" t="str">
            <v>SCOM-SHBIOBR</v>
          </cell>
          <cell r="B955" t="str">
            <v>VAR_fin</v>
          </cell>
          <cell r="C955" t="str">
            <v>SBIO</v>
          </cell>
        </row>
        <row r="956">
          <cell r="A956" t="str">
            <v>SCOM-SHBIOBR</v>
          </cell>
          <cell r="B956" t="str">
            <v>VAR_ncap</v>
          </cell>
          <cell r="C956" t="str">
            <v>-</v>
          </cell>
          <cell r="H956">
            <v>4.69863629983801E-5</v>
          </cell>
          <cell r="I956">
            <v>8.8309156271681099E-5</v>
          </cell>
          <cell r="J956">
            <v>3.2254110168778099E-5</v>
          </cell>
        </row>
        <row r="957">
          <cell r="A957" t="str">
            <v>SCOM-SHBIOBR</v>
          </cell>
          <cell r="B957" t="str">
            <v>VAR_cap</v>
          </cell>
          <cell r="C957" t="str">
            <v>-</v>
          </cell>
          <cell r="H957">
            <v>2.735238152231385E-2</v>
          </cell>
          <cell r="I957">
            <v>1.3357647858453574E-4</v>
          </cell>
          <cell r="J957">
            <v>1.1477362592070499E-4</v>
          </cell>
        </row>
        <row r="958">
          <cell r="A958" t="str">
            <v>RHES-SHDEM</v>
          </cell>
          <cell r="B958" t="str">
            <v>VAR_fout</v>
          </cell>
          <cell r="C958" t="str">
            <v>RHES-SHD</v>
          </cell>
          <cell r="H958">
            <v>53.412532282813032</v>
          </cell>
          <cell r="I958">
            <v>52.40788546477102</v>
          </cell>
          <cell r="J958">
            <v>51.191661711690465</v>
          </cell>
        </row>
        <row r="959">
          <cell r="A959" t="str">
            <v>RHES-SHDEM</v>
          </cell>
          <cell r="B959" t="str">
            <v>VAR_fin</v>
          </cell>
          <cell r="C959" t="str">
            <v>RHES-SHPLT</v>
          </cell>
          <cell r="H959">
            <v>4.4064858156841198E-2</v>
          </cell>
          <cell r="I959">
            <v>4.965448660026589E-2</v>
          </cell>
          <cell r="J959">
            <v>4.4590094836328482E-2</v>
          </cell>
        </row>
        <row r="960">
          <cell r="A960" t="str">
            <v>RHES-SHDEM</v>
          </cell>
          <cell r="B960" t="str">
            <v>VAR_fin</v>
          </cell>
          <cell r="C960" t="str">
            <v>RHES-SHLTHC-NGA</v>
          </cell>
          <cell r="H960">
            <v>8.407445952208858E-7</v>
          </cell>
          <cell r="I960">
            <v>3.5149430446724771E-6</v>
          </cell>
          <cell r="J960">
            <v>1.1617238154269443E-6</v>
          </cell>
        </row>
        <row r="961">
          <cell r="A961" t="str">
            <v>RHES-SHDEM</v>
          </cell>
          <cell r="B961" t="str">
            <v>VAR_fin</v>
          </cell>
          <cell r="C961" t="str">
            <v>RHES-SHSOL</v>
          </cell>
          <cell r="H961">
            <v>2.2620901126311842E-2</v>
          </cell>
          <cell r="I961">
            <v>2.1956514582122204E-2</v>
          </cell>
          <cell r="J961">
            <v>1.981280131857829E-2</v>
          </cell>
        </row>
        <row r="962">
          <cell r="A962" t="str">
            <v>RHES-SHDEM</v>
          </cell>
          <cell r="B962" t="str">
            <v>VAR_fin</v>
          </cell>
          <cell r="C962" t="str">
            <v>RHES-SHLTHC-WOD</v>
          </cell>
          <cell r="H962">
            <v>1.0341142011942932E-6</v>
          </cell>
          <cell r="J962">
            <v>4.2979261901376635E-6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</v>
          </cell>
          <cell r="H963">
            <v>4.8591626843365461</v>
          </cell>
          <cell r="I963">
            <v>2.3051753134340633</v>
          </cell>
          <cell r="J963">
            <v>0.94682920977001539</v>
          </cell>
        </row>
        <row r="964">
          <cell r="A964" t="str">
            <v>RHES-SHDEM</v>
          </cell>
          <cell r="B964" t="str">
            <v>VAR_fin</v>
          </cell>
          <cell r="C964" t="str">
            <v>RHES-SHNGAH</v>
          </cell>
          <cell r="H964">
            <v>6.5769333974446349</v>
          </cell>
          <cell r="I964">
            <v>7.6657534591005856</v>
          </cell>
          <cell r="J964">
            <v>7.0919838260112789</v>
          </cell>
        </row>
        <row r="965">
          <cell r="A965" t="str">
            <v>RHES-SHDEM</v>
          </cell>
          <cell r="B965" t="str">
            <v>VAR_fin</v>
          </cell>
          <cell r="C965" t="str">
            <v>RHES-SHCOA</v>
          </cell>
          <cell r="H965">
            <v>1.8737416526178727E-6</v>
          </cell>
          <cell r="I965">
            <v>3.9510646968814979E-6</v>
          </cell>
          <cell r="J965">
            <v>9.0344753653758626E-7</v>
          </cell>
        </row>
        <row r="966">
          <cell r="A966" t="str">
            <v>RHES-SHDEM</v>
          </cell>
          <cell r="B966" t="str">
            <v>VAR_fin</v>
          </cell>
          <cell r="C966" t="str">
            <v>RHES-SHLFO</v>
          </cell>
          <cell r="H966">
            <v>4.1053031445644379</v>
          </cell>
          <cell r="I966">
            <v>1.3450917547977048</v>
          </cell>
          <cell r="J966">
            <v>0.132832422140988</v>
          </cell>
        </row>
        <row r="967">
          <cell r="A967" t="str">
            <v>RHES-SHDEM</v>
          </cell>
          <cell r="B967" t="str">
            <v>VAR_fin</v>
          </cell>
          <cell r="C967" t="str">
            <v>RHES-SHCON</v>
          </cell>
          <cell r="H967">
            <v>6.7857577359874988</v>
          </cell>
          <cell r="I967">
            <v>8.8147103244878426</v>
          </cell>
          <cell r="J967">
            <v>13.177670541302716</v>
          </cell>
        </row>
        <row r="968">
          <cell r="A968" t="str">
            <v>RHES-SHDEM</v>
          </cell>
          <cell r="B968" t="str">
            <v>VAR_fin</v>
          </cell>
          <cell r="C968" t="str">
            <v>RHES-SHWOD</v>
          </cell>
          <cell r="H968">
            <v>3.4804340400745506</v>
          </cell>
          <cell r="I968">
            <v>2.7001229854344788</v>
          </cell>
          <cell r="J968">
            <v>1.426969894268403</v>
          </cell>
        </row>
        <row r="969">
          <cell r="A969" t="str">
            <v>RHES-SHDEM</v>
          </cell>
          <cell r="B969" t="str">
            <v>VAR_fin</v>
          </cell>
          <cell r="C969" t="str">
            <v>RHES-SHLTHD</v>
          </cell>
          <cell r="H969">
            <v>2.0765173577058182</v>
          </cell>
          <cell r="I969">
            <v>2.2427778260500446</v>
          </cell>
          <cell r="J969">
            <v>2.1427211217359226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RHES-SHELCB</v>
          </cell>
          <cell r="H970">
            <v>1.3542105671358022E-2</v>
          </cell>
          <cell r="I970">
            <v>3.4029344319096619E-3</v>
          </cell>
          <cell r="J970">
            <v>1.9074691804201066E-3</v>
          </cell>
        </row>
        <row r="971">
          <cell r="A971" t="str">
            <v>RHES-SHDEM</v>
          </cell>
          <cell r="B971" t="str">
            <v>VAR_fin</v>
          </cell>
          <cell r="C971" t="str">
            <v>RHES-SHELCH</v>
          </cell>
          <cell r="H971">
            <v>25.448954231370777</v>
          </cell>
          <cell r="I971">
            <v>27.259860314063054</v>
          </cell>
          <cell r="J971">
            <v>26.206844621869948</v>
          </cell>
        </row>
        <row r="972">
          <cell r="A972" t="str">
            <v>RHES-SHDEM</v>
          </cell>
          <cell r="B972" t="str">
            <v>VAR_fin</v>
          </cell>
          <cell r="C972" t="str">
            <v>RHES-SHNST</v>
          </cell>
          <cell r="H972">
            <v>5.0776561179415877E-6</v>
          </cell>
          <cell r="I972">
            <v>6.9216962347756442E-7</v>
          </cell>
          <cell r="J972">
            <v>2.444200176974888E-6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RHSA_LTH</v>
          </cell>
          <cell r="H973">
            <v>1.4975133014195782E-2</v>
          </cell>
          <cell r="I973">
            <v>4.6151532738589211E-3</v>
          </cell>
          <cell r="J973">
            <v>1.4502928417700059E-5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RHEM_LTH_CHPNGA_ON</v>
          </cell>
          <cell r="H974">
            <v>1.4727381882975243E-2</v>
          </cell>
          <cell r="I974">
            <v>4.5478761589748057E-3</v>
          </cell>
          <cell r="J974">
            <v>1.1566226178780221E-5</v>
          </cell>
        </row>
        <row r="975">
          <cell r="A975" t="str">
            <v>D-RHEM_LTH_CHPNGA</v>
          </cell>
          <cell r="B975" t="str">
            <v>VAR_fout</v>
          </cell>
          <cell r="C975" t="str">
            <v>LTH</v>
          </cell>
          <cell r="H975">
            <v>2.8020610049217234E-5</v>
          </cell>
          <cell r="I975">
            <v>1.1822835995551527E-5</v>
          </cell>
          <cell r="J975">
            <v>1.0954287604245323E-5</v>
          </cell>
        </row>
        <row r="976">
          <cell r="A976" t="str">
            <v>D-RHEM_LTH_CHPNGA</v>
          </cell>
          <cell r="B976" t="str">
            <v>VAR_fin</v>
          </cell>
          <cell r="C976" t="str">
            <v>RHEM_LTH_CHPNGA</v>
          </cell>
          <cell r="H976">
            <v>2.9730535507220244E-2</v>
          </cell>
          <cell r="I976">
            <v>9.1749299187361272E-3</v>
          </cell>
          <cell r="J976">
            <v>3.7023442200725609E-5</v>
          </cell>
        </row>
        <row r="977">
          <cell r="A977" t="str">
            <v>RHEM-SHLTHCHPNGA</v>
          </cell>
          <cell r="B977" t="str">
            <v>VAR_fout</v>
          </cell>
          <cell r="C977" t="str">
            <v>RHEM-SHLTHC-NGA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RHEM_LTH_CHPNGA_ON</v>
          </cell>
        </row>
        <row r="979">
          <cell r="A979" t="str">
            <v>RHEM-SHLTHCHPNGA</v>
          </cell>
          <cell r="B979" t="str">
            <v>VAR_fin</v>
          </cell>
          <cell r="C979" t="str">
            <v>RHEMLTHCHPC</v>
          </cell>
        </row>
        <row r="980">
          <cell r="A980" t="str">
            <v>RHEM-SHLTHCHPNGA</v>
          </cell>
          <cell r="B980" t="str">
            <v>VAR_ncap</v>
          </cell>
          <cell r="C980" t="str">
            <v>-</v>
          </cell>
          <cell r="H980">
            <v>1.0526162230319099E-3</v>
          </cell>
          <cell r="I980">
            <v>2.5905625336076799E-4</v>
          </cell>
          <cell r="J980">
            <v>3.1187247341019603E-8</v>
          </cell>
        </row>
        <row r="981">
          <cell r="A981" t="str">
            <v>RHEM-SHLTHCHPNGA</v>
          </cell>
          <cell r="B981" t="str">
            <v>VAR_cap</v>
          </cell>
          <cell r="C981" t="str">
            <v>-</v>
          </cell>
          <cell r="H981">
            <v>1.8720785108690499E-3</v>
          </cell>
          <cell r="I981">
            <v>5.9721564192585005E-4</v>
          </cell>
          <cell r="J981">
            <v>9.7578195523695399E-19</v>
          </cell>
        </row>
        <row r="982">
          <cell r="A982" t="str">
            <v>D-RHES_SOLELC</v>
          </cell>
          <cell r="B982" t="str">
            <v>VAR_fout</v>
          </cell>
          <cell r="C982" t="str">
            <v>RHES_ELC</v>
          </cell>
          <cell r="H982">
            <v>4.6093331323865829</v>
          </cell>
          <cell r="I982">
            <v>4.8777472921302083</v>
          </cell>
          <cell r="J982">
            <v>5.464872754918404</v>
          </cell>
        </row>
        <row r="983">
          <cell r="A983" t="str">
            <v>D-RHES_SOLELC</v>
          </cell>
          <cell r="B983" t="str">
            <v>VAR_fout</v>
          </cell>
          <cell r="C983" t="str">
            <v>ELC5</v>
          </cell>
          <cell r="H983">
            <v>1.4494544778248565E-3</v>
          </cell>
          <cell r="I983">
            <v>2.9348914734754054E-3</v>
          </cell>
          <cell r="J983">
            <v>1.1019577942978842E-2</v>
          </cell>
        </row>
        <row r="984">
          <cell r="A984" t="str">
            <v>D-RHES_SOLELC</v>
          </cell>
          <cell r="B984" t="str">
            <v>VAR_fin</v>
          </cell>
          <cell r="C984" t="str">
            <v>RHES_SOL_ELC</v>
          </cell>
          <cell r="H984">
            <v>4.6107825868644117</v>
          </cell>
          <cell r="I984">
            <v>4.8806821836036844</v>
          </cell>
          <cell r="J984">
            <v>5.4758923328613776</v>
          </cell>
        </row>
        <row r="985">
          <cell r="A985" t="str">
            <v>RHNM-SHCONBR1</v>
          </cell>
          <cell r="B985" t="str">
            <v>VAR_ncap</v>
          </cell>
          <cell r="C985" t="str">
            <v>-</v>
          </cell>
          <cell r="H985">
            <v>5.1359145760379503</v>
          </cell>
        </row>
        <row r="986">
          <cell r="A986" t="str">
            <v>RHNM-SHCONBR1</v>
          </cell>
          <cell r="B986" t="str">
            <v>VAR_cap</v>
          </cell>
          <cell r="C986" t="str">
            <v>-</v>
          </cell>
          <cell r="H986">
            <v>12.880095848198948</v>
          </cell>
          <cell r="I986">
            <v>7.4548275442389809</v>
          </cell>
          <cell r="J986">
            <v>3.3507875677810262</v>
          </cell>
        </row>
        <row r="987">
          <cell r="A987" t="str">
            <v>D-DH2</v>
          </cell>
          <cell r="B987" t="str">
            <v>VAR_fout</v>
          </cell>
          <cell r="C987" t="str">
            <v>H2</v>
          </cell>
          <cell r="H987">
            <v>7.5173987401893301E-5</v>
          </cell>
          <cell r="I987">
            <v>17.690362829623147</v>
          </cell>
          <cell r="J987">
            <v>18.717554795064096</v>
          </cell>
        </row>
        <row r="988">
          <cell r="A988" t="str">
            <v>D-DH2</v>
          </cell>
          <cell r="B988" t="str">
            <v>VAR_fin</v>
          </cell>
          <cell r="C988" t="str">
            <v>H2_E</v>
          </cell>
          <cell r="H988">
            <v>7.5933320607973011E-5</v>
          </cell>
          <cell r="I988">
            <v>17.869053363255713</v>
          </cell>
          <cell r="J988">
            <v>18.906621005115252</v>
          </cell>
        </row>
        <row r="989">
          <cell r="A989" t="str">
            <v>D-DH2</v>
          </cell>
          <cell r="B989" t="str">
            <v>VAR_ncap</v>
          </cell>
          <cell r="C989" t="str">
            <v>-</v>
          </cell>
          <cell r="H989">
            <v>6.1299769893054999E-5</v>
          </cell>
          <cell r="I989">
            <v>2.3755844986194301</v>
          </cell>
          <cell r="J989">
            <v>0.13793792409136299</v>
          </cell>
        </row>
        <row r="990">
          <cell r="A990" t="str">
            <v>D-DH2</v>
          </cell>
          <cell r="B990" t="str">
            <v>VAR_cap</v>
          </cell>
          <cell r="C990" t="str">
            <v>-</v>
          </cell>
          <cell r="H990">
            <v>1.1670774035541201E-4</v>
          </cell>
          <cell r="I990">
            <v>2.37570120635979</v>
          </cell>
          <cell r="J990">
            <v>2.5136391304511498</v>
          </cell>
        </row>
        <row r="991">
          <cell r="A991" t="str">
            <v>ITOT-SWHHFOBR</v>
          </cell>
          <cell r="B991" t="str">
            <v>VAR_fout</v>
          </cell>
          <cell r="C991" t="str">
            <v>ITOT-SWH</v>
          </cell>
          <cell r="H991">
            <v>4.5361600198428756E-3</v>
          </cell>
          <cell r="I991">
            <v>3.4544173052266009E-4</v>
          </cell>
        </row>
        <row r="992">
          <cell r="A992" t="str">
            <v>ITOT-SWHHFOBR</v>
          </cell>
          <cell r="B992" t="str">
            <v>VAR_fout</v>
          </cell>
          <cell r="C992" t="str">
            <v>CO2_I</v>
          </cell>
          <cell r="H992">
            <v>0.50036253419701104</v>
          </cell>
          <cell r="I992">
            <v>3.7709038809491197E-2</v>
          </cell>
        </row>
        <row r="993">
          <cell r="A993" t="str">
            <v>ITOT-SWHHFOBR</v>
          </cell>
          <cell r="B993" t="str">
            <v>VAR_fin</v>
          </cell>
          <cell r="C993" t="str">
            <v>IHFO</v>
          </cell>
          <cell r="H993">
            <v>6.4982147298313225E-3</v>
          </cell>
          <cell r="I993">
            <v>4.8972777674663893E-4</v>
          </cell>
        </row>
        <row r="994">
          <cell r="A994" t="str">
            <v>ITOT-SWHHFOBR</v>
          </cell>
          <cell r="B994" t="str">
            <v>VAR_ncap</v>
          </cell>
          <cell r="C994" t="str">
            <v>-</v>
          </cell>
          <cell r="H994">
            <v>4.13820252619222E-4</v>
          </cell>
          <cell r="I994">
            <v>2.3555047241890102E-5</v>
          </cell>
          <cell r="J994">
            <v>3.17485182619642E-6</v>
          </cell>
        </row>
        <row r="995">
          <cell r="A995" t="str">
            <v>ITOT-SWHHFOBR</v>
          </cell>
          <cell r="B995" t="str">
            <v>VAR_cap</v>
          </cell>
          <cell r="C995" t="str">
            <v>-</v>
          </cell>
          <cell r="H995">
            <v>4.2096892108038977E-4</v>
          </cell>
          <cell r="I995">
            <v>3.3164277170057979E-5</v>
          </cell>
          <cell r="J995">
            <v>-5.9155444513700017E-6</v>
          </cell>
        </row>
        <row r="996">
          <cell r="A996" t="str">
            <v>RHNM-SHCONBR2</v>
          </cell>
          <cell r="B996" t="str">
            <v>VAR_ncap</v>
          </cell>
          <cell r="C996" t="str">
            <v>-</v>
          </cell>
          <cell r="H996">
            <v>5.1359145760382701</v>
          </cell>
        </row>
        <row r="997">
          <cell r="A997" t="str">
            <v>RHNM-SHCONBR2</v>
          </cell>
          <cell r="B997" t="str">
            <v>VAR_cap</v>
          </cell>
          <cell r="C997" t="str">
            <v>-</v>
          </cell>
          <cell r="H997">
            <v>12.880095848197982</v>
          </cell>
          <cell r="I997">
            <v>7.4548275442379577</v>
          </cell>
          <cell r="J997">
            <v>3.3507875677810262</v>
          </cell>
        </row>
        <row r="998">
          <cell r="A998" t="str">
            <v>RHSA-WHSTG-ELCHP</v>
          </cell>
          <cell r="B998" t="str">
            <v>VAR_fout</v>
          </cell>
          <cell r="C998" t="str">
            <v>AUX_RHSA-WHSTG-ELCHP_OUT</v>
          </cell>
          <cell r="H998">
            <v>1.7408390812162136</v>
          </cell>
          <cell r="I998">
            <v>1.9720893952254475</v>
          </cell>
          <cell r="J998">
            <v>2.405869056902779</v>
          </cell>
        </row>
        <row r="999">
          <cell r="A999" t="str">
            <v>RHSA-WHSTG-ELCHP</v>
          </cell>
          <cell r="B999" t="str">
            <v>VAR_fout</v>
          </cell>
          <cell r="C999" t="str">
            <v>RHSA-WHAELCH</v>
          </cell>
          <cell r="H999">
            <v>1.7390999812349806</v>
          </cell>
          <cell r="I999">
            <v>1.970119275949497</v>
          </cell>
          <cell r="J999">
            <v>2.403465591311468</v>
          </cell>
        </row>
        <row r="1000">
          <cell r="A1000" t="str">
            <v>RHSA-WHSTG-ELCHP</v>
          </cell>
          <cell r="B1000" t="str">
            <v>VAR_fin</v>
          </cell>
          <cell r="C1000" t="str">
            <v>RHSA-WHAELCH</v>
          </cell>
          <cell r="H1000">
            <v>1.739107043601291</v>
          </cell>
          <cell r="I1000">
            <v>1.9701307548370146</v>
          </cell>
          <cell r="J1000">
            <v>2.4034684701564295</v>
          </cell>
        </row>
        <row r="1001">
          <cell r="A1001" t="str">
            <v>RHSA-WHSTG-ELCHP</v>
          </cell>
          <cell r="B1001" t="str">
            <v>VAR_ncap</v>
          </cell>
          <cell r="C1001" t="str">
            <v>-</v>
          </cell>
          <cell r="H1001">
            <v>8.3401781900705796E-2</v>
          </cell>
          <cell r="I1001">
            <v>8.6878729421917003E-2</v>
          </cell>
          <cell r="J1001">
            <v>0.14730306742478799</v>
          </cell>
        </row>
        <row r="1002">
          <cell r="A1002" t="str">
            <v>RHSA-WHSTG-ELCHP</v>
          </cell>
          <cell r="B1002" t="str">
            <v>VAR_cap</v>
          </cell>
          <cell r="C1002" t="str">
            <v>-</v>
          </cell>
          <cell r="H1002">
            <v>0.15779606738453583</v>
          </cell>
          <cell r="I1002">
            <v>0.20143946116503922</v>
          </cell>
          <cell r="J1002">
            <v>0.24556040496683773</v>
          </cell>
        </row>
        <row r="1003">
          <cell r="A1003" t="str">
            <v>RHNM-SHCONBR3</v>
          </cell>
          <cell r="B1003" t="str">
            <v>VAR_ncap</v>
          </cell>
          <cell r="C1003" t="str">
            <v>-</v>
          </cell>
          <cell r="H1003">
            <v>5.1359145760379503</v>
          </cell>
        </row>
        <row r="1004">
          <cell r="A1004" t="str">
            <v>RHNM-SHCONBR3</v>
          </cell>
          <cell r="B1004" t="str">
            <v>VAR_cap</v>
          </cell>
          <cell r="C1004" t="str">
            <v>-</v>
          </cell>
          <cell r="H1004">
            <v>12.880095848198948</v>
          </cell>
          <cell r="I1004">
            <v>7.4548275442389809</v>
          </cell>
          <cell r="J1004">
            <v>3.3507875677810262</v>
          </cell>
        </row>
        <row r="1005">
          <cell r="A1005" t="str">
            <v>RES-ELCSPECADV</v>
          </cell>
          <cell r="B1005" t="str">
            <v>VAR_fout</v>
          </cell>
          <cell r="C1005" t="str">
            <v>RHSA-ELS</v>
          </cell>
          <cell r="H1005">
            <v>13.765825644362444</v>
          </cell>
          <cell r="I1005">
            <v>18.436468371855991</v>
          </cell>
          <cell r="J1005">
            <v>27.774258275881401</v>
          </cell>
        </row>
        <row r="1006">
          <cell r="A1006" t="str">
            <v>RES-ELCSPECADV</v>
          </cell>
          <cell r="B1006" t="str">
            <v>VAR_fin</v>
          </cell>
          <cell r="C1006" t="str">
            <v>RHSA_ELC</v>
          </cell>
          <cell r="H1006">
            <v>9.1772170962416286</v>
          </cell>
          <cell r="I1006">
            <v>12.290978914570667</v>
          </cell>
          <cell r="J1006">
            <v>18.516172183920933</v>
          </cell>
        </row>
        <row r="1007">
          <cell r="A1007" t="str">
            <v>RES-ELCSPECADV</v>
          </cell>
          <cell r="B1007" t="str">
            <v>VAR_ncap</v>
          </cell>
          <cell r="C1007" t="str">
            <v>-</v>
          </cell>
          <cell r="H1007">
            <v>0.47304560094766501</v>
          </cell>
          <cell r="I1007">
            <v>0.49368391320930299</v>
          </cell>
          <cell r="J1007">
            <v>1.32793632357216</v>
          </cell>
        </row>
        <row r="1008">
          <cell r="A1008" t="str">
            <v>RES-ELCSPECADV</v>
          </cell>
          <cell r="B1008" t="str">
            <v>VAR_cap</v>
          </cell>
          <cell r="C1008" t="str">
            <v>-</v>
          </cell>
          <cell r="H1008">
            <v>1.4550379714087931</v>
          </cell>
          <cell r="I1008">
            <v>1.9487214318616382</v>
          </cell>
          <cell r="J1008">
            <v>2.9357195808861745</v>
          </cell>
        </row>
        <row r="1009">
          <cell r="A1009" t="str">
            <v>ITOT-SWHSTG-ELCHP</v>
          </cell>
          <cell r="B1009" t="str">
            <v>VAR_fout</v>
          </cell>
          <cell r="C1009" t="str">
            <v>ITOT-SWHAELCH</v>
          </cell>
          <cell r="H1009">
            <v>3.9236174146775969E-3</v>
          </cell>
          <cell r="I1009">
            <v>0.19593615381418475</v>
          </cell>
          <cell r="J1009">
            <v>0.28918646513112722</v>
          </cell>
        </row>
        <row r="1010">
          <cell r="A1010" t="str">
            <v>ITOT-SWHSTG-ELCHP</v>
          </cell>
          <cell r="B1010" t="str">
            <v>VAR_fin</v>
          </cell>
          <cell r="C1010" t="str">
            <v>ITOT-SWHAELCH</v>
          </cell>
          <cell r="H1010">
            <v>4.7875170121597609E-3</v>
          </cell>
          <cell r="I1010">
            <v>0.23053900154071844</v>
          </cell>
          <cell r="J1010">
            <v>0.32135839693318996</v>
          </cell>
        </row>
        <row r="1011">
          <cell r="A1011" t="str">
            <v>ITOT-SWHSTG-ELCHP</v>
          </cell>
          <cell r="B1011" t="str">
            <v>VAR_ncap</v>
          </cell>
          <cell r="C1011" t="str">
            <v>-</v>
          </cell>
          <cell r="H1011">
            <v>1.35451207166018E-2</v>
          </cell>
          <cell r="I1011">
            <v>9.72020644258028E-2</v>
          </cell>
          <cell r="J1011">
            <v>6.4493916726365397E-2</v>
          </cell>
        </row>
        <row r="1012">
          <cell r="A1012" t="str">
            <v>ITOT-SWHSTG-ELCHP</v>
          </cell>
          <cell r="B1012" t="str">
            <v>VAR_cap</v>
          </cell>
          <cell r="C1012" t="str">
            <v>-</v>
          </cell>
          <cell r="H1012">
            <v>7.8710297825467887E-2</v>
          </cell>
          <cell r="I1012">
            <v>0.14366429324915486</v>
          </cell>
          <cell r="J1012">
            <v>0.14068559964769842</v>
          </cell>
        </row>
        <row r="1013">
          <cell r="A1013" t="str">
            <v>D-RHNS_LTH_CHPWOD</v>
          </cell>
          <cell r="B1013" t="str">
            <v>VAR_fout</v>
          </cell>
          <cell r="C1013" t="str">
            <v>RHNS_LTH_CHPWOD_ON</v>
          </cell>
          <cell r="I1013">
            <v>3.3109215040381156E-3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RHSA_LTH</v>
          </cell>
          <cell r="H1014">
            <v>6.8477561374556146E-3</v>
          </cell>
          <cell r="I1014">
            <v>4.2104393539197692E-3</v>
          </cell>
          <cell r="J1014">
            <v>2.361480253093714E-3</v>
          </cell>
        </row>
        <row r="1015">
          <cell r="A1015" t="str">
            <v>D-RHNS_LTH_CHPWOD</v>
          </cell>
          <cell r="B1015" t="str">
            <v>VAR_fout</v>
          </cell>
          <cell r="C1015" t="str">
            <v>LTH</v>
          </cell>
          <cell r="H1015">
            <v>6.2958097531514411E-6</v>
          </cell>
          <cell r="I1015">
            <v>9.172721472161432E-6</v>
          </cell>
          <cell r="J1015">
            <v>4.3091102546486198E-6</v>
          </cell>
        </row>
        <row r="1016">
          <cell r="A1016" t="str">
            <v>D-RHNS_LTH_CHPWOD</v>
          </cell>
          <cell r="B1016" t="str">
            <v>VAR_fin</v>
          </cell>
          <cell r="C1016" t="str">
            <v>RHNS_LTH_CHPWOD</v>
          </cell>
          <cell r="H1016">
            <v>6.8544984975908536E-3</v>
          </cell>
          <cell r="I1016">
            <v>7.5310208572036616E-3</v>
          </cell>
          <cell r="J1016">
            <v>2.3662316562744761E-3</v>
          </cell>
        </row>
        <row r="1017">
          <cell r="A1017" t="str">
            <v>RHNM-SHCONBR4</v>
          </cell>
          <cell r="B1017" t="str">
            <v>VAR_ncap</v>
          </cell>
          <cell r="C1017" t="str">
            <v>-</v>
          </cell>
          <cell r="H1017">
            <v>5.1359145760382701</v>
          </cell>
        </row>
        <row r="1018">
          <cell r="A1018" t="str">
            <v>RHNM-SHCONBR4</v>
          </cell>
          <cell r="B1018" t="str">
            <v>VAR_cap</v>
          </cell>
          <cell r="C1018" t="str">
            <v>-</v>
          </cell>
          <cell r="H1018">
            <v>12.880095848197982</v>
          </cell>
          <cell r="I1018">
            <v>7.4548275442379577</v>
          </cell>
          <cell r="J1018">
            <v>3.3507875677810262</v>
          </cell>
        </row>
        <row r="1019">
          <cell r="A1019" t="str">
            <v>D-SBIO</v>
          </cell>
          <cell r="B1019" t="str">
            <v>VAR_fout</v>
          </cell>
          <cell r="C1019" t="str">
            <v>SBIO</v>
          </cell>
          <cell r="H1019">
            <v>3.0776850952409966</v>
          </cell>
          <cell r="I1019">
            <v>2.9497517160642732</v>
          </cell>
          <cell r="J1019">
            <v>2.8718774847897137</v>
          </cell>
        </row>
        <row r="1020">
          <cell r="A1020" t="str">
            <v>D-SBIO</v>
          </cell>
          <cell r="B1020" t="str">
            <v>VAR_fin</v>
          </cell>
          <cell r="C1020" t="str">
            <v>BIO</v>
          </cell>
          <cell r="H1020">
            <v>3.0776850952409966</v>
          </cell>
          <cell r="I1020">
            <v>2.9497517160642732</v>
          </cell>
          <cell r="J1020">
            <v>2.8718774847897137</v>
          </cell>
        </row>
        <row r="1021">
          <cell r="A1021" t="str">
            <v>RHEM-SHDEM</v>
          </cell>
          <cell r="B1021" t="str">
            <v>VAR_fout</v>
          </cell>
          <cell r="C1021" t="str">
            <v>RHEM-SHD</v>
          </cell>
          <cell r="H1021">
            <v>61.594591770108622</v>
          </cell>
          <cell r="I1021">
            <v>59.725063815024818</v>
          </cell>
          <cell r="J1021">
            <v>57.134169127252598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RHEM-SHNST</v>
          </cell>
          <cell r="H1022">
            <v>1.9740047764099005E-6</v>
          </cell>
          <cell r="J1022">
            <v>2.9560688147779558E-6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RHEM-SHPLT</v>
          </cell>
          <cell r="H1023">
            <v>0.34322092007535548</v>
          </cell>
          <cell r="I1023">
            <v>0.36287789563616768</v>
          </cell>
          <cell r="J1023">
            <v>0.28502824613980238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RHEM-SHNGAH</v>
          </cell>
          <cell r="H1024">
            <v>8.5401658737956936</v>
          </cell>
          <cell r="I1024">
            <v>10.405038637361269</v>
          </cell>
          <cell r="J1024">
            <v>9.2190951548926616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RHEM-SHLTHC-WOD</v>
          </cell>
          <cell r="H1025">
            <v>2.7737298466252118E-6</v>
          </cell>
          <cell r="I1025">
            <v>5.6199581795949267E-6</v>
          </cell>
          <cell r="J1025">
            <v>4.7074408925303423E-6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RHEM-SHSOL</v>
          </cell>
          <cell r="H1026">
            <v>1.1524454848789889E-2</v>
          </cell>
          <cell r="I1026">
            <v>1.0906528935881911E-2</v>
          </cell>
          <cell r="J1026">
            <v>8.981745358525129E-3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RHEM-SHLTHD</v>
          </cell>
          <cell r="H1027">
            <v>5.4115018763830491</v>
          </cell>
          <cell r="I1027">
            <v>5.6678639513751712</v>
          </cell>
          <cell r="J1027">
            <v>5.130753081265909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RHEM-SHNGA</v>
          </cell>
          <cell r="H1028">
            <v>9.4721533525145709</v>
          </cell>
          <cell r="I1028">
            <v>3.8595729118298157</v>
          </cell>
          <cell r="J1028">
            <v>1.4359043851902655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RHEM-SHELCB</v>
          </cell>
          <cell r="H1029">
            <v>3.9124049126637028E-3</v>
          </cell>
          <cell r="I1029">
            <v>3.1586179179719344E-3</v>
          </cell>
          <cell r="J1029">
            <v>3.4401321794333287E-3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RHEM-SHELCH</v>
          </cell>
          <cell r="H1030">
            <v>18.148728646645775</v>
          </cell>
          <cell r="I1030">
            <v>22.20450127350853</v>
          </cell>
          <cell r="J1030">
            <v>22.172787579530119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RHEM-SHLFO</v>
          </cell>
          <cell r="H1031">
            <v>7.0310559241255932</v>
          </cell>
          <cell r="I1031">
            <v>2.6193792484044551</v>
          </cell>
          <cell r="J1031">
            <v>0.28367814391405355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RHEM-SHCON</v>
          </cell>
          <cell r="H1032">
            <v>8.7278378577795532</v>
          </cell>
          <cell r="I1032">
            <v>11.291248192738879</v>
          </cell>
          <cell r="J1032">
            <v>16.655749515365912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RHEM-SHWOD</v>
          </cell>
          <cell r="H1033">
            <v>3.9052653073309158</v>
          </cell>
          <cell r="I1033">
            <v>3.3011763038275777</v>
          </cell>
          <cell r="J1033">
            <v>1.9392706841084226</v>
          </cell>
        </row>
        <row r="1034">
          <cell r="A1034" t="str">
            <v>RHEM-SHDEM</v>
          </cell>
          <cell r="B1034" t="str">
            <v>VAR_fin</v>
          </cell>
          <cell r="C1034" t="str">
            <v>RHEM-SHLTHC-NGA</v>
          </cell>
          <cell r="H1034">
            <v>3.1457528905049778E-6</v>
          </cell>
          <cell r="I1034">
            <v>3.4921075929683429E-6</v>
          </cell>
          <cell r="J1034">
            <v>3.8346281243436782E-6</v>
          </cell>
        </row>
        <row r="1035">
          <cell r="A1035" t="str">
            <v>ITOT-SWHH2BR</v>
          </cell>
          <cell r="B1035" t="str">
            <v>VAR_fout</v>
          </cell>
          <cell r="C1035" t="str">
            <v>ITOT-SWH</v>
          </cell>
          <cell r="H1035">
            <v>8.0638756079623981</v>
          </cell>
          <cell r="I1035">
            <v>9.5787038962642495</v>
          </cell>
          <cell r="J1035">
            <v>9.5787127966209056</v>
          </cell>
        </row>
        <row r="1036">
          <cell r="A1036" t="str">
            <v>ITOT-SWHH2BR</v>
          </cell>
          <cell r="B1036" t="str">
            <v>VAR_fin</v>
          </cell>
          <cell r="C1036" t="str">
            <v>IH2</v>
          </cell>
          <cell r="H1036">
            <v>9.9953229275684183</v>
          </cell>
          <cell r="I1036">
            <v>11.847112602824772</v>
          </cell>
          <cell r="J1036">
            <v>11.795724253675893</v>
          </cell>
        </row>
        <row r="1037">
          <cell r="A1037" t="str">
            <v>ITOT-SWHH2BR</v>
          </cell>
          <cell r="B1037" t="str">
            <v>VAR_ncap</v>
          </cell>
          <cell r="C1037" t="str">
            <v>-</v>
          </cell>
          <cell r="H1037">
            <v>0.64906825616381403</v>
          </cell>
          <cell r="I1037">
            <v>0.20749808007388401</v>
          </cell>
          <cell r="J1037">
            <v>0.37850590492790498</v>
          </cell>
        </row>
        <row r="1038">
          <cell r="A1038" t="str">
            <v>ITOT-SWHH2BR</v>
          </cell>
          <cell r="B1038" t="str">
            <v>VAR_cap</v>
          </cell>
          <cell r="C1038" t="str">
            <v>-</v>
          </cell>
          <cell r="H1038">
            <v>0.64906825616381403</v>
          </cell>
          <cell r="I1038">
            <v>0.85655895583165809</v>
          </cell>
          <cell r="J1038">
            <v>0.80362961434157365</v>
          </cell>
        </row>
        <row r="1039">
          <cell r="A1039" t="str">
            <v>RHNS-SHSTG-ELC</v>
          </cell>
          <cell r="B1039" t="str">
            <v>VAR_fout</v>
          </cell>
          <cell r="C1039" t="str">
            <v>RHNS-SHAELCB</v>
          </cell>
          <cell r="H1039">
            <v>1.1226992787770969E-3</v>
          </cell>
          <cell r="I1039">
            <v>1.6848738510207718E-3</v>
          </cell>
          <cell r="J1039">
            <v>7.7381315552633523E-4</v>
          </cell>
        </row>
        <row r="1040">
          <cell r="A1040" t="str">
            <v>RHNS-SHSTG-ELC</v>
          </cell>
          <cell r="B1040" t="str">
            <v>VAR_fout</v>
          </cell>
          <cell r="C1040" t="str">
            <v>AUX_RHNS-SHSTG-ELC_OUT</v>
          </cell>
          <cell r="H1040">
            <v>1.1238219780558736E-3</v>
          </cell>
          <cell r="I1040">
            <v>1.6865587248717903E-3</v>
          </cell>
          <cell r="J1040">
            <v>7.7458696868186211E-4</v>
          </cell>
        </row>
        <row r="1041">
          <cell r="A1041" t="str">
            <v>RHNS-SHSTG-ELC</v>
          </cell>
          <cell r="B1041" t="str">
            <v>VAR_fin</v>
          </cell>
          <cell r="C1041" t="str">
            <v>RHNS-SHAELCB</v>
          </cell>
          <cell r="H1041">
            <v>1.1174239632229053E-3</v>
          </cell>
          <cell r="I1041">
            <v>1.6773777816975212E-3</v>
          </cell>
          <cell r="J1041">
            <v>7.7346296827991799E-4</v>
          </cell>
        </row>
        <row r="1042">
          <cell r="A1042" t="str">
            <v>RHNS-SHSTG-ELC</v>
          </cell>
          <cell r="B1042" t="str">
            <v>VAR_ncap</v>
          </cell>
          <cell r="C1042" t="str">
            <v>-</v>
          </cell>
          <cell r="H1042">
            <v>1.6284640869684101E-4</v>
          </cell>
          <cell r="I1042">
            <v>1.24224506981545E-4</v>
          </cell>
          <cell r="J1042">
            <v>3.6107332217140399E-5</v>
          </cell>
        </row>
        <row r="1043">
          <cell r="A1043" t="str">
            <v>RHNS-SHSTG-ELC</v>
          </cell>
          <cell r="B1043" t="str">
            <v>VAR_cap</v>
          </cell>
          <cell r="C1043" t="str">
            <v>-</v>
          </cell>
          <cell r="H1043">
            <v>8.0173982715130371E-4</v>
          </cell>
          <cell r="I1043">
            <v>3.3376061076521358E-4</v>
          </cell>
          <cell r="J1043">
            <v>1.4136319083082321E-4</v>
          </cell>
        </row>
        <row r="1044">
          <cell r="A1044" t="str">
            <v>RHES-SHCOABR</v>
          </cell>
          <cell r="B1044" t="str">
            <v>VAR_fout</v>
          </cell>
          <cell r="C1044" t="str">
            <v>CO2_R</v>
          </cell>
        </row>
        <row r="1045">
          <cell r="A1045" t="str">
            <v>RHES-SHCOABR</v>
          </cell>
          <cell r="B1045" t="str">
            <v>VAR_fout</v>
          </cell>
          <cell r="C1045" t="str">
            <v>RHES-SHCOA</v>
          </cell>
        </row>
        <row r="1046">
          <cell r="A1046" t="str">
            <v>RHES-SHCOABR</v>
          </cell>
          <cell r="B1046" t="str">
            <v>VAR_fin</v>
          </cell>
          <cell r="C1046" t="str">
            <v>RCOA</v>
          </cell>
        </row>
        <row r="1047">
          <cell r="A1047" t="str">
            <v>RHES-SHCOABR</v>
          </cell>
          <cell r="B1047" t="str">
            <v>VAR_cap</v>
          </cell>
          <cell r="C1047" t="str">
            <v>-</v>
          </cell>
          <cell r="H1047">
            <v>1.3251393826900059E-6</v>
          </cell>
        </row>
        <row r="1048">
          <cell r="A1048" t="str">
            <v>D-INGA</v>
          </cell>
          <cell r="B1048" t="str">
            <v>VAR_fout</v>
          </cell>
          <cell r="C1048" t="str">
            <v>CO2</v>
          </cell>
          <cell r="H1048">
            <v>552.83663012618001</v>
          </cell>
          <cell r="I1048">
            <v>189.895302319823</v>
          </cell>
          <cell r="J1048">
            <v>81.341865652005893</v>
          </cell>
        </row>
        <row r="1049">
          <cell r="A1049" t="str">
            <v>D-INGA</v>
          </cell>
          <cell r="B1049" t="str">
            <v>VAR_fout</v>
          </cell>
          <cell r="C1049" t="str">
            <v>IH2</v>
          </cell>
          <cell r="H1049">
            <v>0.35251005290332582</v>
          </cell>
          <cell r="I1049">
            <v>0.17704689291537823</v>
          </cell>
          <cell r="J1049">
            <v>0.11795855772416887</v>
          </cell>
        </row>
        <row r="1050">
          <cell r="A1050" t="str">
            <v>D-INGA</v>
          </cell>
          <cell r="B1050" t="str">
            <v>VAR_fout</v>
          </cell>
          <cell r="C1050" t="str">
            <v>INGA</v>
          </cell>
          <cell r="H1050">
            <v>12.124393478810857</v>
          </cell>
          <cell r="I1050">
            <v>5.7102720627525088</v>
          </cell>
          <cell r="J1050">
            <v>3.8032868815321925</v>
          </cell>
        </row>
        <row r="1051">
          <cell r="A1051" t="str">
            <v>D-INGA</v>
          </cell>
          <cell r="B1051" t="str">
            <v>VAR_fin</v>
          </cell>
          <cell r="C1051" t="str">
            <v>NGA</v>
          </cell>
          <cell r="H1051">
            <v>9.8020679100386623</v>
          </cell>
          <cell r="I1051">
            <v>3.3669379843940161</v>
          </cell>
          <cell r="J1051">
            <v>1.4422316604965604</v>
          </cell>
        </row>
        <row r="1052">
          <cell r="A1052" t="str">
            <v>D-INGA</v>
          </cell>
          <cell r="B1052" t="str">
            <v>VAR_fin</v>
          </cell>
          <cell r="C1052" t="str">
            <v>BNGA</v>
          </cell>
          <cell r="H1052">
            <v>2.3623689454363794</v>
          </cell>
          <cell r="I1052">
            <v>2.3623699584994791</v>
          </cell>
          <cell r="J1052">
            <v>2.3738616783504547</v>
          </cell>
        </row>
        <row r="1053">
          <cell r="A1053" t="str">
            <v>D-INGA</v>
          </cell>
          <cell r="B1053" t="str">
            <v>VAR_fin</v>
          </cell>
          <cell r="C1053" t="str">
            <v>H2</v>
          </cell>
          <cell r="H1053">
            <v>0.35250943363509746</v>
          </cell>
          <cell r="I1053">
            <v>0.17704480856500646</v>
          </cell>
          <cell r="J1053">
            <v>0.11795262034406993</v>
          </cell>
        </row>
        <row r="1054">
          <cell r="A1054" t="str">
            <v>D-INGA</v>
          </cell>
          <cell r="B1054" t="str">
            <v>VAR_ncap</v>
          </cell>
          <cell r="C1054" t="str">
            <v>-</v>
          </cell>
          <cell r="H1054">
            <v>2.7594468574369998E-6</v>
          </cell>
          <cell r="I1054">
            <v>3.7798326999611299E-6</v>
          </cell>
          <cell r="J1054">
            <v>8.9685976604510598E-6</v>
          </cell>
        </row>
        <row r="1055">
          <cell r="A1055" t="str">
            <v>D-INGA</v>
          </cell>
          <cell r="B1055" t="str">
            <v>VAR_cap</v>
          </cell>
          <cell r="C1055" t="str">
            <v>-</v>
          </cell>
          <cell r="H1055">
            <v>1.9844898430066382</v>
          </cell>
          <cell r="I1055">
            <v>1.9844936228393382</v>
          </cell>
          <cell r="J1055">
            <v>1.0954786586168186</v>
          </cell>
        </row>
        <row r="1056">
          <cell r="A1056" t="str">
            <v>RHEM-SHNGAHP</v>
          </cell>
          <cell r="B1056" t="str">
            <v>VAR_fout</v>
          </cell>
          <cell r="C1056" t="str">
            <v>CO2_R</v>
          </cell>
          <cell r="H1056">
            <v>243.06793012037301</v>
          </cell>
          <cell r="I1056">
            <v>292.37975030296201</v>
          </cell>
          <cell r="J1056">
            <v>245.75572742104799</v>
          </cell>
        </row>
        <row r="1057">
          <cell r="A1057" t="str">
            <v>RHEM-SHNGAHP</v>
          </cell>
          <cell r="B1057" t="str">
            <v>VAR_fout</v>
          </cell>
          <cell r="C1057" t="str">
            <v>RHEM-SHANGAH</v>
          </cell>
          <cell r="H1057">
            <v>8.5401778456353181</v>
          </cell>
          <cell r="I1057">
            <v>10.405047449492848</v>
          </cell>
          <cell r="J1057">
            <v>9.2191118150551432</v>
          </cell>
        </row>
        <row r="1058">
          <cell r="A1058" t="str">
            <v>RHEM-SHNGAHP</v>
          </cell>
          <cell r="B1058" t="str">
            <v>VAR_fin</v>
          </cell>
          <cell r="C1058" t="str">
            <v>RHEMELCHPC</v>
          </cell>
          <cell r="H1058">
            <v>8.5401778456353181</v>
          </cell>
          <cell r="I1058">
            <v>10.405047449492848</v>
          </cell>
          <cell r="J1058">
            <v>9.2191118150551432</v>
          </cell>
        </row>
        <row r="1059">
          <cell r="A1059" t="str">
            <v>RHEM-SHNGAHP</v>
          </cell>
          <cell r="B1059" t="str">
            <v>VAR_fin</v>
          </cell>
          <cell r="C1059" t="str">
            <v>RNGA</v>
          </cell>
          <cell r="H1059">
            <v>4.309715073056263</v>
          </cell>
          <cell r="I1059">
            <v>5.1840381259390407</v>
          </cell>
          <cell r="J1059">
            <v>4.3573710535646892</v>
          </cell>
        </row>
        <row r="1060">
          <cell r="A1060" t="str">
            <v>RHEM-SHNGAHP</v>
          </cell>
          <cell r="B1060" t="str">
            <v>VAR_ncap</v>
          </cell>
          <cell r="C1060" t="str">
            <v>-</v>
          </cell>
          <cell r="H1060">
            <v>0.11255151477252399</v>
          </cell>
          <cell r="I1060">
            <v>0.37450293898021503</v>
          </cell>
          <cell r="J1060">
            <v>0.33278131499036101</v>
          </cell>
        </row>
        <row r="1061">
          <cell r="A1061" t="str">
            <v>RHEM-SHNGAHP</v>
          </cell>
          <cell r="B1061" t="str">
            <v>VAR_cap</v>
          </cell>
          <cell r="C1061" t="str">
            <v>-</v>
          </cell>
          <cell r="H1061">
            <v>0.60308772344249051</v>
          </cell>
          <cell r="I1061">
            <v>0.7351398525052717</v>
          </cell>
          <cell r="J1061">
            <v>0.65217913503394853</v>
          </cell>
        </row>
        <row r="1062">
          <cell r="A1062" t="str">
            <v>D-SPLT</v>
          </cell>
          <cell r="B1062" t="str">
            <v>VAR_fout</v>
          </cell>
          <cell r="C1062" t="str">
            <v>SPLT</v>
          </cell>
          <cell r="H1062">
            <v>0.82399976690527665</v>
          </cell>
          <cell r="I1062">
            <v>1.0493050868321008</v>
          </cell>
          <cell r="J1062">
            <v>1.0769715300148457</v>
          </cell>
        </row>
        <row r="1063">
          <cell r="A1063" t="str">
            <v>D-SPLT</v>
          </cell>
          <cell r="B1063" t="str">
            <v>VAR_fin</v>
          </cell>
          <cell r="C1063" t="str">
            <v>PLT</v>
          </cell>
          <cell r="H1063">
            <v>0.82399976690527665</v>
          </cell>
          <cell r="I1063">
            <v>1.0493050868321008</v>
          </cell>
          <cell r="J1063">
            <v>1.0769715300148457</v>
          </cell>
        </row>
        <row r="1064">
          <cell r="A1064" t="str">
            <v>RHES-SHCONBR</v>
          </cell>
          <cell r="B1064" t="str">
            <v>VAR_fout</v>
          </cell>
          <cell r="C1064" t="str">
            <v>RHES-SHCON</v>
          </cell>
          <cell r="H1064">
            <v>1.592953929947082E-4</v>
          </cell>
          <cell r="I1064">
            <v>1.7624692103691795E-4</v>
          </cell>
          <cell r="J1064">
            <v>2.2156651677978783E-4</v>
          </cell>
        </row>
        <row r="1065">
          <cell r="A1065" t="str">
            <v>RHES-SHCONBR</v>
          </cell>
          <cell r="B1065" t="str">
            <v>VAR_fin</v>
          </cell>
          <cell r="C1065" t="str">
            <v>CON</v>
          </cell>
          <cell r="H1065">
            <v>1.592953929947082E-4</v>
          </cell>
          <cell r="I1065">
            <v>1.7624692103691795E-4</v>
          </cell>
          <cell r="J1065">
            <v>2.2156651677978783E-4</v>
          </cell>
        </row>
        <row r="1066">
          <cell r="A1066" t="str">
            <v>RHES-SHCONBR</v>
          </cell>
          <cell r="B1066" t="str">
            <v>VAR_ncap</v>
          </cell>
          <cell r="C1066" t="str">
            <v>-</v>
          </cell>
          <cell r="H1066">
            <v>1.09822275228902E-6</v>
          </cell>
          <cell r="I1066">
            <v>1.87132668026485E-6</v>
          </cell>
          <cell r="J1066">
            <v>4.06928296973161E-6</v>
          </cell>
        </row>
        <row r="1067">
          <cell r="A1067" t="str">
            <v>RHES-SHCONBR</v>
          </cell>
          <cell r="B1067" t="str">
            <v>VAR_cap</v>
          </cell>
          <cell r="C1067" t="str">
            <v>-</v>
          </cell>
          <cell r="H1067">
            <v>1.0144151730402156E-5</v>
          </cell>
          <cell r="I1067">
            <v>1.1990580472141981E-5</v>
          </cell>
          <cell r="J1067">
            <v>1.6163346086142299E-5</v>
          </cell>
        </row>
        <row r="1068">
          <cell r="A1068" t="str">
            <v>RHSA-WHSOLBR</v>
          </cell>
          <cell r="B1068" t="str">
            <v>VAR_fout</v>
          </cell>
          <cell r="C1068" t="str">
            <v>RHSA-WHASOL</v>
          </cell>
          <cell r="H1068">
            <v>1.1233229996205094</v>
          </cell>
          <cell r="I1068">
            <v>1.2090646551471558</v>
          </cell>
          <cell r="J1068">
            <v>1.2000072349084716</v>
          </cell>
        </row>
        <row r="1069">
          <cell r="A1069" t="str">
            <v>RHSA-WHSOLBR</v>
          </cell>
          <cell r="B1069" t="str">
            <v>VAR_fin</v>
          </cell>
          <cell r="C1069" t="str">
            <v>SOL</v>
          </cell>
          <cell r="H1069">
            <v>1.1233229996205094</v>
          </cell>
          <cell r="I1069">
            <v>1.2090646551471558</v>
          </cell>
          <cell r="J1069">
            <v>1.2000072349084716</v>
          </cell>
        </row>
        <row r="1070">
          <cell r="A1070" t="str">
            <v>RHSA-WHSOLBR</v>
          </cell>
          <cell r="B1070" t="str">
            <v>VAR_fin</v>
          </cell>
          <cell r="C1070" t="str">
            <v>RHSASOLBRC</v>
          </cell>
          <cell r="H1070">
            <v>1.1233229996205094</v>
          </cell>
          <cell r="I1070">
            <v>1.2090646551471558</v>
          </cell>
          <cell r="J1070">
            <v>1.2000072349084716</v>
          </cell>
        </row>
        <row r="1071">
          <cell r="A1071" t="str">
            <v>RHSA-WHSOLBR</v>
          </cell>
          <cell r="B1071" t="str">
            <v>VAR_ncap</v>
          </cell>
          <cell r="C1071" t="str">
            <v>-</v>
          </cell>
          <cell r="H1071">
            <v>0.137036849974043</v>
          </cell>
          <cell r="I1071">
            <v>0.13319521566032</v>
          </cell>
          <cell r="J1071">
            <v>0.10199363491220199</v>
          </cell>
        </row>
        <row r="1072">
          <cell r="A1072" t="str">
            <v>RHSA-WHSOLBR</v>
          </cell>
          <cell r="B1072" t="str">
            <v>VAR_cap</v>
          </cell>
          <cell r="C1072" t="str">
            <v>-</v>
          </cell>
          <cell r="H1072">
            <v>0.24409866400783428</v>
          </cell>
          <cell r="I1072">
            <v>0.27023283854149266</v>
          </cell>
          <cell r="J1072">
            <v>0.2566232528147378</v>
          </cell>
        </row>
        <row r="1073">
          <cell r="A1073" t="str">
            <v>SCOM-SHCONBR</v>
          </cell>
          <cell r="B1073" t="str">
            <v>VAR_ncap</v>
          </cell>
          <cell r="C1073" t="str">
            <v>-</v>
          </cell>
          <cell r="H1073">
            <v>5.2227698019153405E-7</v>
          </cell>
          <cell r="I1073">
            <v>1.9709863659925601E-8</v>
          </cell>
          <cell r="J1073">
            <v>1.3749871868833E-8</v>
          </cell>
        </row>
        <row r="1074">
          <cell r="A1074" t="str">
            <v>SCOM-SHCONBR</v>
          </cell>
          <cell r="B1074" t="str">
            <v>VAR_cap</v>
          </cell>
          <cell r="C1074" t="str">
            <v>-</v>
          </cell>
          <cell r="H1074">
            <v>6.1552447067753436E-7</v>
          </cell>
          <cell r="I1074">
            <v>5.8735561823262587E-7</v>
          </cell>
          <cell r="J1074">
            <v>6.5951365679253599E-7</v>
          </cell>
        </row>
        <row r="1075">
          <cell r="A1075" t="str">
            <v>RHNM-SHNGABR</v>
          </cell>
          <cell r="B1075" t="str">
            <v>VAR_fout</v>
          </cell>
          <cell r="C1075" t="str">
            <v>CO2_R</v>
          </cell>
          <cell r="H1075">
            <v>8.6048259757151904</v>
          </cell>
          <cell r="I1075">
            <v>5.2223328275642604</v>
          </cell>
        </row>
        <row r="1076">
          <cell r="A1076" t="str">
            <v>RHNM-SHNGABR</v>
          </cell>
          <cell r="B1076" t="str">
            <v>VAR_fout</v>
          </cell>
          <cell r="C1076" t="str">
            <v>RHNM-SHNGA</v>
          </cell>
          <cell r="H1076">
            <v>0.14642605179457302</v>
          </cell>
          <cell r="I1076">
            <v>8.8867058933619486E-2</v>
          </cell>
        </row>
        <row r="1077">
          <cell r="A1077" t="str">
            <v>RHNM-SHNGABR</v>
          </cell>
          <cell r="B1077" t="str">
            <v>VAR_fin</v>
          </cell>
          <cell r="C1077" t="str">
            <v>RNGA</v>
          </cell>
          <cell r="H1077">
            <v>0.1525678364488508</v>
          </cell>
          <cell r="I1077">
            <v>9.2594553680217281E-2</v>
          </cell>
        </row>
        <row r="1078">
          <cell r="A1078" t="str">
            <v>RHNM-SHNGABR</v>
          </cell>
          <cell r="B1078" t="str">
            <v>VAR_ncap</v>
          </cell>
          <cell r="C1078" t="str">
            <v>-</v>
          </cell>
          <cell r="H1078">
            <v>2.60361813623568E-5</v>
          </cell>
          <cell r="I1078">
            <v>7.0476586467475601E-3</v>
          </cell>
          <cell r="J1078">
            <v>4.0936036063496802E-7</v>
          </cell>
        </row>
        <row r="1079">
          <cell r="A1079" t="str">
            <v>RHNM-SHNGABR</v>
          </cell>
          <cell r="B1079" t="str">
            <v>VAR_cap</v>
          </cell>
          <cell r="C1079" t="str">
            <v>-</v>
          </cell>
          <cell r="H1079">
            <v>1.2452643965435699E-2</v>
          </cell>
          <cell r="I1079">
            <v>7.0744487261124797E-3</v>
          </cell>
          <cell r="J1079">
            <v>1.6213922814220169E-5</v>
          </cell>
        </row>
        <row r="1080">
          <cell r="A1080" t="str">
            <v>RHES-SHSOLBR</v>
          </cell>
          <cell r="B1080" t="str">
            <v>VAR_fout</v>
          </cell>
          <cell r="C1080" t="str">
            <v>RHES-SHASOL</v>
          </cell>
          <cell r="H1080">
            <v>2.2598187610527697E-2</v>
          </cell>
          <cell r="I1080">
            <v>2.193568510105753E-2</v>
          </cell>
          <cell r="J1080">
            <v>1.9793130105376665E-2</v>
          </cell>
        </row>
        <row r="1081">
          <cell r="A1081" t="str">
            <v>RHES-SHSOLBR</v>
          </cell>
          <cell r="B1081" t="str">
            <v>VAR_fin</v>
          </cell>
          <cell r="C1081" t="str">
            <v>SOL</v>
          </cell>
          <cell r="H1081">
            <v>2.2598187610527697E-2</v>
          </cell>
          <cell r="I1081">
            <v>2.193568510105753E-2</v>
          </cell>
          <cell r="J1081">
            <v>1.9793130105376665E-2</v>
          </cell>
        </row>
        <row r="1082">
          <cell r="A1082" t="str">
            <v>RHES-SHSOLBR</v>
          </cell>
          <cell r="B1082" t="str">
            <v>VAR_ncap</v>
          </cell>
          <cell r="C1082" t="str">
            <v>-</v>
          </cell>
          <cell r="H1082">
            <v>1.12433340660573E-6</v>
          </cell>
          <cell r="I1082">
            <v>3.2438249520280299E-3</v>
          </cell>
          <cell r="J1082">
            <v>5.5592696355010395E-4</v>
          </cell>
        </row>
        <row r="1083">
          <cell r="A1083" t="str">
            <v>RHES-SHSOLBR</v>
          </cell>
          <cell r="B1083" t="str">
            <v>VAR_cap</v>
          </cell>
          <cell r="C1083" t="str">
            <v>-</v>
          </cell>
          <cell r="H1083">
            <v>1.8359997591229735E-2</v>
          </cell>
          <cell r="I1083">
            <v>3.2448437220482752E-3</v>
          </cell>
          <cell r="J1083">
            <v>2.9103317917132648E-3</v>
          </cell>
        </row>
        <row r="1084">
          <cell r="A1084" t="str">
            <v>SCOM-SHSOLBR</v>
          </cell>
          <cell r="B1084" t="str">
            <v>VAR_fout</v>
          </cell>
          <cell r="C1084" t="str">
            <v>SCOM-SHASOL</v>
          </cell>
          <cell r="H1084">
            <v>0.66055183574465315</v>
          </cell>
          <cell r="I1084">
            <v>0.73653557477131526</v>
          </cell>
          <cell r="J1084">
            <v>0.77782125202687369</v>
          </cell>
        </row>
        <row r="1085">
          <cell r="A1085" t="str">
            <v>SCOM-SHSOLBR</v>
          </cell>
          <cell r="B1085" t="str">
            <v>VAR_fin</v>
          </cell>
          <cell r="C1085" t="str">
            <v>SOL</v>
          </cell>
          <cell r="H1085">
            <v>0.66055183574465315</v>
          </cell>
          <cell r="I1085">
            <v>0.73653557477131526</v>
          </cell>
          <cell r="J1085">
            <v>0.77782125202687369</v>
          </cell>
        </row>
        <row r="1086">
          <cell r="A1086" t="str">
            <v>SCOM-SHSOLBR</v>
          </cell>
          <cell r="B1086" t="str">
            <v>VAR_ncap</v>
          </cell>
          <cell r="C1086" t="str">
            <v>-</v>
          </cell>
          <cell r="H1086">
            <v>6.7898385942208095E-2</v>
          </cell>
          <cell r="I1086">
            <v>4.2146836106790903E-2</v>
          </cell>
          <cell r="J1086">
            <v>5.9111944629513302E-2</v>
          </cell>
        </row>
        <row r="1087">
          <cell r="A1087" t="str">
            <v>SCOM-SHSOLBR</v>
          </cell>
          <cell r="B1087" t="str">
            <v>VAR_cap</v>
          </cell>
          <cell r="C1087" t="str">
            <v>-</v>
          </cell>
          <cell r="H1087">
            <v>9.6010422075315113E-2</v>
          </cell>
          <cell r="I1087">
            <v>0.11004588769809323</v>
          </cell>
          <cell r="J1087">
            <v>0.11841951310377978</v>
          </cell>
        </row>
        <row r="1088">
          <cell r="A1088" t="str">
            <v>RHEM-SHSTG-ELCHP</v>
          </cell>
          <cell r="B1088" t="str">
            <v>VAR_fout</v>
          </cell>
          <cell r="C1088" t="str">
            <v>RHEM-SHAELCH</v>
          </cell>
          <cell r="H1088">
            <v>2.8023594722012324</v>
          </cell>
          <cell r="I1088">
            <v>3.3418719682075699</v>
          </cell>
          <cell r="J1088">
            <v>3.4733237012056253</v>
          </cell>
        </row>
        <row r="1089">
          <cell r="A1089" t="str">
            <v>RHEM-SHSTG-ELCHP</v>
          </cell>
          <cell r="B1089" t="str">
            <v>VAR_fout</v>
          </cell>
          <cell r="C1089" t="str">
            <v>AUX_RHEM-SHSTG-ELCHP_OUT</v>
          </cell>
          <cell r="H1089">
            <v>2.8051618316734346</v>
          </cell>
          <cell r="I1089">
            <v>3.3452138401757785</v>
          </cell>
          <cell r="J1089">
            <v>3.4767970249068343</v>
          </cell>
        </row>
        <row r="1090">
          <cell r="A1090" t="str">
            <v>RHEM-SHSTG-ELCHP</v>
          </cell>
          <cell r="B1090" t="str">
            <v>VAR_fin</v>
          </cell>
          <cell r="C1090" t="str">
            <v>RHEM-SHAELCH</v>
          </cell>
          <cell r="H1090">
            <v>2.8023709617863761</v>
          </cell>
          <cell r="I1090">
            <v>3.3418830159152959</v>
          </cell>
          <cell r="J1090">
            <v>3.4733353624228718</v>
          </cell>
        </row>
        <row r="1091">
          <cell r="A1091" t="str">
            <v>RHEM-SHSTG-ELCHP</v>
          </cell>
          <cell r="B1091" t="str">
            <v>VAR_ncap</v>
          </cell>
          <cell r="C1091" t="str">
            <v>-</v>
          </cell>
          <cell r="H1091">
            <v>0.19695678579481099</v>
          </cell>
          <cell r="I1091">
            <v>0.13489934717765201</v>
          </cell>
          <cell r="J1091">
            <v>0.18732098743153</v>
          </cell>
        </row>
        <row r="1092">
          <cell r="A1092" t="str">
            <v>RHEM-SHSTG-ELCHP</v>
          </cell>
          <cell r="B1092" t="str">
            <v>VAR_cap</v>
          </cell>
          <cell r="C1092" t="str">
            <v>-</v>
          </cell>
          <cell r="H1092">
            <v>0.3015455340979542</v>
          </cell>
          <cell r="I1092">
            <v>0.36893640811295453</v>
          </cell>
          <cell r="J1092">
            <v>0.36844998310856891</v>
          </cell>
        </row>
        <row r="1093">
          <cell r="A1093" t="str">
            <v>ITOT-SWHELCBR</v>
          </cell>
          <cell r="B1093" t="str">
            <v>VAR_fout</v>
          </cell>
          <cell r="C1093" t="str">
            <v>ITOT-SWHAELC</v>
          </cell>
          <cell r="H1093">
            <v>17.286565030190136</v>
          </cell>
          <cell r="I1093">
            <v>17.286564211866381</v>
          </cell>
          <cell r="J1093">
            <v>17.286574482063557</v>
          </cell>
        </row>
        <row r="1094">
          <cell r="A1094" t="str">
            <v>ITOT-SWHELCBR</v>
          </cell>
          <cell r="B1094" t="str">
            <v>VAR_fin</v>
          </cell>
          <cell r="C1094" t="str">
            <v>ITOT_ELC</v>
          </cell>
          <cell r="H1094">
            <v>20.434078266349267</v>
          </cell>
          <cell r="I1094">
            <v>20.407123919246523</v>
          </cell>
          <cell r="J1094">
            <v>20.353442006320766</v>
          </cell>
        </row>
        <row r="1095">
          <cell r="A1095" t="str">
            <v>ITOT-SWHELCBR</v>
          </cell>
          <cell r="B1095" t="str">
            <v>VAR_ncap</v>
          </cell>
          <cell r="C1095" t="str">
            <v>-</v>
          </cell>
          <cell r="H1095">
            <v>0.56778770499730702</v>
          </cell>
          <cell r="I1095">
            <v>0.53330634515263597</v>
          </cell>
          <cell r="J1095">
            <v>0.97168285808058996</v>
          </cell>
        </row>
        <row r="1096">
          <cell r="A1096" t="str">
            <v>ITOT-SWHELCBR</v>
          </cell>
          <cell r="B1096" t="str">
            <v>VAR_cap</v>
          </cell>
          <cell r="C1096" t="str">
            <v>-</v>
          </cell>
          <cell r="H1096">
            <v>1.3759246419827733</v>
          </cell>
          <cell r="I1096">
            <v>1.4407964416659298</v>
          </cell>
          <cell r="J1096">
            <v>1.5988710552188503</v>
          </cell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1074.413260138351</v>
          </cell>
          <cell r="K4">
            <v>1302.3341790452553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954.99732488046357</v>
          </cell>
          <cell r="K5">
            <v>1120.5417053656888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113.13489916928243</v>
          </cell>
          <cell r="K6">
            <v>84.924249783058201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6.2810360886050596</v>
          </cell>
          <cell r="K7">
            <v>96.868223896507288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-38.020518100075357</v>
          </cell>
          <cell r="K8">
            <v>-47.831842403571216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725.18701043217027</v>
          </cell>
          <cell r="K9">
            <v>2395.4497254983175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808.93094993365639</v>
          </cell>
          <cell r="K10">
            <v>2285.6112138098138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211.77164243347093</v>
          </cell>
          <cell r="K11">
            <v>387.48246504110722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0.48777457801513452</v>
          </cell>
          <cell r="K12">
            <v>37.992817746853689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141.71036745349011</v>
          </cell>
          <cell r="K13">
            <v>375.66555410866874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0.69123485000777751</v>
          </cell>
          <cell r="K14">
            <v>508.34063444786716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0.14536777511038459</v>
          </cell>
          <cell r="K15">
            <v>1011.4110171050864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2.8328744201686459E-2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6.4423100307138409E-3</v>
          </cell>
          <cell r="K17">
            <v>2.6106487159160155E-2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1888.8977327358691</v>
          </cell>
          <cell r="K18">
            <v>7001.9692615568956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-39.1112314689261</v>
          </cell>
          <cell r="K19">
            <v>-48.71694917675164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814.48447259752095</v>
          </cell>
          <cell r="K20">
            <v>3470.2381144341139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814.48447259752095</v>
          </cell>
          <cell r="K21">
            <v>3470.2381144341139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-38.020518100075357</v>
          </cell>
          <cell r="K22">
            <v>-47.831842403571216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7.3538467444779299</v>
          </cell>
          <cell r="J23">
            <v>5.0546937603702302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21.426448013430502</v>
          </cell>
          <cell r="J24">
            <v>26.2157918944825</v>
          </cell>
          <cell r="K24">
            <v>30.7166855655314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1.0937615364478701</v>
          </cell>
          <cell r="J25">
            <v>0.323117053487468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566.40493766533905</v>
          </cell>
          <cell r="J26">
            <v>230.78979099272499</v>
          </cell>
          <cell r="K26">
            <v>85.861855108229605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105.875633298349</v>
          </cell>
          <cell r="J27">
            <v>130.88606784539601</v>
          </cell>
          <cell r="K27">
            <v>120.99070781277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594.89858456352204</v>
          </cell>
          <cell r="J28">
            <v>221.625356647225</v>
          </cell>
          <cell r="K28">
            <v>24.001221578526099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192.29705673274901</v>
          </cell>
          <cell r="J29">
            <v>219.94500117279</v>
          </cell>
          <cell r="K29">
            <v>191.39117558111599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5.1076522949995899</v>
          </cell>
          <cell r="J30">
            <v>4.7809265642056999</v>
          </cell>
          <cell r="K30">
            <v>2.0637848963350298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3.8480535167414298</v>
          </cell>
          <cell r="J31">
            <v>3.37209302930972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1.1299800560203901</v>
          </cell>
          <cell r="J32">
            <v>0.51418617428824898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27.8721458231906</v>
          </cell>
          <cell r="J33">
            <v>34.251103765558497</v>
          </cell>
          <cell r="K33">
            <v>39.484162469695697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298.71449969036001</v>
          </cell>
          <cell r="J34">
            <v>141.708973941773</v>
          </cell>
          <cell r="K34">
            <v>57.031574252740398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239.61770699534</v>
          </cell>
          <cell r="J35">
            <v>143.70788930620901</v>
          </cell>
          <cell r="K35">
            <v>63.618726863200003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194.814037373948</v>
          </cell>
          <cell r="J36">
            <v>96.602768227211101</v>
          </cell>
          <cell r="K36">
            <v>7.2544209822866597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349.242097895141</v>
          </cell>
          <cell r="J37">
            <v>114.615403254502</v>
          </cell>
          <cell r="K37">
            <v>11.299883486372901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0.43462636066437998</v>
          </cell>
          <cell r="J38">
            <v>0.16057094667941901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2.9363466950206698</v>
          </cell>
          <cell r="J39">
            <v>0.87164170805987096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243.06793012037301</v>
          </cell>
          <cell r="J41">
            <v>292.37975030296201</v>
          </cell>
          <cell r="K41">
            <v>245.75572742104799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8.6048259757151904</v>
          </cell>
          <cell r="J42">
            <v>5.2223328275642604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2864.7401713518302</v>
          </cell>
          <cell r="J43">
            <v>1673.0274594148</v>
          </cell>
          <cell r="K43">
            <v>879.469926017852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236.76763008940301</v>
          </cell>
          <cell r="J44">
            <v>295.81676361440202</v>
          </cell>
          <cell r="K44">
            <v>279.62030014778202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1.0482561215947701</v>
          </cell>
          <cell r="J45">
            <v>0.185520016486489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635.32653748485802</v>
          </cell>
          <cell r="J46">
            <v>338.22529812856197</v>
          </cell>
          <cell r="K46">
            <v>126.818732442529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821.83640713350303</v>
          </cell>
          <cell r="J47">
            <v>400.54075317661898</v>
          </cell>
          <cell r="K47">
            <v>31.127266268242199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1694.97883082936</v>
          </cell>
          <cell r="J48">
            <v>1034.76833493607</v>
          </cell>
          <cell r="K48">
            <v>437.56629885855301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0.35654179570329186</v>
          </cell>
          <cell r="J50">
            <v>0.22555178097491821</v>
          </cell>
          <cell r="K50">
            <v>1.2486469084384E-2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0.26858215469964986</v>
          </cell>
          <cell r="J51">
            <v>0.13341111723351728</v>
          </cell>
          <cell r="K51">
            <v>1.8500670757645291E-2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2.2923585879359205</v>
          </cell>
          <cell r="J52">
            <v>0.94321497821204348</v>
          </cell>
          <cell r="K52">
            <v>0.17001750963271081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855.00568121490403</v>
          </cell>
          <cell r="J53">
            <v>371.10000030165497</v>
          </cell>
          <cell r="K53">
            <v>62.205546786584129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2.9213972638728221</v>
          </cell>
          <cell r="J54">
            <v>0.50421346955380886</v>
          </cell>
          <cell r="K54">
            <v>7.8877386358391408E-2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42.026115250443816</v>
          </cell>
          <cell r="J55">
            <v>1.03532808280894E-2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6.1984494428773546E-3</v>
          </cell>
          <cell r="J58">
            <v>1.0818932814639179E-3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1.217315289029915E-2</v>
          </cell>
          <cell r="J59">
            <v>1.9363794542705741E-3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0.35125466933459903</v>
          </cell>
          <cell r="J60">
            <v>9.5923833952617499E-3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1.423524508910206E-2</v>
          </cell>
          <cell r="J61">
            <v>2.3969958102332493E-3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1.1912511923340021E-2</v>
          </cell>
          <cell r="J62">
            <v>2.1286410886286701E-3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6.0911126889106826E-2</v>
          </cell>
          <cell r="J63">
            <v>1.8144826229506569E-2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6.2935925065593021E-2</v>
          </cell>
          <cell r="J64">
            <v>1.6554104752669579E-2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4.5459420197811726E-2</v>
          </cell>
          <cell r="J65">
            <v>1.3227342125518109E-2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6.7929830698701274E-2</v>
          </cell>
          <cell r="J66">
            <v>1.644730023336766E-2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4.7691066459039429E-2</v>
          </cell>
          <cell r="J67">
            <v>1.2500871046464411E-2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8.1053556807749005E-2</v>
          </cell>
          <cell r="J68">
            <v>1.9354616686674452E-2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4.9562070387929362E-2</v>
          </cell>
          <cell r="J69">
            <v>1.217199595027609E-2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1.9533368544882102E-3</v>
          </cell>
          <cell r="J70">
            <v>3.60226488399006E-3</v>
          </cell>
          <cell r="K70">
            <v>1.7231344499032471E-3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3.648603030701298E-2</v>
          </cell>
          <cell r="J71">
            <v>9.1537233931644601E-3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1.3026145674331401E-3</v>
          </cell>
          <cell r="J72">
            <v>4.4834573782815699E-3</v>
          </cell>
          <cell r="K72">
            <v>2.3550268167100599E-3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2.2004061913300399</v>
          </cell>
          <cell r="J76">
            <v>10.082712759972001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63.300438387293539</v>
          </cell>
          <cell r="J77">
            <v>32.720963684600164</v>
          </cell>
          <cell r="K77">
            <v>34.989212258458615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976.71928720337803</v>
          </cell>
          <cell r="J78">
            <v>543.07072717064705</v>
          </cell>
          <cell r="K78">
            <v>149.740254788578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0.7676531334119403</v>
          </cell>
          <cell r="J79">
            <v>4.2741044785628984E-2</v>
          </cell>
          <cell r="K79">
            <v>2.5980275666352561E-2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0.96995451946679434</v>
          </cell>
          <cell r="J80">
            <v>0.16059034956192031</v>
          </cell>
          <cell r="K80">
            <v>2.526424970467591E-2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0.31389925285335268</v>
          </cell>
          <cell r="J82">
            <v>0.25172112098399224</v>
          </cell>
          <cell r="K82">
            <v>4.5585205750043496E-2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7.4615562338246101E-3</v>
          </cell>
          <cell r="J85">
            <v>9.4331782765554105E-4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4.87715829716945E-4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4.0153030480455105E-4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J89">
            <v>2.8275235115171599E-4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K92">
            <v>1.56051687642985E-3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K93">
            <v>1.2517614668792899E-3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48.63227915718614</v>
          </cell>
          <cell r="J98">
            <v>6.4291420899210339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59.970183383254096</v>
          </cell>
          <cell r="J99">
            <v>1.0447357204474801E-2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38.437709581064468</v>
          </cell>
          <cell r="J100">
            <v>3.6036011850998415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7.54148975858078E-2</v>
          </cell>
          <cell r="J101">
            <v>1.3865717940891701E-2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105.08292230626961</v>
          </cell>
          <cell r="J102">
            <v>8.1644942433760281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1.56851204058243</v>
          </cell>
          <cell r="J103">
            <v>1.2914222091523889E-2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141.00852151781891</v>
          </cell>
          <cell r="J104">
            <v>17.223135226704123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10.139817380671662</v>
          </cell>
          <cell r="J105">
            <v>1.2352416204026832E-2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5.7156520126977011</v>
          </cell>
          <cell r="J106">
            <v>9.1283613452679702E-3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1.9378746622988E-3</v>
          </cell>
          <cell r="K108">
            <v>1.7136581271027601E-4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1.9953844096303299E-3</v>
          </cell>
          <cell r="K109">
            <v>2.115742968342E-5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1.43876214697002E-3</v>
          </cell>
          <cell r="K110">
            <v>1.96086646909112E-3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0.19758643766244732</v>
          </cell>
          <cell r="J111">
            <v>2.188727989338533E-2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K112">
            <v>9.6476882982499004E-4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2.0497768159452898E-2</v>
          </cell>
          <cell r="J113">
            <v>6.5793702480045702E-3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30.736812595535408</v>
          </cell>
          <cell r="J114">
            <v>3.5548386595245405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2.1721258128209344</v>
          </cell>
          <cell r="J115">
            <v>1.3141065945900159E-2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19.599882818895651</v>
          </cell>
          <cell r="J116">
            <v>1.2065736091472639E-2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45.054034166079354</v>
          </cell>
          <cell r="J117">
            <v>3.3202541233359533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1.2056842122580038</v>
          </cell>
          <cell r="J118">
            <v>1.1839111301756999E-2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0.48427827695515568</v>
          </cell>
          <cell r="J119">
            <v>9.3259903921466408E-3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0.95633165045196555</v>
          </cell>
          <cell r="J120">
            <v>9.5732305333865904E-3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878.21080882557499</v>
          </cell>
          <cell r="J121">
            <v>474.27414291783884</v>
          </cell>
          <cell r="K121">
            <v>7.94692362328118E-3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8.3783042357336801E-2</v>
          </cell>
          <cell r="J122">
            <v>7.0212836753235197E-2</v>
          </cell>
          <cell r="K122">
            <v>4.6858199642812398E-3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0.26620576917703909</v>
          </cell>
          <cell r="J123">
            <v>0.13215414322899971</v>
          </cell>
          <cell r="K123">
            <v>1.8342979561107559E-2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1.6953783759712655</v>
          </cell>
          <cell r="J124">
            <v>1.0611699365431537</v>
          </cell>
          <cell r="K124">
            <v>0.19247188663448231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601.36262973672433</v>
          </cell>
          <cell r="J125">
            <v>261.9618815952598</v>
          </cell>
          <cell r="K125">
            <v>42.450902096946557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3.6277342411552898E-4</v>
          </cell>
          <cell r="J126">
            <v>1.4778438867948699E-3</v>
          </cell>
          <cell r="K126">
            <v>4.21659929290873E-4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1.450833542417739</v>
          </cell>
          <cell r="J127">
            <v>0.52502981854144626</v>
          </cell>
          <cell r="K127">
            <v>8.1678556719580603E-2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6.7491768791408391E-4</v>
          </cell>
          <cell r="J128">
            <v>2.0428058947048701E-3</v>
          </cell>
          <cell r="K128">
            <v>1.0800631340600699E-3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J129">
            <v>9.2015552638589199E-4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2.9377525951569802E-4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6.3421400201837301E-4</v>
          </cell>
          <cell r="J134">
            <v>4.6508650575475798E-4</v>
          </cell>
          <cell r="K134">
            <v>1.44110832995325E-3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K135">
            <v>5.3279546199385905E-4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4127.8127363190897</v>
          </cell>
          <cell r="J136">
            <v>1894.2403975571599</v>
          </cell>
          <cell r="K136">
            <v>413.16967175454499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-725.18701043217004</v>
          </cell>
          <cell r="K137">
            <v>-2395.4497254983198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7033.2616265934503</v>
          </cell>
          <cell r="J138">
            <v>6219.88874151444</v>
          </cell>
          <cell r="K138">
            <v>4135.5620755560903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0.43600162157149203</v>
          </cell>
          <cell r="J139">
            <v>4.52936315582445E-2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-808.93094993365605</v>
          </cell>
          <cell r="K140">
            <v>-2285.6112138098101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460.19423361133801</v>
          </cell>
          <cell r="J142">
            <v>254.837597187049</v>
          </cell>
          <cell r="K142">
            <v>5.5034283057583001E-4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-211.77164243347099</v>
          </cell>
          <cell r="K143">
            <v>-387.48246504110699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-0.48777457801513502</v>
          </cell>
          <cell r="K144">
            <v>-37.992817746853703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2386.3895544563202</v>
          </cell>
          <cell r="J145">
            <v>1080.14839328783</v>
          </cell>
          <cell r="K145">
            <v>96.868177031958496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2085.5359131476498</v>
          </cell>
          <cell r="J146">
            <v>2077.4300684595901</v>
          </cell>
          <cell r="K146">
            <v>2063.7504084627299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2.0384788701407301</v>
          </cell>
          <cell r="J147">
            <v>1.83316369163059</v>
          </cell>
          <cell r="K147">
            <v>1.9339498254235098E-2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0.33047444560348299</v>
          </cell>
          <cell r="J148">
            <v>0.18512585489337399</v>
          </cell>
          <cell r="K148">
            <v>1.1149902061959399E-2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801.67149733091003</v>
          </cell>
          <cell r="J149">
            <v>553.36994414510104</v>
          </cell>
          <cell r="K149">
            <v>314.99224641692302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-2377.3364315620001</v>
          </cell>
          <cell r="J150">
            <v>-424.75665683106803</v>
          </cell>
          <cell r="K150">
            <v>-4135.5617677025703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1605.0830776456801</v>
          </cell>
          <cell r="J151">
            <v>1085.0471121682399</v>
          </cell>
          <cell r="K151">
            <v>720.33163203666595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0.50886110772034099</v>
          </cell>
          <cell r="J152">
            <v>3.8349520494097802E-2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835.72424103412095</v>
          </cell>
          <cell r="J153">
            <v>407.29472995544398</v>
          </cell>
          <cell r="K153">
            <v>5.5115034294818096E-4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-141.71036745348999</v>
          </cell>
          <cell r="K155">
            <v>-375.66555410866903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1169.6193156998299</v>
          </cell>
          <cell r="J156">
            <v>448.71513442875101</v>
          </cell>
          <cell r="K156">
            <v>7.1789910374605301E-4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1283.5247785076999</v>
          </cell>
          <cell r="J157">
            <v>275.30911921015399</v>
          </cell>
          <cell r="K157">
            <v>84.924249783058301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-0.69123485000777696</v>
          </cell>
          <cell r="K158">
            <v>-508.34063444786699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-0.14536777511038501</v>
          </cell>
          <cell r="K159">
            <v>-1011.41101710509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1001.7551405217999</v>
          </cell>
          <cell r="J160">
            <v>1073.7796511162201</v>
          </cell>
          <cell r="K160">
            <v>1086.8543906156201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-2.83287442016865E-2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188.241066566759</v>
          </cell>
          <cell r="J162">
            <v>156.53440242134701</v>
          </cell>
          <cell r="K162">
            <v>4.6544873055088802E-5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552.83663012618001</v>
          </cell>
          <cell r="J163">
            <v>189.895302319823</v>
          </cell>
          <cell r="K163">
            <v>81.341865652005893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-6.44231003071384E-3</v>
          </cell>
          <cell r="K164">
            <v>-2.6106487159160099E-2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2240.4532616829301</v>
          </cell>
          <cell r="J165">
            <v>2460.2763031466402</v>
          </cell>
          <cell r="K165">
            <v>2552.91348409579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19270.267721407701</v>
          </cell>
          <cell r="J166">
            <v>13970.921937572601</v>
          </cell>
          <cell r="K166">
            <v>-6.13751893348897E-5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-0.137896162586265</v>
          </cell>
          <cell r="J167">
            <v>-0.20653457901334099</v>
          </cell>
          <cell r="K167">
            <v>-0.413650708938613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2229.3969680775267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2229.3969680775267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-68.264085278136861</v>
          </cell>
          <cell r="K170">
            <v>9.7691917895118436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814.48447259752095</v>
          </cell>
          <cell r="K171">
            <v>3470.2381144341139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814.48447259752095</v>
          </cell>
          <cell r="K172">
            <v>3470.2381144341139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4101.2667801362632</v>
          </cell>
          <cell r="J173">
            <v>3596.0262622347354</v>
          </cell>
          <cell r="K173">
            <v>3231.9473735623933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2774.7023933455139</v>
          </cell>
          <cell r="J174">
            <v>1533.7622465969878</v>
          </cell>
          <cell r="K174">
            <v>720.33234993577048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3855.7194635476662</v>
          </cell>
          <cell r="J175">
            <v>1509.8765948024229</v>
          </cell>
          <cell r="K175">
            <v>181.80362257792342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2242.4917405530705</v>
          </cell>
          <cell r="J176">
            <v>2462.1094668382716</v>
          </cell>
          <cell r="K176">
            <v>2552.9328235940502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1637.3957383650304</v>
          </cell>
          <cell r="J177">
            <v>960.66467410054531</v>
          </cell>
          <cell r="K177">
            <v>314.99279756726531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2242.4917405530705</v>
          </cell>
          <cell r="J178">
            <v>927.29023346395979</v>
          </cell>
          <cell r="K178">
            <v>-2636.4798288998718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-2.8328744201686459E-2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4101.2538495857289</v>
          </cell>
          <cell r="J180">
            <v>3241.8998310265797</v>
          </cell>
          <cell r="K180">
            <v>1419.3966074989266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20955.321706086332</v>
          </cell>
          <cell r="J181">
            <v>14231.629309063492</v>
          </cell>
          <cell r="K181">
            <v>5784.8974170922575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5.4205872900442202E-5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2229.3969680775299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-7.1122874215594897E-7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2085.5359131476475</v>
          </cell>
          <cell r="J186">
            <v>2077.4300684595873</v>
          </cell>
          <cell r="K186">
            <v>2063.7504084627358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2085.5359131476475</v>
          </cell>
          <cell r="J187">
            <v>2077.4300684595873</v>
          </cell>
          <cell r="K187">
            <v>2063.7504084627358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783.176533692931</v>
          </cell>
          <cell r="K188">
            <v>2536.2761546310699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908.91117970073799</v>
          </cell>
          <cell r="K189">
            <v>2568.10248742676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2535.93395992463</v>
          </cell>
          <cell r="J191">
            <v>1810.4081585701499</v>
          </cell>
          <cell r="K191">
            <v>0.78846443881879702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1944.97517358706</v>
          </cell>
          <cell r="J193">
            <v>1418.0632759293901</v>
          </cell>
          <cell r="K193">
            <v>0.66360156831084904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1.4453215516718799E-3</v>
          </cell>
          <cell r="K194">
            <v>0.343268109885289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7.8546368567614308E-3</v>
          </cell>
          <cell r="J195">
            <v>2.70840790629183E-2</v>
          </cell>
          <cell r="K195">
            <v>5.2018302124690898E-4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1.19195005913534</v>
          </cell>
          <cell r="J196">
            <v>1.4018893533731001</v>
          </cell>
          <cell r="K196">
            <v>1.12075750259729E-2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1.2100057063295199E-3</v>
          </cell>
          <cell r="K197">
            <v>5.6139928494029698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0.80488129737031899</v>
          </cell>
          <cell r="J198">
            <v>0.37389669754153898</v>
          </cell>
          <cell r="K198">
            <v>7.7050611199893397E-3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4482.91381950505</v>
          </cell>
          <cell r="J199">
            <v>4922.3646733504402</v>
          </cell>
          <cell r="K199">
            <v>5111.8074018434099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104.498304907093</v>
          </cell>
          <cell r="J200">
            <v>15.0471522907257</v>
          </cell>
          <cell r="K200">
            <v>82.085491770840903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578.83680586649496</v>
          </cell>
          <cell r="J201">
            <v>306.10076826529701</v>
          </cell>
          <cell r="K201">
            <v>75.319480975698994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277.17800501753197</v>
          </cell>
          <cell r="K202">
            <v>534.49674466939405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409.39565529742703</v>
          </cell>
          <cell r="J203">
            <v>253.880383221297</v>
          </cell>
          <cell r="K203">
            <v>19.321901826455299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0.58488476907934495</v>
          </cell>
          <cell r="K204">
            <v>56.994564889079001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0.34746578944286599</v>
          </cell>
          <cell r="J205">
            <v>0.233663313481379</v>
          </cell>
          <cell r="K205">
            <v>6.8693844796039599E-2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0.43600162157149203</v>
          </cell>
          <cell r="J206">
            <v>4.52936315582445E-2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46.414187026739199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998.41006371179003</v>
          </cell>
          <cell r="J208">
            <v>795.43858160944706</v>
          </cell>
          <cell r="K208">
            <v>552.04815075858698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0.13583142759651301</v>
          </cell>
          <cell r="J209">
            <v>9.6937938384644096E-2</v>
          </cell>
          <cell r="K209">
            <v>4.7064353145005698E-2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3.36001144863426</v>
          </cell>
          <cell r="J210">
            <v>1.1831867391940301</v>
          </cell>
          <cell r="K210">
            <v>0.32046406362538699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0.50036253419701104</v>
          </cell>
          <cell r="J211">
            <v>3.7709038809491197E-2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2142.3346896309899</v>
          </cell>
          <cell r="J212">
            <v>1649.82656583481</v>
          </cell>
          <cell r="K212">
            <v>1320.7025571516201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1.5898483247090199E-6</v>
          </cell>
          <cell r="J4">
            <v>1.7076920300585201E-6</v>
          </cell>
          <cell r="K4">
            <v>2.13727441807925E-4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3.7322639153583399E-3</v>
          </cell>
          <cell r="K5">
            <v>6.3619717455628796E-4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1.4507093334890899E-5</v>
          </cell>
          <cell r="J6">
            <v>7.72021156084305E-5</v>
          </cell>
          <cell r="K6">
            <v>0.13595793387826099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3.2859718601789501E-6</v>
          </cell>
          <cell r="J7">
            <v>1.8761377866515301</v>
          </cell>
          <cell r="K7">
            <v>0.50578221289790304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1.08691017501929E-6</v>
          </cell>
          <cell r="J8">
            <v>3.6632602936602698E-6</v>
          </cell>
          <cell r="K8">
            <v>4.39163869818667E-6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4.26716323712929E-2</v>
          </cell>
          <cell r="K9">
            <v>4.3867917532287803E-6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0.14469374598514101</v>
          </cell>
          <cell r="J10">
            <v>6.0867556705707503E-2</v>
          </cell>
          <cell r="K10">
            <v>0.170260317326382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1.21819258998574E-6</v>
          </cell>
          <cell r="J11">
            <v>2.2724022685666699E-6</v>
          </cell>
          <cell r="K11">
            <v>4.9393456509418501E-4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1.8678791184871601E-2</v>
          </cell>
          <cell r="J12">
            <v>8.2334962834246003E-2</v>
          </cell>
          <cell r="K12">
            <v>9.1040225530526195E-2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3.3386778553570903E-2</v>
          </cell>
          <cell r="J13">
            <v>4.46336203720323E-2</v>
          </cell>
          <cell r="K13">
            <v>6.2872322106291503E-7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6.4208414863037396E-6</v>
          </cell>
          <cell r="J14">
            <v>8.9557367553142102E-7</v>
          </cell>
          <cell r="K14">
            <v>1.8739249257216899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2.87902625984797E-7</v>
          </cell>
          <cell r="J15">
            <v>3.4818424339534402E-7</v>
          </cell>
          <cell r="K15">
            <v>7.2129702797217401E-7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1.1192457409757E-5</v>
          </cell>
          <cell r="J16">
            <v>2.3996532901283101</v>
          </cell>
          <cell r="K16">
            <v>0.13934736459493499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7.6051833118275001E-6</v>
          </cell>
          <cell r="J17">
            <v>0.135360205694565</v>
          </cell>
          <cell r="K17">
            <v>9.2041333392580403E-7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9.9064842467409503E-6</v>
          </cell>
          <cell r="J18">
            <v>6.6465866614209803</v>
          </cell>
          <cell r="K18">
            <v>4.42870177504669E-6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6.5183483080573202E-7</v>
          </cell>
          <cell r="J19">
            <v>6.40883126133821E-7</v>
          </cell>
          <cell r="K19">
            <v>1.6523443534709699E-6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8.9178404381367305E-6</v>
          </cell>
          <cell r="J20">
            <v>0.11388169084513999</v>
          </cell>
          <cell r="K20">
            <v>7.5626794514828399E-2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1.8341795553737801E-7</v>
          </cell>
          <cell r="J21">
            <v>2.4166088516414899E-7</v>
          </cell>
          <cell r="K21">
            <v>4.44352430015461E-7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1.6708672473919201E-5</v>
          </cell>
          <cell r="J22">
            <v>4.5647277010768502E-5</v>
          </cell>
          <cell r="K22">
            <v>1.48382703875205E-5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9.2176277722041695E-3</v>
          </cell>
          <cell r="K23">
            <v>9.0340558258250794E-3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5.1949744386044296E-7</v>
          </cell>
          <cell r="K24">
            <v>6.4301179256219805E-5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0.34515757439510197</v>
          </cell>
          <cell r="J25">
            <v>2.0372719062089399</v>
          </cell>
          <cell r="K25">
            <v>0.60281889497673102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9.71969712287277E-5</v>
          </cell>
          <cell r="J26">
            <v>3.6969469415672197E-5</v>
          </cell>
          <cell r="K26">
            <v>5.6384604322881902E-6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9.1224582453391998E-6</v>
          </cell>
          <cell r="J27">
            <v>8.4133303367972603E-2</v>
          </cell>
          <cell r="K27">
            <v>4.3995780066870598E-2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6.1299769893054999E-5</v>
          </cell>
          <cell r="J28">
            <v>2.3755844986194301</v>
          </cell>
          <cell r="K28">
            <v>0.13793792409136299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5.8414800606094605E-7</v>
          </cell>
          <cell r="J29">
            <v>9.9054424000948005E-7</v>
          </cell>
          <cell r="K29">
            <v>3.0335601568668699E-5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2.7594468574369998E-6</v>
          </cell>
          <cell r="J30">
            <v>3.7798326999611299E-6</v>
          </cell>
          <cell r="K30">
            <v>8.9685976604510598E-6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4.9859407964741404E-6</v>
          </cell>
          <cell r="J31">
            <v>3.2700897935190897E-2</v>
          </cell>
          <cell r="K31">
            <v>0.12733039028939899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2.0710295252377099E-3</v>
          </cell>
          <cell r="K32">
            <v>3.0063652876661899E-3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1.5135964952599579E-6</v>
          </cell>
          <cell r="J33">
            <v>1.89371966782733E-6</v>
          </cell>
          <cell r="K33">
            <v>2.1590263366934071E-4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3.7322639153583399E-3</v>
          </cell>
          <cell r="K34">
            <v>4.3683732109970081E-3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1.7711921219931989E-5</v>
          </cell>
          <cell r="J35">
            <v>9.4501460816427791E-5</v>
          </cell>
          <cell r="K35">
            <v>0.13604675987724502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3.1879581914079153E-6</v>
          </cell>
          <cell r="J36">
            <v>1.8761406570768653</v>
          </cell>
          <cell r="K36">
            <v>2.3819211706600485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1.0275175174211242</v>
          </cell>
          <cell r="J37">
            <v>1.0275211806814177</v>
          </cell>
          <cell r="K37">
            <v>0.72469025909389595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4.26716323712929E-2</v>
          </cell>
          <cell r="K38">
            <v>4.26760191630461E-2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0.28884708991680164</v>
          </cell>
          <cell r="J39">
            <v>0.31763759768165006</v>
          </cell>
          <cell r="K39">
            <v>0.37191133599878601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3.5132513874257999E-6</v>
          </cell>
          <cell r="J40">
            <v>5.7856536559924698E-6</v>
          </cell>
          <cell r="K40">
            <v>4.9972021875017796E-4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0.18689695804307616</v>
          </cell>
          <cell r="J41">
            <v>0.21254737600447265</v>
          </cell>
          <cell r="K41">
            <v>0.20394984899623375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3.3458369352724865E-2</v>
          </cell>
          <cell r="J42">
            <v>7.8091730760844386E-2</v>
          </cell>
          <cell r="K42">
            <v>7.8066711798143187E-2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7.5744376409506695E-2</v>
          </cell>
          <cell r="J43">
            <v>7.5749800181231799E-2</v>
          </cell>
          <cell r="K43">
            <v>1.14163063398169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0.95961896742319985</v>
          </cell>
          <cell r="J44">
            <v>0.95961931560744329</v>
          </cell>
          <cell r="K44">
            <v>0.48125569325841522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2.32030482148345E-5</v>
          </cell>
          <cell r="J45">
            <v>2.39967649317652</v>
          </cell>
          <cell r="K45">
            <v>2.53901269673415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9.0813367555419006E-6</v>
          </cell>
          <cell r="J46">
            <v>0.13536931994586862</v>
          </cell>
          <cell r="K46">
            <v>0.13535827631712363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2.90981224499651E-5</v>
          </cell>
          <cell r="J47">
            <v>6.6466157595434296</v>
          </cell>
          <cell r="K47">
            <v>6.6466201882452101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2.2350561289921833</v>
          </cell>
          <cell r="J48">
            <v>2.2350567698753094</v>
          </cell>
          <cell r="K48">
            <v>1.1208967230833826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0.16240725904385789</v>
          </cell>
          <cell r="J49">
            <v>0.18951536709951985</v>
          </cell>
          <cell r="K49">
            <v>0.18951436975749236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3.0972409467058872</v>
          </cell>
          <cell r="J50">
            <v>3.0972411883667723</v>
          </cell>
          <cell r="K50">
            <v>1.5532838733595022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6.1981322626232819E-5</v>
          </cell>
          <cell r="J51">
            <v>8.5554214465603467E-5</v>
          </cell>
          <cell r="K51">
            <v>7.3513018954978252E-5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9.2176277722041695E-3</v>
          </cell>
          <cell r="K52">
            <v>1.2191060141366273E-2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5.1949744386044296E-7</v>
          </cell>
          <cell r="K53">
            <v>6.4644485296170138E-5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0.34564931909525987</v>
          </cell>
          <cell r="J54">
            <v>2.3826504863459967</v>
          </cell>
          <cell r="K54">
            <v>2.9151476666607095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1.4934298889738261E-4</v>
          </cell>
          <cell r="J55">
            <v>1.3457085159476081E-4</v>
          </cell>
          <cell r="K55">
            <v>1.1968322367316744E-4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0.11759549010576759</v>
          </cell>
          <cell r="J56">
            <v>0.1343880413899568</v>
          </cell>
          <cell r="K56">
            <v>0.1281349076898019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1.1670774035541201E-4</v>
          </cell>
          <cell r="J57">
            <v>2.37570120635979</v>
          </cell>
          <cell r="K57">
            <v>2.5136391304511498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7.1295982958900772E-5</v>
          </cell>
          <cell r="J58">
            <v>5.4379933991502427E-5</v>
          </cell>
          <cell r="K58">
            <v>3.2073704855170733E-5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1.9844898430066382</v>
          </cell>
          <cell r="J59">
            <v>1.9844936228393382</v>
          </cell>
          <cell r="K59">
            <v>1.0954786586168186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5.8255652329981206E-6</v>
          </cell>
          <cell r="J60">
            <v>3.2706433574918689E-2</v>
          </cell>
          <cell r="K60">
            <v>0.16003267622763742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2.0710295252377099E-3</v>
          </cell>
          <cell r="K61">
            <v>4.4972328863228505E-3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954.99732488046357</v>
          </cell>
          <cell r="K62">
            <v>1120.5417053656888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113.13489916928243</v>
          </cell>
          <cell r="K63">
            <v>84.924249783058201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6.2810360886050596</v>
          </cell>
          <cell r="K64">
            <v>96.868223896507288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0.15291874856458632</v>
          </cell>
          <cell r="J65">
            <v>0.16816114958408013</v>
          </cell>
          <cell r="K65">
            <v>0.19689458964175791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0.49005157082779854</v>
          </cell>
          <cell r="J66">
            <v>0.49007786802986564</v>
          </cell>
          <cell r="K66">
            <v>7.3861873249123429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1.9415143502554338E-5</v>
          </cell>
          <cell r="J67">
            <v>6.1367212184459453E-5</v>
          </cell>
          <cell r="K67">
            <v>6.1929327159051487E-5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12.31319813497859</v>
          </cell>
          <cell r="J68">
            <v>23.268914157091285</v>
          </cell>
          <cell r="K68">
            <v>27.669161297921825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2.8328744201686459E-2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6.4423100307138409E-3</v>
          </cell>
          <cell r="K70">
            <v>2.6106487159160155E-2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1.2269134170998757E-3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0.77058677147311561</v>
          </cell>
          <cell r="J72">
            <v>1.4332096262824339</v>
          </cell>
          <cell r="K72">
            <v>1.2383277255553271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3.8941018206956041E-4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13.146643269452571</v>
          </cell>
          <cell r="J74">
            <v>14.601622000269254</v>
          </cell>
          <cell r="K74">
            <v>17.09652354385258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0.14459979863566941</v>
          </cell>
          <cell r="K75">
            <v>0.16928181911488835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13.146643269452571</v>
          </cell>
          <cell r="J76">
            <v>14.457054259957067</v>
          </cell>
          <cell r="K76">
            <v>16.927309149487122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16.932576682277723</v>
          </cell>
          <cell r="K77">
            <v>19.867760733434185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3.9222726047294567E-3</v>
          </cell>
          <cell r="J78">
            <v>2.8845916474546864E-3</v>
          </cell>
          <cell r="K78">
            <v>3.1557075965823705E-6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5.8594759858773592E-3</v>
          </cell>
          <cell r="J80">
            <v>3.2823733137122982E-3</v>
          </cell>
          <cell r="K80">
            <v>1.97693298970911E-4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14.214033640618968</v>
          </cell>
          <cell r="J81">
            <v>9.8115238323599403</v>
          </cell>
          <cell r="K81">
            <v>5.5849689081014624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28.458919816412791</v>
          </cell>
          <cell r="J82">
            <v>19.238423974614133</v>
          </cell>
          <cell r="K82">
            <v>12.771837447458635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9.8020679100386623</v>
          </cell>
          <cell r="J83">
            <v>3.3669379843940161</v>
          </cell>
          <cell r="K83">
            <v>1.4422316604965604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460.19423361133801</v>
          </cell>
          <cell r="J85">
            <v>254.837597187049</v>
          </cell>
          <cell r="K85">
            <v>5.5034283057583001E-4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0.33047444560348299</v>
          </cell>
          <cell r="J86">
            <v>0.18512585489337399</v>
          </cell>
          <cell r="K86">
            <v>1.1149902061959399E-2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801.67149733091003</v>
          </cell>
          <cell r="J87">
            <v>553.36994414510104</v>
          </cell>
          <cell r="K87">
            <v>314.99224641692302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1605.0830776456801</v>
          </cell>
          <cell r="J88">
            <v>1085.0471121682399</v>
          </cell>
          <cell r="K88">
            <v>720.33163203666595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835.72424103412095</v>
          </cell>
          <cell r="J89">
            <v>407.29472995544398</v>
          </cell>
          <cell r="K89">
            <v>5.5115034294818096E-4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1169.6193156998299</v>
          </cell>
          <cell r="J90">
            <v>448.71513442875101</v>
          </cell>
          <cell r="K90">
            <v>7.1789910374605301E-4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1283.5247785076999</v>
          </cell>
          <cell r="J91">
            <v>275.30911921015399</v>
          </cell>
          <cell r="K91">
            <v>84.924249783058301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-2.83287442016865E-2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552.83663012618001</v>
          </cell>
          <cell r="J93">
            <v>189.895302319823</v>
          </cell>
          <cell r="K93">
            <v>81.341865652005893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-6.44231003071384E-3</v>
          </cell>
          <cell r="K94">
            <v>-2.6106487159160099E-2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4.4284130571957406E-5</v>
          </cell>
          <cell r="K95">
            <v>0.10562519431362172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6.1846401919200868</v>
          </cell>
          <cell r="J96">
            <v>3.4447813191492065</v>
          </cell>
          <cell r="K96">
            <v>0.26216963129518739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3.5031464986826001E-2</v>
          </cell>
          <cell r="K97">
            <v>3.3069349121196197E-2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3.4988628905703735E-2</v>
          </cell>
          <cell r="K98">
            <v>3.2902952363696537E-2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4.2836081122254674E-5</v>
          </cell>
          <cell r="K99">
            <v>1.6639675749969629E-4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1.5866584762515259E-5</v>
          </cell>
          <cell r="K100">
            <v>3.0757596040489306E-3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2.9727495064316964</v>
          </cell>
          <cell r="J101">
            <v>2.972897883942851</v>
          </cell>
          <cell r="K101">
            <v>1.324272352567667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2.1787223420514498E-3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1.6143597593419406E-3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5.643625827095076E-4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1.2897879015825999E-3</v>
          </cell>
          <cell r="J105">
            <v>6.2829348424500448E-4</v>
          </cell>
          <cell r="K105">
            <v>3.1603916253209902E-6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7.5933320607973011E-5</v>
          </cell>
          <cell r="J106">
            <v>17.869053363255713</v>
          </cell>
          <cell r="K106">
            <v>18.906621005115248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7.5933320607973011E-5</v>
          </cell>
          <cell r="J107">
            <v>17.869053363255713</v>
          </cell>
          <cell r="K107">
            <v>18.906621005115252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5.7190309055723967</v>
          </cell>
          <cell r="J108">
            <v>6.5039173552853127</v>
          </cell>
          <cell r="K108">
            <v>6.2408464417515148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4.48437215978356E-5</v>
          </cell>
          <cell r="K109">
            <v>0.10598323782400258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2.1856825311223154E-3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1.6892963837045393E-3</v>
          </cell>
          <cell r="J111">
            <v>1.2505761494062543E-3</v>
          </cell>
          <cell r="K111">
            <v>1.9031456960697988E-4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1.3166656893030941</v>
          </cell>
          <cell r="J112">
            <v>1.4695943097312512</v>
          </cell>
          <cell r="K112">
            <v>1.64460912297827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2.0384909218283713</v>
          </cell>
          <cell r="J113">
            <v>2.6709993118078152</v>
          </cell>
          <cell r="K113">
            <v>2.11461363649516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2.3623689454363794</v>
          </cell>
          <cell r="J114">
            <v>2.3623699584994791</v>
          </cell>
          <cell r="K114">
            <v>2.3738616783504547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6.2441551371958983</v>
          </cell>
          <cell r="J115">
            <v>3.4577692969748854</v>
          </cell>
          <cell r="K115">
            <v>7.4673382710424559E-6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11.339541940761473</v>
          </cell>
          <cell r="J116">
            <v>5.5263871093004582</v>
          </cell>
          <cell r="K116">
            <v>7.478295019649686E-6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15.870004283579796</v>
          </cell>
          <cell r="J117">
            <v>6.0884007385176568</v>
          </cell>
          <cell r="K117">
            <v>9.7408290874634051E-6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12.540434575812002</v>
          </cell>
          <cell r="J118">
            <v>14.634123021186987</v>
          </cell>
          <cell r="K118">
            <v>14.634136642715152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7.297441613627679E-3</v>
          </cell>
          <cell r="J119">
            <v>4.1684553844037143E-3</v>
          </cell>
          <cell r="K119">
            <v>2.6044095367099452E-4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4.1050147852779473</v>
          </cell>
          <cell r="J120">
            <v>5.5562938856514803</v>
          </cell>
          <cell r="K120">
            <v>5.1186792009504352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1.5329932136759141</v>
          </cell>
          <cell r="K121">
            <v>1.1507350919113595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17.391934668126066</v>
          </cell>
          <cell r="J122">
            <v>3.7304758700562868</v>
          </cell>
          <cell r="K122">
            <v>1.1507350919113595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2.6601921377869875</v>
          </cell>
          <cell r="J123">
            <v>2.6601994510599067</v>
          </cell>
          <cell r="K123">
            <v>5.4553533771495308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15.481218295160835</v>
          </cell>
          <cell r="J124">
            <v>11.245149655939198</v>
          </cell>
          <cell r="K124">
            <v>7.2063658260693435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3.5819493741701418E-5</v>
          </cell>
          <cell r="J125">
            <v>5.7728415705678275E-5</v>
          </cell>
          <cell r="K125">
            <v>1.1731751282576264E-4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1.5728495804015341E-4</v>
          </cell>
          <cell r="J126">
            <v>4.436652204448195E-4</v>
          </cell>
          <cell r="K126">
            <v>0.42946423847673482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2.0310878754042234E-5</v>
          </cell>
          <cell r="J127">
            <v>2.7248023425506005E-5</v>
          </cell>
          <cell r="K127">
            <v>3.3155229897593357E-5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3.3644843058021944E-5</v>
          </cell>
          <cell r="J128">
            <v>5.6882066570878904E-5</v>
          </cell>
          <cell r="K128">
            <v>1.0406503236619338E-4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6.7509742486387972E-5</v>
          </cell>
          <cell r="J129">
            <v>3.0180671474275657E-4</v>
          </cell>
          <cell r="K129">
            <v>0.42920970070164549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1.2269134170998757E-3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3.5734700878656728E-5</v>
          </cell>
          <cell r="J131">
            <v>5.8618826445902273E-5</v>
          </cell>
          <cell r="K131">
            <v>1.1627016509190842E-4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1.5571317008430068E-4</v>
          </cell>
          <cell r="J132">
            <v>4.392317386554776E-4</v>
          </cell>
          <cell r="K132">
            <v>0.42516956618272811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5.5241328022982449E-5</v>
          </cell>
          <cell r="J133">
            <v>2.7133318323018966E-4</v>
          </cell>
          <cell r="K133">
            <v>0.4247788442659779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3.5673994329397867E-5</v>
          </cell>
          <cell r="J134">
            <v>5.917779515909473E-5</v>
          </cell>
          <cell r="K134">
            <v>1.0386724773803836E-4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2.906314685326369E-5</v>
          </cell>
          <cell r="J135">
            <v>5.0101933820291764E-5</v>
          </cell>
          <cell r="K135">
            <v>1.7058450392049845E-4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3.3208341670283104E-6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I137">
            <v>0.77058677147311561</v>
          </cell>
          <cell r="J137">
            <v>1.4332096262824339</v>
          </cell>
          <cell r="K137">
            <v>1.2383277255553271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0.23415467036894005</v>
          </cell>
          <cell r="K138">
            <v>0.29612657127326908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3.8941018206956041E-4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I140">
            <v>9.2652784783033013</v>
          </cell>
          <cell r="J140">
            <v>17.549713490548498</v>
          </cell>
          <cell r="K140">
            <v>22.070686669766975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I141">
            <v>7.5173987401893301E-5</v>
          </cell>
          <cell r="J141">
            <v>17.690362829623147</v>
          </cell>
          <cell r="K141">
            <v>18.717554795064096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3.5819493741701418E-5</v>
          </cell>
          <cell r="J142">
            <v>5.7728415705678275E-5</v>
          </cell>
          <cell r="K142">
            <v>1.1731751282576264E-4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1.5728495804015341E-4</v>
          </cell>
          <cell r="J143">
            <v>4.436652204448195E-4</v>
          </cell>
          <cell r="K143">
            <v>0.42946423847673482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2.0310878754042234E-5</v>
          </cell>
          <cell r="J144">
            <v>2.7248023425506005E-5</v>
          </cell>
          <cell r="K144">
            <v>3.3155229897593357E-5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3.3644843058021944E-5</v>
          </cell>
          <cell r="J145">
            <v>5.6882066570878904E-5</v>
          </cell>
          <cell r="K145">
            <v>1.0406503236619338E-4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I146">
            <v>6.7509742486387972E-5</v>
          </cell>
          <cell r="J146">
            <v>3.0180671474275657E-4</v>
          </cell>
          <cell r="K146">
            <v>0.42920970070164549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21.990359327633428</v>
          </cell>
          <cell r="K147">
            <v>25.802286666797684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5.4643710556756615E-6</v>
          </cell>
          <cell r="K148">
            <v>3.0584942491360635E-3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I149">
            <v>7.6455554770893882E-5</v>
          </cell>
          <cell r="J149">
            <v>9.0330318806809359E-5</v>
          </cell>
          <cell r="K149">
            <v>1.1127128684578856E-5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2.1899903052513081</v>
          </cell>
          <cell r="K150">
            <v>1.6439072741590843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I151">
            <v>2.9060251706949313E-3</v>
          </cell>
          <cell r="J151">
            <v>9.1896925757614205E-3</v>
          </cell>
          <cell r="K151">
            <v>3.6702511659645709E-3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I152">
            <v>6.4581777506996698E-3</v>
          </cell>
          <cell r="J152">
            <v>2.9156385123301813E-2</v>
          </cell>
          <cell r="K152">
            <v>1.4077186813483966E-2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0.35250943363509746</v>
          </cell>
          <cell r="J153">
            <v>0.17704480856500646</v>
          </cell>
          <cell r="K153">
            <v>0.11795262034406993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0.14774041700628135</v>
          </cell>
          <cell r="K154">
            <v>2.2785017616904342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3.5734700878656728E-5</v>
          </cell>
          <cell r="J155">
            <v>5.8618826445902273E-5</v>
          </cell>
          <cell r="K155">
            <v>1.1627016509190842E-4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1.5571317008430068E-4</v>
          </cell>
          <cell r="J156">
            <v>4.392317386554776E-4</v>
          </cell>
          <cell r="K156">
            <v>0.42516956618272811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5.5241328022982449E-5</v>
          </cell>
          <cell r="J157">
            <v>2.7133318323018966E-4</v>
          </cell>
          <cell r="K157">
            <v>0.4247788442659779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3.5673994329397867E-5</v>
          </cell>
          <cell r="J158">
            <v>5.917779515909473E-5</v>
          </cell>
          <cell r="K158">
            <v>1.0386724773803836E-4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I159">
            <v>2.906314685326369E-5</v>
          </cell>
          <cell r="J159">
            <v>5.0101933820291764E-5</v>
          </cell>
          <cell r="K159">
            <v>1.7058450392049845E-4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I160">
            <v>30.400244733311446</v>
          </cell>
          <cell r="J160">
            <v>21.839540885371584</v>
          </cell>
          <cell r="K160">
            <v>14.838812487140329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I161">
            <v>4.1050147852779473</v>
          </cell>
          <cell r="J161">
            <v>5.5562938856514803</v>
          </cell>
          <cell r="K161">
            <v>5.1186792009504352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I162">
            <v>1.2843112857885257</v>
          </cell>
          <cell r="J162">
            <v>2.3886827104707233</v>
          </cell>
          <cell r="K162">
            <v>2.0638795425922121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I163">
            <v>6.5526109321120815E-4</v>
          </cell>
          <cell r="J163">
            <v>2.0711434112255056E-3</v>
          </cell>
          <cell r="K163">
            <v>2.0901147916179861E-3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I164">
            <v>7.6928600770181776E-3</v>
          </cell>
          <cell r="J164">
            <v>7.0185148126690735E-3</v>
          </cell>
          <cell r="K164">
            <v>6.1078941326115129E-3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I165">
            <v>2.8119117954370716</v>
          </cell>
          <cell r="J165">
            <v>3.1580901285984226</v>
          </cell>
          <cell r="K165">
            <v>3.046099408636513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I166">
            <v>4.4358288212136064E-4</v>
          </cell>
          <cell r="J166">
            <v>4.3138835843413101E-4</v>
          </cell>
          <cell r="K166">
            <v>5.5047458923256499E-4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7.7989621564440873E-3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I168">
            <v>3.0646423135546974</v>
          </cell>
          <cell r="J168">
            <v>3.0637016475971226</v>
          </cell>
          <cell r="K168">
            <v>4.3412246240060286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I169">
            <v>2.6997227854073267E-3</v>
          </cell>
          <cell r="J169">
            <v>2.4630688937248893E-3</v>
          </cell>
          <cell r="K169">
            <v>2.1434968003549802E-3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I170">
            <v>4.5530841110406582E-2</v>
          </cell>
          <cell r="J170">
            <v>4.5533063200016141E-2</v>
          </cell>
          <cell r="K170">
            <v>0.26662859780681919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I171">
            <v>9.652662022314461E-4</v>
          </cell>
          <cell r="J171">
            <v>6.687416583247435E-4</v>
          </cell>
          <cell r="K171">
            <v>0.4295192345992736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I172">
            <v>9.6635017103071242E-4</v>
          </cell>
          <cell r="J172">
            <v>6.7162577198594318E-4</v>
          </cell>
          <cell r="K172">
            <v>0.58721657947911698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I173">
            <v>3.0198943336360071</v>
          </cell>
          <cell r="J173">
            <v>3.0193057064432467</v>
          </cell>
          <cell r="K173">
            <v>3.0600180883918586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0.10121985904496857</v>
          </cell>
          <cell r="K174">
            <v>0.11849727338042187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I175">
            <v>7.6459374282293204</v>
          </cell>
          <cell r="J175">
            <v>8.4080574792040128</v>
          </cell>
          <cell r="K175">
            <v>9.844729482087887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I176">
            <v>1.2897879015825999E-3</v>
          </cell>
          <cell r="J176">
            <v>6.2829348424500448E-4</v>
          </cell>
          <cell r="K176">
            <v>3.1603916253209902E-6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I177">
            <v>4.3847673342000011</v>
          </cell>
          <cell r="J177">
            <v>5.1168262311842687</v>
          </cell>
          <cell r="K177">
            <v>5.1168309939563583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I178">
            <v>4.8537858756385761E-4</v>
          </cell>
          <cell r="J178">
            <v>1.5341803046114843E-3</v>
          </cell>
          <cell r="K178">
            <v>1.5482331789762852E-3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I179">
            <v>2.6601921377869875</v>
          </cell>
          <cell r="J179">
            <v>2.6601994510599067</v>
          </cell>
          <cell r="K179">
            <v>5.4553533771495308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I180">
            <v>1.1866841948843967</v>
          </cell>
          <cell r="J180">
            <v>1.1866809114789876</v>
          </cell>
          <cell r="K180">
            <v>1.1866791373722272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I181">
            <v>6.2663972684813807</v>
          </cell>
          <cell r="J181">
            <v>7.1264049141398047</v>
          </cell>
          <cell r="K181">
            <v>6.8381555793829589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I182">
            <v>3.0776850952409966</v>
          </cell>
          <cell r="J182">
            <v>2.9497517160642732</v>
          </cell>
          <cell r="K182">
            <v>2.8718774847897137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I183">
            <v>16.4686974297585</v>
          </cell>
          <cell r="J183">
            <v>27.050414253968398</v>
          </cell>
          <cell r="K183">
            <v>74.087031911017704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I184">
            <v>1.1866841948843967</v>
          </cell>
          <cell r="J184">
            <v>1.1866809114789876</v>
          </cell>
          <cell r="K184">
            <v>1.1866791373722272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I185">
            <v>2.3620059081671387</v>
          </cell>
          <cell r="J185">
            <v>2.6527957080226776</v>
          </cell>
          <cell r="K185">
            <v>2.5587235032546705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I186">
            <v>11.151104574403018</v>
          </cell>
          <cell r="J186">
            <v>5.4347456333326782</v>
          </cell>
          <cell r="K186">
            <v>0.42235096700464297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I187">
            <v>1.4621749200675467</v>
          </cell>
          <cell r="J187">
            <v>2.3886011340404369</v>
          </cell>
          <cell r="K187">
            <v>0.19058886336853201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I188">
            <v>2.1224061345519659E-4</v>
          </cell>
          <cell r="J188">
            <v>2.064059131263786E-4</v>
          </cell>
          <cell r="K188">
            <v>2.6338497092467228E-4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I189">
            <v>1.4623871606810022</v>
          </cell>
          <cell r="J189">
            <v>2.3888075399535622</v>
          </cell>
          <cell r="K189">
            <v>0.19085224833945671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I190">
            <v>18.57723674060145</v>
          </cell>
          <cell r="J190">
            <v>6.0293506700161954</v>
          </cell>
          <cell r="K190">
            <v>1.3218690944486922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I191">
            <v>15.6059066942434</v>
          </cell>
          <cell r="J191">
            <v>5.9873776162118615</v>
          </cell>
          <cell r="K191">
            <v>0.57741248459387784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I192">
            <v>1.0090806725312034E-4</v>
          </cell>
          <cell r="J192">
            <v>23.056843049362193</v>
          </cell>
          <cell r="K192">
            <v>23.056854884286889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I193">
            <v>1.0090806725312034E-4</v>
          </cell>
          <cell r="J193">
            <v>23.056843049362193</v>
          </cell>
          <cell r="K193">
            <v>23.056854884286889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I194">
            <v>6.2663972684813807</v>
          </cell>
          <cell r="J194">
            <v>7.1264049141398047</v>
          </cell>
          <cell r="K194">
            <v>6.8381555793829589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I195">
            <v>6.2663972684813807</v>
          </cell>
          <cell r="J195">
            <v>7.1264049141398047</v>
          </cell>
          <cell r="K195">
            <v>6.8381555793829589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I196">
            <v>2.908835965689163E-3</v>
          </cell>
          <cell r="J196">
            <v>9.1968886077066995E-3</v>
          </cell>
          <cell r="K196">
            <v>3.6763929043969459E-3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I197">
            <v>6.4609885456964359E-3</v>
          </cell>
          <cell r="J197">
            <v>2.9158479983927191E-2</v>
          </cell>
          <cell r="K197">
            <v>1.4082332853967736E-2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I198">
            <v>5.8245430507662941E-5</v>
          </cell>
          <cell r="J198">
            <v>1.8410163655337806E-4</v>
          </cell>
          <cell r="K198">
            <v>1.8578798147715419E-4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I199">
            <v>1.052891886308856E-3</v>
          </cell>
          <cell r="J199">
            <v>9.6059686855270597E-4</v>
          </cell>
          <cell r="K199">
            <v>8.3596375213844116E-4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1.3393198000825272E-3</v>
          </cell>
          <cell r="K200">
            <v>8.2704657000798945E-3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I201">
            <v>3.9222726047294567E-3</v>
          </cell>
          <cell r="J201">
            <v>2.8845916474546864E-3</v>
          </cell>
          <cell r="K201">
            <v>3.1557075965823705E-6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0.35251005290332582</v>
          </cell>
          <cell r="J202">
            <v>0.17704689291537823</v>
          </cell>
          <cell r="K202">
            <v>0.11795855772416887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3.3701983454825245E-2</v>
          </cell>
          <cell r="K203">
            <v>2.4804065835538923E-2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I204">
            <v>0.49005157082779854</v>
          </cell>
          <cell r="J204">
            <v>0.49007786802986564</v>
          </cell>
          <cell r="K204">
            <v>7.3861873249123429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I205">
            <v>1.0090806725312034E-4</v>
          </cell>
          <cell r="J205">
            <v>23.056843049362193</v>
          </cell>
          <cell r="K205">
            <v>23.056854884286889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I206">
            <v>2.7641173665500199E-3</v>
          </cell>
          <cell r="J206">
            <v>2.03944760807991E-3</v>
          </cell>
          <cell r="K206">
            <v>1.6907788799746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I207">
            <v>16.4686974297585</v>
          </cell>
          <cell r="J207">
            <v>27.050414253968398</v>
          </cell>
          <cell r="K207">
            <v>74.087031911017704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I208">
            <v>16.4686974297585</v>
          </cell>
          <cell r="J208">
            <v>27.050414253968398</v>
          </cell>
          <cell r="K208">
            <v>74.087031911017704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I209">
            <v>12.31319813497859</v>
          </cell>
          <cell r="J209">
            <v>23.268914157091285</v>
          </cell>
          <cell r="K209">
            <v>27.669161297921825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0.38944926369238758</v>
          </cell>
          <cell r="K210">
            <v>0.45695849686898671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0.23415467036894005</v>
          </cell>
          <cell r="K211">
            <v>0.29612657127326908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I212">
            <v>12.312662429638937</v>
          </cell>
          <cell r="J212">
            <v>22.644791600707734</v>
          </cell>
          <cell r="K212">
            <v>26.915471548496317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I213">
            <v>1.8763073358580933E-4</v>
          </cell>
          <cell r="J213">
            <v>1.7118328811387964E-4</v>
          </cell>
          <cell r="K213">
            <v>1.4897302762467116E-4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I214">
            <v>3.4807460606652241E-4</v>
          </cell>
          <cell r="J214">
            <v>3.3850569752726101E-4</v>
          </cell>
          <cell r="K214">
            <v>4.3195135231646254E-4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8.9333365759231946E-6</v>
          </cell>
          <cell r="K215">
            <v>2.3756903314835737E-5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I216">
            <v>3.0776850952409966</v>
          </cell>
          <cell r="J216">
            <v>2.9497517160642732</v>
          </cell>
          <cell r="K216">
            <v>2.8718774847897137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I217">
            <v>12.124393478810857</v>
          </cell>
          <cell r="J217">
            <v>5.7102720627525088</v>
          </cell>
          <cell r="K217">
            <v>3.8032868815321925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6.0011458894943262E-2</v>
          </cell>
          <cell r="K218">
            <v>1.3215303824278111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I219">
            <v>13.146643269452571</v>
          </cell>
          <cell r="J219">
            <v>14.601622000269254</v>
          </cell>
          <cell r="K219">
            <v>17.09652354385258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I220">
            <v>0.49005157082779899</v>
          </cell>
          <cell r="J220">
            <v>0.49007786802986603</v>
          </cell>
          <cell r="K220">
            <v>7.38618732491235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I221">
            <v>1.0090806725312E-4</v>
          </cell>
          <cell r="J221">
            <v>23.0568430493622</v>
          </cell>
          <cell r="K221">
            <v>23.056854884286899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1.7884143368122499E-2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0.35654179570329186</v>
          </cell>
          <cell r="I8">
            <v>0.22555178097491821</v>
          </cell>
          <cell r="J8">
            <v>1.2486469084384E-2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7.2926475386211182E-4</v>
          </cell>
          <cell r="I9">
            <v>4.7084602347065616E-4</v>
          </cell>
          <cell r="J9">
            <v>2.679912471876331E-5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6.3216630443846157E-3</v>
          </cell>
          <cell r="I10">
            <v>3.9991450527467817E-3</v>
          </cell>
          <cell r="J10">
            <v>2.213912958224106E-4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1.15903014774336E-5</v>
          </cell>
          <cell r="I11">
            <v>3.3066745408646398E-6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1.4388715029194E-5</v>
          </cell>
          <cell r="I12">
            <v>1.1198924269311574E-5</v>
          </cell>
          <cell r="J12">
            <v>5.8028380594180703E-7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3.4806820353235446E-3</v>
          </cell>
          <cell r="I13">
            <v>2.0642206459908969E-3</v>
          </cell>
          <cell r="J13">
            <v>3.8851720630459142E-4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3.4806820353235446E-3</v>
          </cell>
          <cell r="I14">
            <v>2.0642206459908969E-3</v>
          </cell>
          <cell r="J14">
            <v>3.8851720630459142E-4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2.3107099357013E-4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5.1704829272746953E-4</v>
          </cell>
          <cell r="I16">
            <v>3.0830323557545032E-4</v>
          </cell>
          <cell r="J16">
            <v>5.7674531496437347E-5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0.4518919318814224</v>
          </cell>
          <cell r="I17">
            <v>1.4506783338622857</v>
          </cell>
          <cell r="J17">
            <v>2.7094772418491222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1.4829961063536639</v>
          </cell>
          <cell r="I18">
            <v>4.6119413924242005</v>
          </cell>
          <cell r="J18">
            <v>8.0119444137372309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8.3528419868847802E-3</v>
          </cell>
          <cell r="I19">
            <v>2.1586139682510101E-2</v>
          </cell>
          <cell r="J19">
            <v>4.9285156564524098E-2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8.5053241841837393E-3</v>
          </cell>
          <cell r="I20">
            <v>2.72910164062703E-2</v>
          </cell>
          <cell r="J20">
            <v>5.3073278780895301E-2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2.5803793460224704E-2</v>
          </cell>
          <cell r="I21">
            <v>1.3135940288249682E-2</v>
          </cell>
          <cell r="J21">
            <v>3.5079442051619788E-3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2.5803793460224704E-2</v>
          </cell>
          <cell r="I22">
            <v>1.3135940288249682E-2</v>
          </cell>
          <cell r="J22">
            <v>3.5079442051619788E-3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1.4651702589591801E-3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2.6468490290193006E-3</v>
          </cell>
          <cell r="I24">
            <v>1.3716931653625357E-3</v>
          </cell>
          <cell r="J24">
            <v>3.6575393054765664E-4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55.607954885753095</v>
          </cell>
          <cell r="I25">
            <v>69.581218400277891</v>
          </cell>
          <cell r="J25">
            <v>75.245971805696854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1.13768089701805E-4</v>
          </cell>
          <cell r="I26">
            <v>4.7533834804491297E-2</v>
          </cell>
          <cell r="J26">
            <v>4.7437179713828999E-2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14.012817733000423</v>
          </cell>
          <cell r="I27">
            <v>23.83792526811731</v>
          </cell>
          <cell r="J27">
            <v>24.695200016011807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0.10273270024281657</v>
          </cell>
          <cell r="I28">
            <v>5.5723169313227822E-2</v>
          </cell>
          <cell r="J28">
            <v>0.44638507392913102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1.2262930271842369</v>
          </cell>
          <cell r="I29">
            <v>11.58450394579749</v>
          </cell>
          <cell r="J29">
            <v>14.37444307884136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40.266249045731463</v>
          </cell>
          <cell r="I30">
            <v>34.150630812810057</v>
          </cell>
          <cell r="J30">
            <v>35.777411848832301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9.955464098070113</v>
          </cell>
          <cell r="I31">
            <v>5.5849401871283906</v>
          </cell>
          <cell r="J31">
            <v>1.5212392792824425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9.955464098070113</v>
          </cell>
          <cell r="I32">
            <v>5.5849401871283906</v>
          </cell>
          <cell r="J32">
            <v>1.5212392792824425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0.41911024091856802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0.68456436597876535</v>
          </cell>
          <cell r="I34">
            <v>0.47894269113460869</v>
          </cell>
          <cell r="J34">
            <v>0.10462512995255958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3.5415849441916883E-3</v>
          </cell>
          <cell r="I35">
            <v>2.0976469001978849E-3</v>
          </cell>
          <cell r="J35">
            <v>3.9166587243531645E-4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3.5415849441916883E-3</v>
          </cell>
          <cell r="I36">
            <v>2.0976469001978849E-3</v>
          </cell>
          <cell r="J36">
            <v>3.9166587243531645E-4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2.3314284158553299E-4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5.2626990609280062E-4</v>
          </cell>
          <cell r="I38">
            <v>3.1340822862160753E-4</v>
          </cell>
          <cell r="J38">
            <v>5.8191442776587448E-5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3.1292190301338264E-2</v>
          </cell>
          <cell r="I39">
            <v>6.7963830984348328E-3</v>
          </cell>
          <cell r="J39">
            <v>1.6236152106373055E-3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3.1292190301338264E-2</v>
          </cell>
          <cell r="I40">
            <v>6.7963830984348328E-3</v>
          </cell>
          <cell r="J40">
            <v>1.6236152106373055E-3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6.6624616859807702E-4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3.0911800235307704E-3</v>
          </cell>
          <cell r="I42">
            <v>7.3719236374167124E-4</v>
          </cell>
          <cell r="J42">
            <v>1.663143586999718E-4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1.9516333319157801E-2</v>
          </cell>
          <cell r="I43">
            <v>1.5113656363290762E-2</v>
          </cell>
          <cell r="J43">
            <v>4.0393101449202815E-3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1.9516333319157801E-2</v>
          </cell>
          <cell r="I44">
            <v>1.5113656363290762E-2</v>
          </cell>
          <cell r="J44">
            <v>4.0393101449202815E-3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1.6912081251151401E-3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2.0016985324204425E-3</v>
          </cell>
          <cell r="I46">
            <v>1.5802631130500081E-3</v>
          </cell>
          <cell r="J46">
            <v>4.2218102384519106E-4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0.24502351806840611</v>
          </cell>
          <cell r="J47">
            <v>0.26339792197238043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9.7092380154271165</v>
          </cell>
          <cell r="J48">
            <v>10.452463194521711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1.33436215247532E-4</v>
          </cell>
          <cell r="I49">
            <v>1.3346711084983101E-4</v>
          </cell>
          <cell r="J49">
            <v>1.2803194767322299E-3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2.4975236581733611E-3</v>
          </cell>
          <cell r="I50">
            <v>2.6309907690231921E-3</v>
          </cell>
          <cell r="J50">
            <v>2.82827594760278E-3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7.1538469378944889</v>
          </cell>
          <cell r="I51">
            <v>4.0257569002278251</v>
          </cell>
          <cell r="J51">
            <v>1.0594591625496745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7.1538469378944889</v>
          </cell>
          <cell r="I52">
            <v>4.0257569002278251</v>
          </cell>
          <cell r="J52">
            <v>1.0594591625496745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0.29225836127351201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0.49191597629408085</v>
          </cell>
          <cell r="I54">
            <v>0.33607901156825909</v>
          </cell>
          <cell r="J54">
            <v>7.2958294440284788E-2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1.5850148448275949E-2</v>
          </cell>
          <cell r="I55">
            <v>7.2158194652516263E-3</v>
          </cell>
          <cell r="J55">
            <v>1.6850835169798044E-3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1.5850148448275949E-2</v>
          </cell>
          <cell r="I56">
            <v>7.2158194652516263E-3</v>
          </cell>
          <cell r="J56">
            <v>1.6850835169798044E-3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7.1030030130619405E-4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1.4461346852809019E-3</v>
          </cell>
          <cell r="I58">
            <v>7.8475755941454851E-4</v>
          </cell>
          <cell r="J58">
            <v>1.7731173417326923E-4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7.5158849783382529E-7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3.0476484611074738E-6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3.08920350626655E-8</v>
          </cell>
          <cell r="I61">
            <v>1.8444213072886799E-8</v>
          </cell>
          <cell r="J61">
            <v>2.0257305758977399E-8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5.0881410285258901E-8</v>
          </cell>
          <cell r="I62">
            <v>3.7020441920530401E-8</v>
          </cell>
          <cell r="J62">
            <v>3.4928377290889197E-8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2.5973475896249451E-3</v>
          </cell>
          <cell r="I63">
            <v>1.3467077377925453E-3</v>
          </cell>
          <cell r="J63">
            <v>1.9491030346669954E-4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0.26858215469964986</v>
          </cell>
          <cell r="I64">
            <v>0.13341111723351728</v>
          </cell>
          <cell r="J64">
            <v>1.8500670757645291E-2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3.6393245894261526E-3</v>
          </cell>
          <cell r="I65">
            <v>1.8077387159013112E-3</v>
          </cell>
          <cell r="J65">
            <v>2.5068659563204983E-4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-3.1376367576101184E-11</v>
          </cell>
          <cell r="I69">
            <v>-4.2168793796901966E-10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2.2923585879359205</v>
          </cell>
          <cell r="I70">
            <v>0.94321497821204348</v>
          </cell>
          <cell r="J70">
            <v>0.17001750963271081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1.8202698231438975E-2</v>
          </cell>
          <cell r="I71">
            <v>7.9064701953674415E-3</v>
          </cell>
          <cell r="J71">
            <v>1.4946350069180638E-3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3.1061769484226606E-2</v>
          </cell>
          <cell r="I72">
            <v>1.2780690761680801E-2</v>
          </cell>
          <cell r="J72">
            <v>2.3037602931261633E-3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2.0085188408106798E-8</v>
          </cell>
          <cell r="J73">
            <v>5.4684853740492218E-7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1.775746977228516E-7</v>
          </cell>
          <cell r="J74">
            <v>3.7853081847444899E-6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6.9234590369740015E-9</v>
          </cell>
          <cell r="J76">
            <v>-1.0623750207135301E-8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3.7467098013783829E-3</v>
          </cell>
          <cell r="I77">
            <v>2.953043784369959E-3</v>
          </cell>
          <cell r="J77">
            <v>7.2824070141919509E-4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3.7467098013783829E-3</v>
          </cell>
          <cell r="I78">
            <v>2.9530437843699586E-3</v>
          </cell>
          <cell r="J78">
            <v>7.2824070141919509E-4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3.7492499131371458E-3</v>
          </cell>
          <cell r="I79">
            <v>2.956406772967813E-3</v>
          </cell>
          <cell r="J79">
            <v>7.2917969409558032E-4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3.7492499131371458E-3</v>
          </cell>
          <cell r="I80">
            <v>2.956406772967813E-3</v>
          </cell>
          <cell r="J80">
            <v>7.2917969409558032E-4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2.0520296650553702E-2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5.6009929363665417E-2</v>
          </cell>
          <cell r="I82">
            <v>3.859653258222813E-2</v>
          </cell>
          <cell r="J82">
            <v>8.6678694394615348E-3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855.00568121490403</v>
          </cell>
          <cell r="I83">
            <v>371.10000030165497</v>
          </cell>
          <cell r="J83">
            <v>62.205546786584129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6.3202823781722195</v>
          </cell>
          <cell r="I84">
            <v>2.9068864059437134</v>
          </cell>
          <cell r="J84">
            <v>0.51469033516560059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11.585442834890301</v>
          </cell>
          <cell r="I85">
            <v>5.0284552886403029</v>
          </cell>
          <cell r="J85">
            <v>0.84289358789409419</v>
          </cell>
        </row>
        <row r="86">
          <cell r="A86" t="str">
            <v>T_B_u-FCLH2O-S4</v>
          </cell>
          <cell r="B86" t="str">
            <v>VAR_cap</v>
          </cell>
          <cell r="C86" t="str">
            <v>-</v>
          </cell>
          <cell r="J86">
            <v>-4.6329550673404996E-9</v>
          </cell>
        </row>
        <row r="87">
          <cell r="A87" t="str">
            <v>T-PHEV-STG_S2</v>
          </cell>
          <cell r="B87" t="str">
            <v>VAR_fout</v>
          </cell>
          <cell r="C87" t="str">
            <v>T-ELC-car-PlgSTGAUXout_S2</v>
          </cell>
          <cell r="H87">
            <v>9.0898181443791314E-3</v>
          </cell>
          <cell r="I87">
            <v>7.4947308825149966E-3</v>
          </cell>
          <cell r="J87">
            <v>3.8010065015859026E-3</v>
          </cell>
        </row>
        <row r="88">
          <cell r="A88" t="str">
            <v>T-PHEV-STG_S2</v>
          </cell>
          <cell r="B88" t="str">
            <v>VAR_fout</v>
          </cell>
          <cell r="C88" t="str">
            <v>T-ELC-car-PlgSTGOut_S2</v>
          </cell>
          <cell r="H88">
            <v>9.0898181443791314E-3</v>
          </cell>
          <cell r="I88">
            <v>7.4947308825149966E-3</v>
          </cell>
          <cell r="J88">
            <v>3.8010065015859017E-3</v>
          </cell>
        </row>
        <row r="89">
          <cell r="A89" t="str">
            <v>T-PHEV-STG_S2</v>
          </cell>
          <cell r="B89" t="str">
            <v>VAR_fin</v>
          </cell>
          <cell r="C89" t="str">
            <v>T-ELC-car-PlgSTGAUXin_S2</v>
          </cell>
          <cell r="H89">
            <v>9.1001828115448678E-3</v>
          </cell>
          <cell r="I89">
            <v>7.5029149819146939E-3</v>
          </cell>
          <cell r="J89">
            <v>3.8080993905039418E-3</v>
          </cell>
        </row>
        <row r="90">
          <cell r="A90" t="str">
            <v>T-PHEV-STG_S2</v>
          </cell>
          <cell r="B90" t="str">
            <v>VAR_fin</v>
          </cell>
          <cell r="C90" t="str">
            <v>T-ELC-car-PlgSTGin_S2</v>
          </cell>
          <cell r="H90">
            <v>9.1001828115448678E-3</v>
          </cell>
          <cell r="I90">
            <v>7.5029149819146939E-3</v>
          </cell>
          <cell r="J90">
            <v>3.8080993905039418E-3</v>
          </cell>
        </row>
        <row r="91">
          <cell r="A91" t="str">
            <v>T-PHEV-STG_S2</v>
          </cell>
          <cell r="B91" t="str">
            <v>VAR_ncap</v>
          </cell>
          <cell r="C91" t="str">
            <v>-</v>
          </cell>
          <cell r="H91">
            <v>4.0803094930369703E-2</v>
          </cell>
          <cell r="I91">
            <v>2.59403979700275E-2</v>
          </cell>
          <cell r="J91">
            <v>1.2714527989255301E-2</v>
          </cell>
        </row>
        <row r="92">
          <cell r="A92" t="str">
            <v>T-PHEV-STG_S2</v>
          </cell>
          <cell r="B92" t="str">
            <v>VAR_cap</v>
          </cell>
          <cell r="C92" t="str">
            <v>-</v>
          </cell>
          <cell r="H92">
            <v>0.14354894011268554</v>
          </cell>
          <cell r="I92">
            <v>0.10331541043428269</v>
          </cell>
          <cell r="J92">
            <v>4.8759271774231533E-2</v>
          </cell>
        </row>
        <row r="93">
          <cell r="A93" t="str">
            <v>T-Plg-GSL-mix_S4</v>
          </cell>
          <cell r="B93" t="str">
            <v>VAR_fout</v>
          </cell>
          <cell r="C93" t="str">
            <v>CO2_T</v>
          </cell>
          <cell r="H93">
            <v>2.9213972638728221</v>
          </cell>
          <cell r="I93">
            <v>0.50421346955380886</v>
          </cell>
          <cell r="J93">
            <v>7.8877386358391408E-2</v>
          </cell>
        </row>
        <row r="94">
          <cell r="A94" t="str">
            <v>T-Plg-GSL-mix_S4</v>
          </cell>
          <cell r="B94" t="str">
            <v>VAR_fout</v>
          </cell>
          <cell r="C94" t="str">
            <v>T-PEVmix-ELC_GSL_S4</v>
          </cell>
          <cell r="H94">
            <v>2.0574699664932517E-2</v>
          </cell>
          <cell r="I94">
            <v>3.7292130394260218E-3</v>
          </cell>
          <cell r="J94">
            <v>6.0811225500222437E-4</v>
          </cell>
        </row>
        <row r="95">
          <cell r="A95" t="str">
            <v>T-Plg-GSL-mix_S4</v>
          </cell>
          <cell r="B95" t="str">
            <v>VAR_fin</v>
          </cell>
          <cell r="C95" t="str">
            <v>TGSL</v>
          </cell>
          <cell r="H95">
            <v>3.95853287787645E-2</v>
          </cell>
          <cell r="I95">
            <v>6.8321608340624505E-3</v>
          </cell>
          <cell r="J95">
            <v>1.0687992731489354E-3</v>
          </cell>
        </row>
        <row r="96">
          <cell r="A96" t="str">
            <v>T-PHEV-STG_S3</v>
          </cell>
          <cell r="B96" t="str">
            <v>VAR_fout</v>
          </cell>
          <cell r="C96" t="str">
            <v>T-ELC-car-PlgSTGAUXout_S3</v>
          </cell>
          <cell r="H96">
            <v>4.2572127547147982</v>
          </cell>
          <cell r="I96">
            <v>3.1611580739314422</v>
          </cell>
          <cell r="J96">
            <v>1.2221399438503207</v>
          </cell>
        </row>
        <row r="97">
          <cell r="A97" t="str">
            <v>T-PHEV-STG_S3</v>
          </cell>
          <cell r="B97" t="str">
            <v>VAR_fout</v>
          </cell>
          <cell r="C97" t="str">
            <v>T-ELC-car-PlgSTGOut_S3</v>
          </cell>
          <cell r="H97">
            <v>4.2572127547147973</v>
          </cell>
          <cell r="I97">
            <v>3.1611580739314422</v>
          </cell>
          <cell r="J97">
            <v>1.2221399438503204</v>
          </cell>
        </row>
        <row r="98">
          <cell r="A98" t="str">
            <v>T-PHEV-STG_S3</v>
          </cell>
          <cell r="B98" t="str">
            <v>VAR_fin</v>
          </cell>
          <cell r="C98" t="str">
            <v>T-ELC-car-PlgSTGAUXin_S3</v>
          </cell>
          <cell r="H98">
            <v>4.2576432824547847</v>
          </cell>
          <cell r="I98">
            <v>3.1614771446494414</v>
          </cell>
          <cell r="J98">
            <v>1.2222632527690502</v>
          </cell>
        </row>
        <row r="99">
          <cell r="A99" t="str">
            <v>T-PHEV-STG_S3</v>
          </cell>
          <cell r="B99" t="str">
            <v>VAR_fin</v>
          </cell>
          <cell r="C99" t="str">
            <v>T-ELC-car-PlgSTGin_S3</v>
          </cell>
          <cell r="H99">
            <v>4.2576432824547847</v>
          </cell>
          <cell r="I99">
            <v>3.1614771446494414</v>
          </cell>
          <cell r="J99">
            <v>1.2222632527690502</v>
          </cell>
        </row>
        <row r="100">
          <cell r="A100" t="str">
            <v>T-PHEV-STG_S3</v>
          </cell>
          <cell r="B100" t="str">
            <v>VAR_ncap</v>
          </cell>
          <cell r="C100" t="str">
            <v>-</v>
          </cell>
          <cell r="H100">
            <v>59.584768584982399</v>
          </cell>
        </row>
        <row r="101">
          <cell r="A101" t="str">
            <v>T-PHEV-STG_S3</v>
          </cell>
          <cell r="B101" t="str">
            <v>VAR_cap</v>
          </cell>
          <cell r="C101" t="str">
            <v>-</v>
          </cell>
          <cell r="H101">
            <v>114.4496780850254</v>
          </cell>
          <cell r="I101">
            <v>84.798531085212801</v>
          </cell>
          <cell r="J101">
            <v>22.337753185036657</v>
          </cell>
        </row>
        <row r="102">
          <cell r="A102" t="str">
            <v>TFLGV-HYBDSL</v>
          </cell>
          <cell r="B102" t="str">
            <v>VAR_fout</v>
          </cell>
          <cell r="C102" t="str">
            <v>CO2_T</v>
          </cell>
          <cell r="H102">
            <v>42.026115250443816</v>
          </cell>
          <cell r="I102">
            <v>1.03532808280894E-2</v>
          </cell>
        </row>
        <row r="103">
          <cell r="A103" t="str">
            <v>TFLGV-HYBDSL</v>
          </cell>
          <cell r="B103" t="str">
            <v>VAR_fout</v>
          </cell>
          <cell r="C103" t="str">
            <v>TFLGV</v>
          </cell>
          <cell r="H103">
            <v>0.26417833495541121</v>
          </cell>
          <cell r="I103">
            <v>6.5081258978881291E-5</v>
          </cell>
        </row>
        <row r="104">
          <cell r="A104" t="str">
            <v>TFLGV-HYBDSL</v>
          </cell>
          <cell r="B104" t="str">
            <v>VAR_fin</v>
          </cell>
          <cell r="C104" t="str">
            <v>TDSL</v>
          </cell>
          <cell r="H104">
            <v>0.57334400068818303</v>
          </cell>
          <cell r="I104">
            <v>1.4124530461240658E-4</v>
          </cell>
        </row>
        <row r="105">
          <cell r="A105" t="str">
            <v>TFLGV-HYBDSL</v>
          </cell>
          <cell r="B105" t="str">
            <v>VAR_ncap</v>
          </cell>
          <cell r="C105" t="str">
            <v>-</v>
          </cell>
        </row>
        <row r="106">
          <cell r="A106" t="str">
            <v>TFLGV-HYBDSL</v>
          </cell>
          <cell r="B106" t="str">
            <v>VAR_cap</v>
          </cell>
          <cell r="C106" t="str">
            <v>-</v>
          </cell>
          <cell r="H106">
            <v>2.5588135349960121E-2</v>
          </cell>
          <cell r="I106">
            <v>5.5179955005606017E-6</v>
          </cell>
        </row>
        <row r="107">
          <cell r="A107" t="str">
            <v>TFHGV-FCLH2O</v>
          </cell>
          <cell r="B107" t="str">
            <v>VAR_fout</v>
          </cell>
          <cell r="C107" t="str">
            <v>TFHGV</v>
          </cell>
          <cell r="H107">
            <v>8.253008612034535E-5</v>
          </cell>
          <cell r="I107">
            <v>8.2038520614573929E-5</v>
          </cell>
          <cell r="J107">
            <v>7.4743814948931376E-5</v>
          </cell>
        </row>
        <row r="108">
          <cell r="A108" t="str">
            <v>TFHGV-FCLH2O</v>
          </cell>
          <cell r="B108" t="str">
            <v>VAR_fin</v>
          </cell>
          <cell r="C108" t="str">
            <v>TH2O</v>
          </cell>
          <cell r="H108">
            <v>4.2508539800383346E-4</v>
          </cell>
          <cell r="I108">
            <v>4.1378679593011909E-4</v>
          </cell>
          <cell r="J108">
            <v>3.4350804955629349E-4</v>
          </cell>
        </row>
        <row r="109">
          <cell r="A109" t="str">
            <v>TFHGV-FCLH2O</v>
          </cell>
          <cell r="B109" t="str">
            <v>VAR_ncap</v>
          </cell>
          <cell r="C109" t="str">
            <v>-</v>
          </cell>
          <cell r="H109">
            <v>1.60357734140226E-6</v>
          </cell>
          <cell r="I109">
            <v>6.8377872961836205E-7</v>
          </cell>
          <cell r="J109">
            <v>1.4799640839835999E-6</v>
          </cell>
        </row>
        <row r="110">
          <cell r="A110" t="str">
            <v>TFHGV-FCLH2O</v>
          </cell>
          <cell r="B110" t="str">
            <v>VAR_cap</v>
          </cell>
          <cell r="C110" t="str">
            <v>-</v>
          </cell>
          <cell r="H110">
            <v>1.7324239185304801E-6</v>
          </cell>
          <cell r="I110">
            <v>1.6669635611940831E-6</v>
          </cell>
          <cell r="J110">
            <v>1.5999594807913099E-6</v>
          </cell>
        </row>
        <row r="111">
          <cell r="A111" t="str">
            <v>T-PHEV-STG_S4</v>
          </cell>
          <cell r="B111" t="str">
            <v>VAR_fout</v>
          </cell>
          <cell r="C111" t="str">
            <v>T-ELC-car-PlgSTGAUXout_S4</v>
          </cell>
          <cell r="H111">
            <v>1.377238389242956E-2</v>
          </cell>
          <cell r="I111">
            <v>9.7512842462425375E-3</v>
          </cell>
          <cell r="J111">
            <v>3.1180097218884129E-3</v>
          </cell>
        </row>
        <row r="112">
          <cell r="A112" t="str">
            <v>T-PHEV-STG_S4</v>
          </cell>
          <cell r="B112" t="str">
            <v>VAR_fout</v>
          </cell>
          <cell r="C112" t="str">
            <v>T-ELC-car-PlgSTGOut_S4</v>
          </cell>
          <cell r="H112">
            <v>1.3772383892429556E-2</v>
          </cell>
          <cell r="I112">
            <v>9.7512842462425357E-3</v>
          </cell>
          <cell r="J112">
            <v>3.1180097218884125E-3</v>
          </cell>
        </row>
        <row r="113">
          <cell r="A113" t="str">
            <v>T-PHEV-STG_S4</v>
          </cell>
          <cell r="B113" t="str">
            <v>VAR_fin</v>
          </cell>
          <cell r="C113" t="str">
            <v>T-ELC-car-PlgSTGAUXin_S4</v>
          </cell>
          <cell r="H113">
            <v>1.3778525155833669E-2</v>
          </cell>
          <cell r="I113">
            <v>9.7552549467651711E-3</v>
          </cell>
          <cell r="J113">
            <v>3.1194042556977682E-3</v>
          </cell>
        </row>
        <row r="114">
          <cell r="A114" t="str">
            <v>T-PHEV-STG_S4</v>
          </cell>
          <cell r="B114" t="str">
            <v>VAR_fin</v>
          </cell>
          <cell r="C114" t="str">
            <v>T-ELC-car-PlgSTGin_S4</v>
          </cell>
          <cell r="H114">
            <v>1.3778525155833669E-2</v>
          </cell>
          <cell r="I114">
            <v>9.7552549467651711E-3</v>
          </cell>
          <cell r="J114">
            <v>3.1194042556977682E-3</v>
          </cell>
        </row>
        <row r="115">
          <cell r="A115" t="str">
            <v>T-PHEV-STG_S4</v>
          </cell>
          <cell r="B115" t="str">
            <v>VAR_ncap</v>
          </cell>
          <cell r="C115" t="str">
            <v>-</v>
          </cell>
          <cell r="H115">
            <v>0.11617914561244699</v>
          </cell>
        </row>
        <row r="116">
          <cell r="A116" t="str">
            <v>T-PHEV-STG_S4</v>
          </cell>
          <cell r="B116" t="str">
            <v>VAR_cap</v>
          </cell>
          <cell r="C116" t="str">
            <v>-</v>
          </cell>
          <cell r="H116">
            <v>0.29584636583766588</v>
          </cell>
          <cell r="I116">
            <v>0.17119930743942172</v>
          </cell>
          <cell r="J116">
            <v>4.9058479100868774E-2</v>
          </cell>
        </row>
        <row r="117">
          <cell r="A117" t="str">
            <v>TFLGV-ICEGSLExt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TFLGV-ICEGSLExt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TFLGV-ICEGSLExt</v>
          </cell>
          <cell r="B119" t="str">
            <v>VAR_fin</v>
          </cell>
          <cell r="C119" t="str">
            <v>TGSL</v>
          </cell>
        </row>
        <row r="120">
          <cell r="A120" t="str">
            <v>TFLGV-ICEGSLExt</v>
          </cell>
          <cell r="B120" t="str">
            <v>VAR_cap</v>
          </cell>
          <cell r="C120" t="str">
            <v>-</v>
          </cell>
        </row>
        <row r="121">
          <cell r="A121" t="str">
            <v>TFRLFELCEXT</v>
          </cell>
          <cell r="B121" t="str">
            <v>VAR_fout</v>
          </cell>
          <cell r="C121" t="str">
            <v>TFRLF</v>
          </cell>
          <cell r="H121">
            <v>3.3097795840865814E-2</v>
          </cell>
          <cell r="I121">
            <v>3.3879114759972191E-2</v>
          </cell>
          <cell r="J121">
            <v>3.6422005541003812E-2</v>
          </cell>
        </row>
        <row r="122">
          <cell r="A122" t="str">
            <v>TFRLFELCEXT</v>
          </cell>
          <cell r="B122" t="str">
            <v>VAR_fin</v>
          </cell>
          <cell r="C122" t="str">
            <v>TELC</v>
          </cell>
          <cell r="H122">
            <v>1.9814255268511485</v>
          </cell>
          <cell r="I122">
            <v>2.0281997972095906</v>
          </cell>
          <cell r="J122">
            <v>2.1804319497600453</v>
          </cell>
        </row>
        <row r="123">
          <cell r="A123" t="str">
            <v>TFRLFELCEXT</v>
          </cell>
          <cell r="B123" t="str">
            <v>VAR_ncap</v>
          </cell>
          <cell r="C123" t="str">
            <v>-</v>
          </cell>
          <cell r="H123">
            <v>1.34240388695084E-4</v>
          </cell>
          <cell r="I123">
            <v>7.2117390163359494E-5</v>
          </cell>
          <cell r="J123">
            <v>1.4957194113514199E-3</v>
          </cell>
        </row>
        <row r="124">
          <cell r="A124" t="str">
            <v>TFRLFELCEXT</v>
          </cell>
          <cell r="B124" t="str">
            <v>VAR_cap</v>
          </cell>
          <cell r="C124" t="str">
            <v>-</v>
          </cell>
          <cell r="H124">
            <v>3.0555491135532717E-3</v>
          </cell>
          <cell r="I124">
            <v>3.1276665037166321E-3</v>
          </cell>
          <cell r="J124">
            <v>3.3624029463947E-3</v>
          </cell>
        </row>
        <row r="125">
          <cell r="A125" t="str">
            <v>TFLGV-ICEDSLExt</v>
          </cell>
          <cell r="B125" t="str">
            <v>VAR_fout</v>
          </cell>
          <cell r="C125" t="str">
            <v>CO2_T</v>
          </cell>
        </row>
        <row r="126">
          <cell r="A126" t="str">
            <v>TFLGV-ICEDSLExt</v>
          </cell>
          <cell r="B126" t="str">
            <v>VAR_fout</v>
          </cell>
          <cell r="C126" t="str">
            <v>TFLGV</v>
          </cell>
        </row>
        <row r="127">
          <cell r="A127" t="str">
            <v>TFLGV-ICEDSLExt</v>
          </cell>
          <cell r="B127" t="str">
            <v>VAR_fin</v>
          </cell>
          <cell r="C127" t="str">
            <v>TDSL</v>
          </cell>
        </row>
        <row r="128">
          <cell r="A128" t="str">
            <v>TFLGV-ICEDSLExt</v>
          </cell>
          <cell r="B128" t="str">
            <v>VAR_cap</v>
          </cell>
          <cell r="C128" t="str">
            <v>-</v>
          </cell>
        </row>
        <row r="129">
          <cell r="A129" t="str">
            <v>T_C-ICE-NGA-S1</v>
          </cell>
          <cell r="B129" t="str">
            <v>VAR_fout</v>
          </cell>
          <cell r="C129" t="str">
            <v>CO2_T</v>
          </cell>
          <cell r="H129">
            <v>6.1984494428773546E-3</v>
          </cell>
          <cell r="I129">
            <v>1.0818932814639179E-3</v>
          </cell>
        </row>
        <row r="130">
          <cell r="A130" t="str">
            <v>T_C-ICE-NGA-S1</v>
          </cell>
          <cell r="B130" t="str">
            <v>VAR_fout</v>
          </cell>
          <cell r="C130" t="str">
            <v>TPCAR</v>
          </cell>
          <cell r="H130">
            <v>6.333934530514148E-5</v>
          </cell>
          <cell r="I130">
            <v>1.0727898833275224E-5</v>
          </cell>
        </row>
        <row r="131">
          <cell r="A131" t="str">
            <v>T_C-ICE-NGA-S1</v>
          </cell>
          <cell r="B131" t="str">
            <v>VAR_fin</v>
          </cell>
          <cell r="C131" t="str">
            <v>TNGA</v>
          </cell>
          <cell r="H131">
            <v>1.0990158586662005E-4</v>
          </cell>
          <cell r="I131">
            <v>1.9182504990494984E-5</v>
          </cell>
        </row>
        <row r="132">
          <cell r="A132" t="str">
            <v>T_C-ICE-NGA-S1</v>
          </cell>
          <cell r="B132" t="str">
            <v>VAR_ncap</v>
          </cell>
          <cell r="C132" t="str">
            <v>-</v>
          </cell>
        </row>
        <row r="133">
          <cell r="A133" t="str">
            <v>T_C-ICE-NGA-S1</v>
          </cell>
          <cell r="B133" t="str">
            <v>VAR_cap</v>
          </cell>
          <cell r="C133" t="str">
            <v>-</v>
          </cell>
          <cell r="H133">
            <v>7.7363788712545278E-6</v>
          </cell>
          <cell r="I133">
            <v>1.3323566843827542E-6</v>
          </cell>
        </row>
        <row r="134">
          <cell r="A134" t="str">
            <v>D-T-ELC-car</v>
          </cell>
          <cell r="B134" t="str">
            <v>VAR_fout</v>
          </cell>
          <cell r="C134" t="str">
            <v>T-ELC-car</v>
          </cell>
          <cell r="H134">
            <v>32.61874474666503</v>
          </cell>
          <cell r="I134">
            <v>39.503671182268612</v>
          </cell>
          <cell r="J134">
            <v>38.132688307088756</v>
          </cell>
        </row>
        <row r="135">
          <cell r="A135" t="str">
            <v>D-T-ELC-car</v>
          </cell>
          <cell r="B135" t="str">
            <v>VAR_fin</v>
          </cell>
          <cell r="C135" t="str">
            <v>TELC</v>
          </cell>
          <cell r="H135">
            <v>32.61874474666503</v>
          </cell>
          <cell r="I135">
            <v>39.503671182268612</v>
          </cell>
          <cell r="J135">
            <v>38.132688307088756</v>
          </cell>
        </row>
        <row r="136">
          <cell r="A136" t="str">
            <v>D-T-ELC-car</v>
          </cell>
          <cell r="B136" t="str">
            <v>VAR_ncap</v>
          </cell>
          <cell r="C136" t="str">
            <v>-</v>
          </cell>
          <cell r="H136">
            <v>14.465506906126</v>
          </cell>
          <cell r="I136">
            <v>12.755892611037799</v>
          </cell>
          <cell r="J136">
            <v>26.073482838719698</v>
          </cell>
        </row>
        <row r="137">
          <cell r="A137" t="str">
            <v>D-T-ELC-car</v>
          </cell>
          <cell r="B137" t="str">
            <v>VAR_cap</v>
          </cell>
          <cell r="C137" t="str">
            <v>-</v>
          </cell>
          <cell r="H137">
            <v>24.987827903986705</v>
          </cell>
          <cell r="I137">
            <v>33.683191955822998</v>
          </cell>
          <cell r="J137">
            <v>41.449693783770698</v>
          </cell>
        </row>
        <row r="138">
          <cell r="A138" t="str">
            <v>T_C-ICE-NGA-S2</v>
          </cell>
          <cell r="B138" t="str">
            <v>VAR_fout</v>
          </cell>
          <cell r="C138" t="str">
            <v>CO2_T</v>
          </cell>
          <cell r="H138">
            <v>1.217315289029915E-2</v>
          </cell>
          <cell r="I138">
            <v>1.9363794542705741E-3</v>
          </cell>
        </row>
        <row r="139">
          <cell r="A139" t="str">
            <v>T_C-ICE-NGA-S2</v>
          </cell>
          <cell r="B139" t="str">
            <v>VAR_fout</v>
          </cell>
          <cell r="C139" t="str">
            <v>TPCAR</v>
          </cell>
          <cell r="H139">
            <v>1.0374022258402201E-4</v>
          </cell>
          <cell r="I139">
            <v>1.5401527270024239E-5</v>
          </cell>
        </row>
        <row r="140">
          <cell r="A140" t="str">
            <v>T_C-ICE-NGA-S2</v>
          </cell>
          <cell r="B140" t="str">
            <v>VAR_fin</v>
          </cell>
          <cell r="C140" t="str">
            <v>TNGA</v>
          </cell>
          <cell r="H140">
            <v>2.1583604415424028E-4</v>
          </cell>
          <cell r="I140">
            <v>3.4332969047350538E-5</v>
          </cell>
        </row>
        <row r="141">
          <cell r="A141" t="str">
            <v>T_C-ICE-NGA-S2</v>
          </cell>
          <cell r="B141" t="str">
            <v>VAR_ncap</v>
          </cell>
          <cell r="C141" t="str">
            <v>-</v>
          </cell>
        </row>
        <row r="142">
          <cell r="A142" t="str">
            <v>T_C-ICE-NGA-S2</v>
          </cell>
          <cell r="B142" t="str">
            <v>VAR_cap</v>
          </cell>
          <cell r="C142" t="str">
            <v>-</v>
          </cell>
          <cell r="H142">
            <v>8.2273090251506846E-6</v>
          </cell>
          <cell r="I142">
            <v>1.17788174983954E-6</v>
          </cell>
        </row>
        <row r="143">
          <cell r="A143" t="str">
            <v>TFLGV-ICEDSL</v>
          </cell>
          <cell r="B143" t="str">
            <v>VAR_fout</v>
          </cell>
          <cell r="C143" t="str">
            <v>CO2_T</v>
          </cell>
          <cell r="H143">
            <v>0.35125466933459903</v>
          </cell>
          <cell r="I143">
            <v>9.5923833952617499E-3</v>
          </cell>
        </row>
        <row r="144">
          <cell r="A144" t="str">
            <v>TFLGV-ICEDSL</v>
          </cell>
          <cell r="B144" t="str">
            <v>VAR_fout</v>
          </cell>
          <cell r="C144" t="str">
            <v>TFLGV</v>
          </cell>
          <cell r="H144">
            <v>1.6394177392900415E-3</v>
          </cell>
          <cell r="I144">
            <v>4.4770717297662734E-5</v>
          </cell>
        </row>
        <row r="145">
          <cell r="A145" t="str">
            <v>TFLGV-ICEDSL</v>
          </cell>
          <cell r="B145" t="str">
            <v>VAR_fin</v>
          </cell>
          <cell r="C145" t="str">
            <v>TDSL</v>
          </cell>
          <cell r="H145">
            <v>4.7920145884665652E-3</v>
          </cell>
          <cell r="I145">
            <v>1.3086471207724077E-4</v>
          </cell>
        </row>
        <row r="146">
          <cell r="A146" t="str">
            <v>TFLGV-ICEDSL</v>
          </cell>
          <cell r="B146" t="str">
            <v>VAR_ncap</v>
          </cell>
          <cell r="C146" t="str">
            <v>-</v>
          </cell>
        </row>
        <row r="147">
          <cell r="A147" t="str">
            <v>TFLGV-ICEDSL</v>
          </cell>
          <cell r="B147" t="str">
            <v>VAR_cap</v>
          </cell>
          <cell r="C147" t="str">
            <v>-</v>
          </cell>
          <cell r="H147">
            <v>1.4658140927589441E-4</v>
          </cell>
          <cell r="I147">
            <v>3.7789123168018994E-6</v>
          </cell>
        </row>
        <row r="148">
          <cell r="A148" t="str">
            <v>T_C-ICE-NGA-S3</v>
          </cell>
          <cell r="B148" t="str">
            <v>VAR_fout</v>
          </cell>
          <cell r="C148" t="str">
            <v>CO2_T</v>
          </cell>
          <cell r="H148">
            <v>1.423524508910206E-2</v>
          </cell>
          <cell r="I148">
            <v>2.3969958102332493E-3</v>
          </cell>
        </row>
        <row r="149">
          <cell r="A149" t="str">
            <v>T_C-ICE-NGA-S3</v>
          </cell>
          <cell r="B149" t="str">
            <v>VAR_fout</v>
          </cell>
          <cell r="C149" t="str">
            <v>TPCAR</v>
          </cell>
          <cell r="H149">
            <v>1.2338934697113014E-4</v>
          </cell>
          <cell r="I149">
            <v>1.9088041006161948E-5</v>
          </cell>
        </row>
        <row r="150">
          <cell r="A150" t="str">
            <v>T_C-ICE-NGA-S3</v>
          </cell>
          <cell r="B150" t="str">
            <v>VAR_fin</v>
          </cell>
          <cell r="C150" t="str">
            <v>TNGA</v>
          </cell>
          <cell r="H150">
            <v>2.5239796257273166E-4</v>
          </cell>
          <cell r="I150">
            <v>4.2499925713355533E-5</v>
          </cell>
        </row>
        <row r="151">
          <cell r="A151" t="str">
            <v>T_C-ICE-NGA-S3</v>
          </cell>
          <cell r="B151" t="str">
            <v>VAR_ncap</v>
          </cell>
          <cell r="C151" t="str">
            <v>-</v>
          </cell>
        </row>
        <row r="152">
          <cell r="A152" t="str">
            <v>T_C-ICE-NGA-S3</v>
          </cell>
          <cell r="B152" t="str">
            <v>VAR_cap</v>
          </cell>
          <cell r="C152" t="str">
            <v>-</v>
          </cell>
          <cell r="H152">
            <v>8.7591172079009017E-6</v>
          </cell>
          <cell r="I152">
            <v>1.2267690953896685E-6</v>
          </cell>
        </row>
        <row r="153">
          <cell r="A153" t="str">
            <v>T_C-ICE-NGA-S4</v>
          </cell>
          <cell r="B153" t="str">
            <v>VAR_fout</v>
          </cell>
          <cell r="C153" t="str">
            <v>CO2_T</v>
          </cell>
          <cell r="H153">
            <v>1.1912511923340021E-2</v>
          </cell>
          <cell r="I153">
            <v>2.1286410886286701E-3</v>
          </cell>
        </row>
        <row r="154">
          <cell r="A154" t="str">
            <v>T_C-ICE-NGA-S4</v>
          </cell>
          <cell r="B154" t="str">
            <v>VAR_fout</v>
          </cell>
          <cell r="C154" t="str">
            <v>TPCAR</v>
          </cell>
          <cell r="H154">
            <v>1.0446883012971622E-4</v>
          </cell>
          <cell r="I154">
            <v>1.6473701553091333E-5</v>
          </cell>
        </row>
        <row r="155">
          <cell r="A155" t="str">
            <v>T_C-ICE-NGA-S4</v>
          </cell>
          <cell r="B155" t="str">
            <v>VAR_fin</v>
          </cell>
          <cell r="C155" t="str">
            <v>TNGA</v>
          </cell>
          <cell r="H155">
            <v>2.1121475041383029E-4</v>
          </cell>
          <cell r="I155">
            <v>3.7741863273557921E-5</v>
          </cell>
        </row>
        <row r="156">
          <cell r="A156" t="str">
            <v>T_C-ICE-NGA-S4</v>
          </cell>
          <cell r="B156" t="str">
            <v>VAR_ncap</v>
          </cell>
          <cell r="C156" t="str">
            <v>-</v>
          </cell>
        </row>
        <row r="157">
          <cell r="A157" t="str">
            <v>T_C-ICE-NGA-S4</v>
          </cell>
          <cell r="B157" t="str">
            <v>VAR_cap</v>
          </cell>
          <cell r="C157" t="str">
            <v>-</v>
          </cell>
          <cell r="H157">
            <v>8.7845184390740764E-6</v>
          </cell>
          <cell r="I157">
            <v>1.3288007959773622E-6</v>
          </cell>
        </row>
        <row r="158">
          <cell r="A158" t="str">
            <v>T_C-MHY-GSL-S1</v>
          </cell>
          <cell r="B158" t="str">
            <v>VAR_fout</v>
          </cell>
          <cell r="C158" t="str">
            <v>CO2_T</v>
          </cell>
          <cell r="H158">
            <v>6.0911126889106826E-2</v>
          </cell>
          <cell r="I158">
            <v>1.8144826229506569E-2</v>
          </cell>
        </row>
        <row r="159">
          <cell r="A159" t="str">
            <v>T_C-MHY-GSL-S1</v>
          </cell>
          <cell r="B159" t="str">
            <v>VAR_fout</v>
          </cell>
          <cell r="C159" t="str">
            <v>TPCAR</v>
          </cell>
          <cell r="H159">
            <v>4.7518899378961411E-4</v>
          </cell>
          <cell r="I159">
            <v>1.4721842145472237E-4</v>
          </cell>
        </row>
        <row r="160">
          <cell r="A160" t="str">
            <v>T_C-MHY-GSL-S1</v>
          </cell>
          <cell r="B160" t="str">
            <v>VAR_fin</v>
          </cell>
          <cell r="C160" t="str">
            <v>TGSL</v>
          </cell>
          <cell r="H160">
            <v>8.2535402288762608E-4</v>
          </cell>
          <cell r="I160">
            <v>2.4586485405835539E-4</v>
          </cell>
        </row>
        <row r="161">
          <cell r="A161" t="str">
            <v>T_C-MHY-GSL-S1</v>
          </cell>
          <cell r="B161" t="str">
            <v>VAR_ncap</v>
          </cell>
          <cell r="C161" t="str">
            <v>-</v>
          </cell>
        </row>
        <row r="162">
          <cell r="A162" t="str">
            <v>T_C-MHY-GSL-S1</v>
          </cell>
          <cell r="B162" t="str">
            <v>VAR_cap</v>
          </cell>
          <cell r="C162" t="str">
            <v>-</v>
          </cell>
          <cell r="H162">
            <v>6.7066020345468201E-5</v>
          </cell>
          <cell r="I162">
            <v>2.0655453196139699E-5</v>
          </cell>
        </row>
        <row r="163">
          <cell r="A163" t="str">
            <v>T_TRLY_ELC</v>
          </cell>
          <cell r="B163" t="str">
            <v>VAR_fout</v>
          </cell>
          <cell r="C163" t="str">
            <v>TPTRLY</v>
          </cell>
          <cell r="H163">
            <v>3.1140487340042711E-2</v>
          </cell>
          <cell r="I163">
            <v>3.2006602244411902E-2</v>
          </cell>
          <cell r="J163">
            <v>3.3071687199031169E-2</v>
          </cell>
        </row>
        <row r="164">
          <cell r="A164" t="str">
            <v>T_TRLY_ELC</v>
          </cell>
          <cell r="B164" t="str">
            <v>VAR_fin</v>
          </cell>
          <cell r="C164" t="str">
            <v>TELC</v>
          </cell>
          <cell r="H164">
            <v>0.45958965891661224</v>
          </cell>
          <cell r="I164">
            <v>0.47237229295618205</v>
          </cell>
          <cell r="J164">
            <v>0.48809144422268363</v>
          </cell>
        </row>
        <row r="165">
          <cell r="A165" t="str">
            <v>T_C-MHY-GSL-S2</v>
          </cell>
          <cell r="B165" t="str">
            <v>VAR_fout</v>
          </cell>
          <cell r="C165" t="str">
            <v>CO2_T</v>
          </cell>
          <cell r="H165">
            <v>6.2935925065593021E-2</v>
          </cell>
          <cell r="I165">
            <v>1.6554104752669579E-2</v>
          </cell>
        </row>
        <row r="166">
          <cell r="A166" t="str">
            <v>T_C-MHY-GSL-S2</v>
          </cell>
          <cell r="B166" t="str">
            <v>VAR_fout</v>
          </cell>
          <cell r="C166" t="str">
            <v>TPCAR</v>
          </cell>
          <cell r="H166">
            <v>3.9474849897953049E-4</v>
          </cell>
          <cell r="I166">
            <v>1.081315001910637E-4</v>
          </cell>
        </row>
        <row r="167">
          <cell r="A167" t="str">
            <v>T_C-MHY-GSL-S2</v>
          </cell>
          <cell r="B167" t="str">
            <v>VAR_fin</v>
          </cell>
          <cell r="C167" t="str">
            <v>TGSL</v>
          </cell>
          <cell r="H167">
            <v>8.5279031254191138E-4</v>
          </cell>
          <cell r="I167">
            <v>2.2431036250229725E-4</v>
          </cell>
        </row>
        <row r="168">
          <cell r="A168" t="str">
            <v>T_C-MHY-GSL-S2</v>
          </cell>
          <cell r="B168" t="str">
            <v>VAR_ncap</v>
          </cell>
          <cell r="C168" t="str">
            <v>-</v>
          </cell>
        </row>
        <row r="169">
          <cell r="A169" t="str">
            <v>T_C-MHY-GSL-S2</v>
          </cell>
          <cell r="B169" t="str">
            <v>VAR_cap</v>
          </cell>
          <cell r="C169" t="str">
            <v>-</v>
          </cell>
          <cell r="H169">
            <v>3.4887041401142998E-5</v>
          </cell>
          <cell r="I169">
            <v>9.7454558582446399E-6</v>
          </cell>
        </row>
        <row r="170">
          <cell r="A170" t="str">
            <v>T_C-MHY-DSL-S1</v>
          </cell>
          <cell r="B170" t="str">
            <v>VAR_fout</v>
          </cell>
          <cell r="C170" t="str">
            <v>CO2_T</v>
          </cell>
          <cell r="H170">
            <v>4.5459420197811726E-2</v>
          </cell>
          <cell r="I170">
            <v>1.3227342125518109E-2</v>
          </cell>
        </row>
        <row r="171">
          <cell r="A171" t="str">
            <v>T_C-MHY-DSL-S1</v>
          </cell>
          <cell r="B171" t="str">
            <v>VAR_fout</v>
          </cell>
          <cell r="C171" t="str">
            <v>TPCAR</v>
          </cell>
          <cell r="H171">
            <v>3.7955201598175863E-4</v>
          </cell>
          <cell r="I171">
            <v>1.1426895247454205E-4</v>
          </cell>
        </row>
        <row r="172">
          <cell r="A172" t="str">
            <v>T_C-MHY-DSL-S1</v>
          </cell>
          <cell r="B172" t="str">
            <v>VAR_fin</v>
          </cell>
          <cell r="C172" t="str">
            <v>TDSL</v>
          </cell>
          <cell r="H172">
            <v>6.2018308591830357E-4</v>
          </cell>
          <cell r="I172">
            <v>1.8045487210802374E-4</v>
          </cell>
        </row>
        <row r="173">
          <cell r="A173" t="str">
            <v>T_C-MHY-DSL-S1</v>
          </cell>
          <cell r="B173" t="str">
            <v>VAR_ncap</v>
          </cell>
          <cell r="C173" t="str">
            <v>-</v>
          </cell>
        </row>
        <row r="174">
          <cell r="A174" t="str">
            <v>T_C-MHY-DSL-S1</v>
          </cell>
          <cell r="B174" t="str">
            <v>VAR_cap</v>
          </cell>
          <cell r="C174" t="str">
            <v>-</v>
          </cell>
          <cell r="H174">
            <v>5.2843344485308201E-5</v>
          </cell>
          <cell r="I174">
            <v>1.5795874207116399E-5</v>
          </cell>
        </row>
        <row r="175">
          <cell r="A175" t="str">
            <v>T_C-MHY-GSL-S3</v>
          </cell>
          <cell r="B175" t="str">
            <v>VAR_fout</v>
          </cell>
          <cell r="C175" t="str">
            <v>CO2_T</v>
          </cell>
          <cell r="H175">
            <v>6.7929830698701274E-2</v>
          </cell>
          <cell r="I175">
            <v>1.644730023336766E-2</v>
          </cell>
        </row>
        <row r="176">
          <cell r="A176" t="str">
            <v>T_C-MHY-GSL-S3</v>
          </cell>
          <cell r="B176" t="str">
            <v>VAR_fout</v>
          </cell>
          <cell r="C176" t="str">
            <v>TPCAR</v>
          </cell>
          <cell r="H176">
            <v>3.9419095170387965E-4</v>
          </cell>
          <cell r="I176">
            <v>9.9712672790148364E-5</v>
          </cell>
        </row>
        <row r="177">
          <cell r="A177" t="str">
            <v>T_C-MHY-GSL-S3</v>
          </cell>
          <cell r="B177" t="str">
            <v>VAR_fin</v>
          </cell>
          <cell r="C177" t="str">
            <v>TGSL</v>
          </cell>
          <cell r="H177">
            <v>9.2045841055150813E-4</v>
          </cell>
          <cell r="I177">
            <v>2.2286314679359929E-4</v>
          </cell>
        </row>
        <row r="178">
          <cell r="A178" t="str">
            <v>T_C-MHY-GSL-S3</v>
          </cell>
          <cell r="B178" t="str">
            <v>VAR_ncap</v>
          </cell>
          <cell r="C178" t="str">
            <v>-</v>
          </cell>
        </row>
        <row r="179">
          <cell r="A179" t="str">
            <v>T_C-MHY-GSL-S3</v>
          </cell>
          <cell r="B179" t="str">
            <v>VAR_cap</v>
          </cell>
          <cell r="C179" t="str">
            <v>-</v>
          </cell>
          <cell r="H179">
            <v>3.0741021895649603E-5</v>
          </cell>
          <cell r="I179">
            <v>8.0273423004058405E-6</v>
          </cell>
        </row>
        <row r="180">
          <cell r="A180" t="str">
            <v>T_C-MHY-DSL-S2</v>
          </cell>
          <cell r="B180" t="str">
            <v>VAR_fout</v>
          </cell>
          <cell r="C180" t="str">
            <v>CO2_T</v>
          </cell>
          <cell r="H180">
            <v>4.7691066459039429E-2</v>
          </cell>
          <cell r="I180">
            <v>1.2500871046464411E-2</v>
          </cell>
        </row>
        <row r="181">
          <cell r="A181" t="str">
            <v>T_C-MHY-DSL-S2</v>
          </cell>
          <cell r="B181" t="str">
            <v>VAR_fout</v>
          </cell>
          <cell r="C181" t="str">
            <v>TPCAR</v>
          </cell>
          <cell r="H181">
            <v>3.2066558314964455E-4</v>
          </cell>
          <cell r="I181">
            <v>8.7061952902789741E-5</v>
          </cell>
        </row>
        <row r="182">
          <cell r="A182" t="str">
            <v>T_C-MHY-DSL-S2</v>
          </cell>
          <cell r="B182" t="str">
            <v>VAR_fin</v>
          </cell>
          <cell r="C182" t="str">
            <v>TDSL</v>
          </cell>
          <cell r="H182">
            <v>6.5062846465265293E-4</v>
          </cell>
          <cell r="I182">
            <v>1.7054394333512144E-4</v>
          </cell>
        </row>
        <row r="183">
          <cell r="A183" t="str">
            <v>T_C-MHY-DSL-S2</v>
          </cell>
          <cell r="B183" t="str">
            <v>VAR_ncap</v>
          </cell>
          <cell r="C183" t="str">
            <v>-</v>
          </cell>
        </row>
        <row r="184">
          <cell r="A184" t="str">
            <v>T_C-MHY-DSL-S2</v>
          </cell>
          <cell r="B184" t="str">
            <v>VAR_cap</v>
          </cell>
          <cell r="C184" t="str">
            <v>-</v>
          </cell>
          <cell r="H184">
            <v>2.7856210911379699E-5</v>
          </cell>
          <cell r="I184">
            <v>7.7146964192355301E-6</v>
          </cell>
        </row>
        <row r="185">
          <cell r="A185" t="str">
            <v>T_C-MHY-GSL-S4</v>
          </cell>
          <cell r="B185" t="str">
            <v>VAR_fout</v>
          </cell>
          <cell r="C185" t="str">
            <v>CO2_T</v>
          </cell>
          <cell r="H185">
            <v>8.1053556807749005E-2</v>
          </cell>
          <cell r="I185">
            <v>1.9354616686674452E-2</v>
          </cell>
        </row>
        <row r="186">
          <cell r="A186" t="str">
            <v>T_C-MHY-GSL-S4</v>
          </cell>
          <cell r="B186" t="str">
            <v>VAR_fout</v>
          </cell>
          <cell r="C186" t="str">
            <v>TPCAR</v>
          </cell>
          <cell r="H186">
            <v>4.746838720133168E-4</v>
          </cell>
          <cell r="I186">
            <v>1.1832179396812692E-4</v>
          </cell>
        </row>
        <row r="187">
          <cell r="A187" t="str">
            <v>T_C-MHY-GSL-S4</v>
          </cell>
          <cell r="B187" t="str">
            <v>VAR_fin</v>
          </cell>
          <cell r="C187" t="str">
            <v>TGSL</v>
          </cell>
          <cell r="H187">
            <v>1.0982866776117753E-3</v>
          </cell>
          <cell r="I187">
            <v>2.6225767868122597E-4</v>
          </cell>
        </row>
        <row r="188">
          <cell r="A188" t="str">
            <v>T_C-MHY-GSL-S4</v>
          </cell>
          <cell r="B188" t="str">
            <v>VAR_ncap</v>
          </cell>
          <cell r="C188" t="str">
            <v>-</v>
          </cell>
        </row>
        <row r="189">
          <cell r="A189" t="str">
            <v>T_C-MHY-GSL-S4</v>
          </cell>
          <cell r="B189" t="str">
            <v>VAR_cap</v>
          </cell>
          <cell r="C189" t="str">
            <v>-</v>
          </cell>
          <cell r="H189">
            <v>4.4097066788896897E-5</v>
          </cell>
          <cell r="I189">
            <v>1.1274871811038901E-5</v>
          </cell>
        </row>
        <row r="190">
          <cell r="A190" t="str">
            <v>T_C-MHY-DSL-S3</v>
          </cell>
          <cell r="B190" t="str">
            <v>VAR_fout</v>
          </cell>
          <cell r="C190" t="str">
            <v>CO2_T</v>
          </cell>
          <cell r="H190">
            <v>4.9562070387929362E-2</v>
          </cell>
          <cell r="I190">
            <v>1.217199595027609E-2</v>
          </cell>
        </row>
        <row r="191">
          <cell r="A191" t="str">
            <v>T_C-MHY-DSL-S3</v>
          </cell>
          <cell r="B191" t="str">
            <v>VAR_fout</v>
          </cell>
          <cell r="C191" t="str">
            <v>TPCAR</v>
          </cell>
          <cell r="H191">
            <v>3.0872933402235436E-4</v>
          </cell>
          <cell r="I191">
            <v>7.8747899181629271E-5</v>
          </cell>
        </row>
        <row r="192">
          <cell r="A192" t="str">
            <v>T_C-MHY-DSL-S3</v>
          </cell>
          <cell r="B192" t="str">
            <v>VAR_fin</v>
          </cell>
          <cell r="C192" t="str">
            <v>TDSL</v>
          </cell>
          <cell r="H192">
            <v>6.7615375699767253E-4</v>
          </cell>
          <cell r="I192">
            <v>1.6605724352354839E-4</v>
          </cell>
        </row>
        <row r="193">
          <cell r="A193" t="str">
            <v>T_C-MHY-DSL-S3</v>
          </cell>
          <cell r="B193" t="str">
            <v>VAR_ncap</v>
          </cell>
          <cell r="C193" t="str">
            <v>-</v>
          </cell>
        </row>
        <row r="194">
          <cell r="A194" t="str">
            <v>T_C-MHY-DSL-S3</v>
          </cell>
          <cell r="B194" t="str">
            <v>VAR_cap</v>
          </cell>
          <cell r="C194" t="str">
            <v>-</v>
          </cell>
          <cell r="H194">
            <v>2.3821984369964201E-5</v>
          </cell>
          <cell r="I194">
            <v>6.2156720815165998E-6</v>
          </cell>
        </row>
        <row r="195">
          <cell r="A195" t="str">
            <v>T_B_c-HYBDSL-S1</v>
          </cell>
          <cell r="B195" t="str">
            <v>VAR_fout</v>
          </cell>
          <cell r="C195" t="str">
            <v>CO2_T</v>
          </cell>
          <cell r="H195">
            <v>1.9533368544882102E-3</v>
          </cell>
          <cell r="I195">
            <v>3.60226488399006E-3</v>
          </cell>
          <cell r="J195">
            <v>1.7231344499032471E-3</v>
          </cell>
        </row>
        <row r="196">
          <cell r="A196" t="str">
            <v>T_B_c-HYBDSL-S1</v>
          </cell>
          <cell r="B196" t="str">
            <v>VAR_fout</v>
          </cell>
          <cell r="C196" t="str">
            <v>TPBSc</v>
          </cell>
          <cell r="H196">
            <v>5.1833030679495513E-6</v>
          </cell>
          <cell r="I196">
            <v>1.0057268861377288E-5</v>
          </cell>
          <cell r="J196">
            <v>4.7946989013938442E-6</v>
          </cell>
        </row>
        <row r="197">
          <cell r="A197" t="str">
            <v>T_B_c-HYBDSL-S1</v>
          </cell>
          <cell r="B197" t="str">
            <v>VAR_fin</v>
          </cell>
          <cell r="C197" t="str">
            <v>TDSL</v>
          </cell>
          <cell r="H197">
            <v>2.6648524617847377E-5</v>
          </cell>
          <cell r="I197">
            <v>4.9144132114461958E-5</v>
          </cell>
          <cell r="J197">
            <v>2.3507973395678602E-5</v>
          </cell>
        </row>
        <row r="198">
          <cell r="A198" t="str">
            <v>T_B_c-HYBDSL-S1</v>
          </cell>
          <cell r="B198" t="str">
            <v>VAR_ncap</v>
          </cell>
          <cell r="C198" t="str">
            <v>-</v>
          </cell>
          <cell r="H198">
            <v>1.1558116755637199E-7</v>
          </cell>
          <cell r="I198">
            <v>2.11500541288032E-7</v>
          </cell>
        </row>
        <row r="199">
          <cell r="A199" t="str">
            <v>T_B_c-HYBDSL-S1</v>
          </cell>
          <cell r="B199" t="str">
            <v>VAR_cap</v>
          </cell>
          <cell r="C199" t="str">
            <v>-</v>
          </cell>
          <cell r="H199">
            <v>1.2833070391292003E-7</v>
          </cell>
          <cell r="I199">
            <v>1.9093650185657297E-7</v>
          </cell>
          <cell r="J199">
            <v>1.26351821768003E-7</v>
          </cell>
        </row>
        <row r="200">
          <cell r="A200" t="str">
            <v>T_C-MHY-DSL-S4</v>
          </cell>
          <cell r="B200" t="str">
            <v>VAR_fout</v>
          </cell>
          <cell r="C200" t="str">
            <v>CO2_T</v>
          </cell>
          <cell r="H200">
            <v>3.648603030701298E-2</v>
          </cell>
          <cell r="I200">
            <v>9.1537233931644601E-3</v>
          </cell>
        </row>
        <row r="201">
          <cell r="A201" t="str">
            <v>T_C-MHY-DSL-S4</v>
          </cell>
          <cell r="B201" t="str">
            <v>VAR_fout</v>
          </cell>
          <cell r="C201" t="str">
            <v>TPCAR</v>
          </cell>
          <cell r="H201">
            <v>2.1574401509104777E-4</v>
          </cell>
          <cell r="I201">
            <v>5.6230128504522563E-5</v>
          </cell>
        </row>
        <row r="202">
          <cell r="A202" t="str">
            <v>T_C-MHY-DSL-S4</v>
          </cell>
          <cell r="B202" t="str">
            <v>VAR_fin</v>
          </cell>
          <cell r="C202" t="str">
            <v>TDSL</v>
          </cell>
          <cell r="H202">
            <v>4.977630328378297E-4</v>
          </cell>
          <cell r="I202">
            <v>1.2488026457250286E-4</v>
          </cell>
        </row>
        <row r="203">
          <cell r="A203" t="str">
            <v>T_C-MHY-DSL-S4</v>
          </cell>
          <cell r="B203" t="str">
            <v>VAR_ncap</v>
          </cell>
          <cell r="C203" t="str">
            <v>-</v>
          </cell>
        </row>
        <row r="204">
          <cell r="A204" t="str">
            <v>T_C-MHY-DSL-S4</v>
          </cell>
          <cell r="B204" t="str">
            <v>VAR_cap</v>
          </cell>
          <cell r="C204" t="str">
            <v>-</v>
          </cell>
          <cell r="H204">
            <v>1.9533892462127899E-5</v>
          </cell>
          <cell r="I204">
            <v>5.1682279985221603E-6</v>
          </cell>
        </row>
        <row r="205">
          <cell r="A205" t="str">
            <v>T_B_c-HYBDSL-S2</v>
          </cell>
          <cell r="B205" t="str">
            <v>VAR_fout</v>
          </cell>
          <cell r="C205" t="str">
            <v>CO2_T</v>
          </cell>
          <cell r="H205">
            <v>1.3026145674331401E-3</v>
          </cell>
          <cell r="I205">
            <v>4.4834573782815699E-3</v>
          </cell>
          <cell r="J205">
            <v>2.3550268167100599E-3</v>
          </cell>
        </row>
        <row r="206">
          <cell r="A206" t="str">
            <v>T_B_c-HYBDSL-S2</v>
          </cell>
          <cell r="B206" t="str">
            <v>VAR_fout</v>
          </cell>
          <cell r="C206" t="str">
            <v>TPBSc</v>
          </cell>
          <cell r="H206">
            <v>2.4772557067229723E-6</v>
          </cell>
          <cell r="I206">
            <v>8.9713266831544771E-6</v>
          </cell>
          <cell r="J206">
            <v>4.7123710872418726E-6</v>
          </cell>
        </row>
        <row r="207">
          <cell r="A207" t="str">
            <v>T_B_c-HYBDSL-S2</v>
          </cell>
          <cell r="B207" t="str">
            <v>VAR_fin</v>
          </cell>
          <cell r="C207" t="str">
            <v>TDSL</v>
          </cell>
          <cell r="H207">
            <v>1.7771003648473908E-5</v>
          </cell>
          <cell r="I207">
            <v>6.1165857821030966E-5</v>
          </cell>
          <cell r="J207">
            <v>3.2128605957845311E-5</v>
          </cell>
        </row>
        <row r="208">
          <cell r="A208" t="str">
            <v>T_B_c-HYBDSL-S2</v>
          </cell>
          <cell r="B208" t="str">
            <v>VAR_ncap</v>
          </cell>
          <cell r="C208" t="str">
            <v>-</v>
          </cell>
          <cell r="H208">
            <v>4.7454445131849303E-8</v>
          </cell>
          <cell r="I208">
            <v>1.77819413578546E-7</v>
          </cell>
        </row>
        <row r="209">
          <cell r="A209" t="str">
            <v>T_B_c-HYBDSL-S2</v>
          </cell>
          <cell r="B209" t="str">
            <v>VAR_cap</v>
          </cell>
          <cell r="C209" t="str">
            <v>-</v>
          </cell>
          <cell r="H209">
            <v>3.5167286980665013E-8</v>
          </cell>
          <cell r="I209">
            <v>1.4390014108926689E-7</v>
          </cell>
          <cell r="J209">
            <v>9.7505092433852395E-8</v>
          </cell>
        </row>
        <row r="210">
          <cell r="A210" t="str">
            <v>T_C-BATELCEXT</v>
          </cell>
          <cell r="B210" t="str">
            <v>VAR_fout</v>
          </cell>
          <cell r="C210" t="str">
            <v>TPCAR</v>
          </cell>
        </row>
        <row r="211">
          <cell r="A211" t="str">
            <v>T_C-BATELCEXT</v>
          </cell>
          <cell r="B211" t="str">
            <v>VAR_fin</v>
          </cell>
          <cell r="C211" t="str">
            <v>T-ELC-car</v>
          </cell>
        </row>
        <row r="212">
          <cell r="A212" t="str">
            <v>T_C-BATELCEXT</v>
          </cell>
          <cell r="B212" t="str">
            <v>VAR_cap</v>
          </cell>
          <cell r="C212" t="str">
            <v>-</v>
          </cell>
        </row>
        <row r="213">
          <cell r="A213" t="str">
            <v>D-TDSL</v>
          </cell>
          <cell r="B213" t="str">
            <v>VAR_fout</v>
          </cell>
          <cell r="C213" t="str">
            <v>CO2</v>
          </cell>
          <cell r="H213">
            <v>2386.3895544563202</v>
          </cell>
          <cell r="I213">
            <v>1080.14839328783</v>
          </cell>
          <cell r="J213">
            <v>96.868177031958496</v>
          </cell>
        </row>
        <row r="214">
          <cell r="A214" t="str">
            <v>D-TDSL</v>
          </cell>
          <cell r="B214" t="str">
            <v>VAR_fout</v>
          </cell>
          <cell r="C214" t="str">
            <v>TDSL</v>
          </cell>
          <cell r="H214">
            <v>32.078020786328899</v>
          </cell>
          <cell r="I214">
            <v>14.51943273364718</v>
          </cell>
          <cell r="J214">
            <v>1.3021090335240288</v>
          </cell>
        </row>
        <row r="215">
          <cell r="A215" t="str">
            <v>D-TDSL</v>
          </cell>
          <cell r="B215" t="str">
            <v>VAR_fin</v>
          </cell>
          <cell r="C215" t="str">
            <v>DSL</v>
          </cell>
          <cell r="H215">
            <v>32.556474139922429</v>
          </cell>
          <cell r="I215">
            <v>14.735994451402856</v>
          </cell>
          <cell r="J215">
            <v>1.3215303824278111</v>
          </cell>
        </row>
        <row r="216">
          <cell r="A216" t="str">
            <v>T_B_c-HYBDSL-S3</v>
          </cell>
          <cell r="B216" t="str">
            <v>VAR_fout</v>
          </cell>
          <cell r="C216" t="str">
            <v>CO2_T</v>
          </cell>
        </row>
        <row r="217">
          <cell r="A217" t="str">
            <v>T_B_c-HYBDSL-S3</v>
          </cell>
          <cell r="B217" t="str">
            <v>VAR_fout</v>
          </cell>
          <cell r="C217" t="str">
            <v>TPBSc</v>
          </cell>
        </row>
        <row r="218">
          <cell r="A218" t="str">
            <v>T_B_c-HYBDSL-S3</v>
          </cell>
          <cell r="B218" t="str">
            <v>VAR_fin</v>
          </cell>
          <cell r="C218" t="str">
            <v>TDSL</v>
          </cell>
        </row>
        <row r="219">
          <cell r="A219" t="str">
            <v>T_B_c-HYBDSL-S3</v>
          </cell>
          <cell r="B219" t="str">
            <v>VAR_ncap</v>
          </cell>
          <cell r="C219" t="str">
            <v>-</v>
          </cell>
        </row>
        <row r="220">
          <cell r="A220" t="str">
            <v>T_B_c-HYBDSL-S3</v>
          </cell>
          <cell r="B220" t="str">
            <v>VAR_cap</v>
          </cell>
          <cell r="C220" t="str">
            <v>-</v>
          </cell>
          <cell r="H220">
            <v>7.9386519831584016E-9</v>
          </cell>
          <cell r="I220">
            <v>-1.4963094929898101E-8</v>
          </cell>
        </row>
        <row r="221">
          <cell r="A221" t="str">
            <v>T-Bat-Car-STG_S1</v>
          </cell>
          <cell r="B221" t="str">
            <v>VAR_fout</v>
          </cell>
          <cell r="C221" t="str">
            <v>T-ELC-car-BatSTGAUXout_S1</v>
          </cell>
          <cell r="H221">
            <v>1.0048794573111433</v>
          </cell>
          <cell r="I221">
            <v>1.5497642500696636</v>
          </cell>
          <cell r="J221">
            <v>1.4751212264966722</v>
          </cell>
        </row>
        <row r="222">
          <cell r="A222" t="str">
            <v>T-Bat-Car-STG_S1</v>
          </cell>
          <cell r="B222" t="str">
            <v>VAR_fout</v>
          </cell>
          <cell r="C222" t="str">
            <v>T-ELC-car-BatSTGOut_S1</v>
          </cell>
          <cell r="H222">
            <v>1.0048794573111433</v>
          </cell>
          <cell r="I222">
            <v>1.5497642500696636</v>
          </cell>
          <cell r="J222">
            <v>1.4751212264966722</v>
          </cell>
        </row>
        <row r="223">
          <cell r="A223" t="str">
            <v>T-Bat-Car-STG_S1</v>
          </cell>
          <cell r="B223" t="str">
            <v>VAR_fin</v>
          </cell>
          <cell r="C223" t="str">
            <v>T-ELC-car-BatSTGAUXin_S1</v>
          </cell>
          <cell r="H223">
            <v>1.0050221536041839</v>
          </cell>
          <cell r="I223">
            <v>1.5499533019850977</v>
          </cell>
          <cell r="J223">
            <v>1.4752991863068756</v>
          </cell>
        </row>
        <row r="224">
          <cell r="A224" t="str">
            <v>T-Bat-Car-STG_S1</v>
          </cell>
          <cell r="B224" t="str">
            <v>VAR_fin</v>
          </cell>
          <cell r="C224" t="str">
            <v>T-ELC-car-BatSTGin_S1</v>
          </cell>
          <cell r="H224">
            <v>1.0050221536041839</v>
          </cell>
          <cell r="I224">
            <v>1.5499533019850977</v>
          </cell>
          <cell r="J224">
            <v>1.4752991863068756</v>
          </cell>
        </row>
        <row r="225">
          <cell r="A225" t="str">
            <v>T-Bat-Car-STG_S1</v>
          </cell>
          <cell r="B225" t="str">
            <v>VAR_ncap</v>
          </cell>
          <cell r="C225" t="str">
            <v>-</v>
          </cell>
          <cell r="H225">
            <v>15.3550944476663</v>
          </cell>
          <cell r="I225">
            <v>10.201117500384401</v>
          </cell>
          <cell r="J225">
            <v>19.858902744736699</v>
          </cell>
        </row>
        <row r="226">
          <cell r="A226" t="str">
            <v>T-Bat-Car-STG_S1</v>
          </cell>
          <cell r="B226" t="str">
            <v>VAR_cap</v>
          </cell>
          <cell r="C226" t="str">
            <v>-</v>
          </cell>
          <cell r="H226">
            <v>21.190121851675688</v>
          </cell>
          <cell r="I226">
            <v>25.898232153860377</v>
          </cell>
          <cell r="J226">
            <v>25.921132588902115</v>
          </cell>
        </row>
        <row r="227">
          <cell r="A227" t="str">
            <v>T_B_c-HYBDSL-S4</v>
          </cell>
          <cell r="B227" t="str">
            <v>VAR_fout</v>
          </cell>
          <cell r="C227" t="str">
            <v>CO2_T</v>
          </cell>
        </row>
        <row r="228">
          <cell r="A228" t="str">
            <v>T_B_c-HYBDSL-S4</v>
          </cell>
          <cell r="B228" t="str">
            <v>VAR_fout</v>
          </cell>
          <cell r="C228" t="str">
            <v>TPBSc</v>
          </cell>
        </row>
        <row r="229">
          <cell r="A229" t="str">
            <v>T_B_c-HYBDSL-S4</v>
          </cell>
          <cell r="B229" t="str">
            <v>VAR_fin</v>
          </cell>
          <cell r="C229" t="str">
            <v>TDSL</v>
          </cell>
        </row>
        <row r="230">
          <cell r="A230" t="str">
            <v>T_B_c-HYBDSL-S4</v>
          </cell>
          <cell r="B230" t="str">
            <v>VAR_ncap</v>
          </cell>
          <cell r="C230" t="str">
            <v>-</v>
          </cell>
        </row>
        <row r="231">
          <cell r="A231" t="str">
            <v>T_B_c-HYBDSL-S4</v>
          </cell>
          <cell r="B231" t="str">
            <v>VAR_cap</v>
          </cell>
          <cell r="C231" t="str">
            <v>-</v>
          </cell>
          <cell r="H231">
            <v>-5.0638031877603301E-9</v>
          </cell>
          <cell r="I231">
            <v>-2.0588413640393501E-8</v>
          </cell>
        </row>
        <row r="232">
          <cell r="A232" t="str">
            <v>TFHGV-ICEDSLExt</v>
          </cell>
          <cell r="B232" t="str">
            <v>VAR_fout</v>
          </cell>
          <cell r="C232" t="str">
            <v>CO2_T</v>
          </cell>
        </row>
        <row r="233">
          <cell r="A233" t="str">
            <v>TFHGV-ICEDSLExt</v>
          </cell>
          <cell r="B233" t="str">
            <v>VAR_fout</v>
          </cell>
          <cell r="C233" t="str">
            <v>TFHGV</v>
          </cell>
        </row>
        <row r="234">
          <cell r="A234" t="str">
            <v>TFHGV-ICEDSLExt</v>
          </cell>
          <cell r="B234" t="str">
            <v>VAR_fin</v>
          </cell>
          <cell r="C234" t="str">
            <v>TDSL</v>
          </cell>
        </row>
        <row r="235">
          <cell r="A235" t="str">
            <v>TFHGV-ICEDSLExt</v>
          </cell>
          <cell r="B235" t="str">
            <v>VAR_cap</v>
          </cell>
          <cell r="C235" t="str">
            <v>-</v>
          </cell>
        </row>
        <row r="236">
          <cell r="A236" t="str">
            <v>TPSHPGSLEXT</v>
          </cell>
          <cell r="B236" t="str">
            <v>VAR_fout</v>
          </cell>
          <cell r="C236" t="str">
            <v>TPSHP</v>
          </cell>
          <cell r="H236">
            <v>2.7025408790251799E-2</v>
          </cell>
          <cell r="I236">
            <v>0.12383596952534701</v>
          </cell>
        </row>
        <row r="237">
          <cell r="A237" t="str">
            <v>TPSHPGSLEXT</v>
          </cell>
          <cell r="B237" t="str">
            <v>VAR_fout</v>
          </cell>
          <cell r="C237" t="str">
            <v>CO2_T</v>
          </cell>
          <cell r="H237">
            <v>2.2004061913300399</v>
          </cell>
          <cell r="I237">
            <v>10.082712759972001</v>
          </cell>
        </row>
        <row r="238">
          <cell r="A238" t="str">
            <v>TPSHPGSLEXT</v>
          </cell>
          <cell r="B238" t="str">
            <v>VAR_fin</v>
          </cell>
          <cell r="C238" t="str">
            <v>TGSL</v>
          </cell>
          <cell r="H238">
            <v>2.9815802050542621E-2</v>
          </cell>
          <cell r="I238">
            <v>0.13662212411886174</v>
          </cell>
        </row>
        <row r="239">
          <cell r="A239" t="str">
            <v>TPSHPGSLEXT</v>
          </cell>
          <cell r="B239" t="str">
            <v>VAR_ncap</v>
          </cell>
          <cell r="C239" t="str">
            <v>-</v>
          </cell>
          <cell r="H239">
            <v>1.44785026154395E-5</v>
          </cell>
          <cell r="I239">
            <v>0.11434883165559299</v>
          </cell>
          <cell r="J239">
            <v>2.10924440461789E-6</v>
          </cell>
        </row>
        <row r="240">
          <cell r="A240" t="str">
            <v>TPSHPGSLEXT</v>
          </cell>
          <cell r="B240" t="str">
            <v>VAR_cap</v>
          </cell>
          <cell r="C240" t="str">
            <v>-</v>
          </cell>
          <cell r="H240">
            <v>2.7019902689939812E-2</v>
          </cell>
          <cell r="I240">
            <v>0.12380999710912099</v>
          </cell>
          <cell r="J240">
            <v>7.6996815940033603E-6</v>
          </cell>
        </row>
        <row r="241">
          <cell r="A241" t="str">
            <v>T-Bat-Car-STG_S2</v>
          </cell>
          <cell r="B241" t="str">
            <v>VAR_fout</v>
          </cell>
          <cell r="C241" t="str">
            <v>T-ELC-car-BatSTGAUXout_S2</v>
          </cell>
          <cell r="H241">
            <v>10.554568030985484</v>
          </cell>
          <cell r="I241">
            <v>11.799252350484675</v>
          </cell>
          <cell r="J241">
            <v>10.624522272370836</v>
          </cell>
        </row>
        <row r="242">
          <cell r="A242" t="str">
            <v>T-Bat-Car-STG_S2</v>
          </cell>
          <cell r="B242" t="str">
            <v>VAR_fout</v>
          </cell>
          <cell r="C242" t="str">
            <v>T-ELC-car-BatSTGOut_S2</v>
          </cell>
          <cell r="H242">
            <v>10.554568030985482</v>
          </cell>
          <cell r="I242">
            <v>11.799252350484675</v>
          </cell>
          <cell r="J242">
            <v>10.624522272370836</v>
          </cell>
        </row>
        <row r="243">
          <cell r="A243" t="str">
            <v>T-Bat-Car-STG_S2</v>
          </cell>
          <cell r="B243" t="str">
            <v>VAR_fin</v>
          </cell>
          <cell r="C243" t="str">
            <v>T-ELC-car-BatSTGAUXin_S2</v>
          </cell>
          <cell r="H243">
            <v>10.555660134546644</v>
          </cell>
          <cell r="I243">
            <v>11.800464107718076</v>
          </cell>
          <cell r="J243">
            <v>10.625612502863261</v>
          </cell>
        </row>
        <row r="244">
          <cell r="A244" t="str">
            <v>T-Bat-Car-STG_S2</v>
          </cell>
          <cell r="B244" t="str">
            <v>VAR_fin</v>
          </cell>
          <cell r="C244" t="str">
            <v>T-ELC-car-BatSTGin_S2</v>
          </cell>
          <cell r="H244">
            <v>10.555660134546644</v>
          </cell>
          <cell r="I244">
            <v>11.800464107718076</v>
          </cell>
          <cell r="J244">
            <v>10.625612502863261</v>
          </cell>
        </row>
        <row r="245">
          <cell r="A245" t="str">
            <v>T-Bat-Car-STG_S2</v>
          </cell>
          <cell r="B245" t="str">
            <v>VAR_ncap</v>
          </cell>
          <cell r="C245" t="str">
            <v>-</v>
          </cell>
          <cell r="H245">
            <v>164.045836881513</v>
          </cell>
          <cell r="I245">
            <v>83.692090189784807</v>
          </cell>
          <cell r="J245">
            <v>178.527219839428</v>
          </cell>
        </row>
        <row r="246">
          <cell r="A246" t="str">
            <v>T-Bat-Car-STG_S2</v>
          </cell>
          <cell r="B246" t="str">
            <v>VAR_cap</v>
          </cell>
          <cell r="C246" t="str">
            <v>-</v>
          </cell>
          <cell r="H246">
            <v>224.48499022013436</v>
          </cell>
          <cell r="I246">
            <v>251.08033063685951</v>
          </cell>
          <cell r="J246">
            <v>235.2143660330741</v>
          </cell>
        </row>
        <row r="247">
          <cell r="A247" t="str">
            <v>T_TW-ICEGSL-S1</v>
          </cell>
          <cell r="B247" t="str">
            <v>VAR_fout</v>
          </cell>
          <cell r="C247" t="str">
            <v>CO2_T</v>
          </cell>
          <cell r="H247">
            <v>63.300438387293539</v>
          </cell>
          <cell r="I247">
            <v>32.720963684600164</v>
          </cell>
          <cell r="J247">
            <v>34.989212258458615</v>
          </cell>
        </row>
        <row r="248">
          <cell r="A248" t="str">
            <v>T_TW-ICEGSL-S1</v>
          </cell>
          <cell r="B248" t="str">
            <v>VAR_fout</v>
          </cell>
          <cell r="C248" t="str">
            <v>TPTWL</v>
          </cell>
          <cell r="H248">
            <v>1.7339716335607829</v>
          </cell>
          <cell r="I248">
            <v>0.90432417511928642</v>
          </cell>
          <cell r="J248">
            <v>1.0276581667648204</v>
          </cell>
        </row>
        <row r="249">
          <cell r="A249" t="str">
            <v>T_TW-ICEGSL-S1</v>
          </cell>
          <cell r="B249" t="str">
            <v>VAR_fin</v>
          </cell>
          <cell r="C249" t="str">
            <v>TGSL</v>
          </cell>
          <cell r="H249">
            <v>0.85772951744300152</v>
          </cell>
          <cell r="I249">
            <v>0.44337349166124868</v>
          </cell>
          <cell r="J249">
            <v>0.4741085671877866</v>
          </cell>
        </row>
        <row r="250">
          <cell r="A250" t="str">
            <v>T_TW-ICEGSL-S1</v>
          </cell>
          <cell r="B250" t="str">
            <v>VAR_ncap</v>
          </cell>
          <cell r="C250" t="str">
            <v>-</v>
          </cell>
          <cell r="H250">
            <v>0.38228143207128901</v>
          </cell>
          <cell r="I250">
            <v>1.23517034939243E-3</v>
          </cell>
          <cell r="J250">
            <v>0.427427045085083</v>
          </cell>
        </row>
        <row r="251">
          <cell r="A251" t="str">
            <v>T_TW-ICEGSL-S1</v>
          </cell>
          <cell r="B251" t="str">
            <v>VAR_cap</v>
          </cell>
          <cell r="C251" t="str">
            <v>-</v>
          </cell>
          <cell r="H251">
            <v>0.71566864907672101</v>
          </cell>
          <cell r="I251">
            <v>0.43215044129104202</v>
          </cell>
          <cell r="J251">
            <v>0.49513230630530991</v>
          </cell>
        </row>
        <row r="252">
          <cell r="A252" t="str">
            <v>TPSHPDSLEXT</v>
          </cell>
          <cell r="B252" t="str">
            <v>VAR_fout</v>
          </cell>
          <cell r="C252" t="str">
            <v>TPSHP</v>
          </cell>
          <cell r="H252">
            <v>13.1686515038741</v>
          </cell>
          <cell r="I252">
            <v>7.3219698246591403</v>
          </cell>
          <cell r="J252">
            <v>2.0188781538840401</v>
          </cell>
        </row>
        <row r="253">
          <cell r="A253" t="str">
            <v>TPSHPDSLEXT</v>
          </cell>
          <cell r="B253" t="str">
            <v>VAR_fout</v>
          </cell>
          <cell r="C253" t="str">
            <v>CO2_T</v>
          </cell>
          <cell r="H253">
            <v>976.71928720337803</v>
          </cell>
          <cell r="I253">
            <v>543.07072717064705</v>
          </cell>
          <cell r="J253">
            <v>149.740254788578</v>
          </cell>
        </row>
        <row r="254">
          <cell r="A254" t="str">
            <v>TPSHPDSLEXT</v>
          </cell>
          <cell r="B254" t="str">
            <v>VAR_fin</v>
          </cell>
          <cell r="C254" t="str">
            <v>TDSL</v>
          </cell>
          <cell r="H254">
            <v>13.324956169213927</v>
          </cell>
          <cell r="I254">
            <v>7.4088775875941382</v>
          </cell>
          <cell r="J254">
            <v>2.0428411294485418</v>
          </cell>
        </row>
        <row r="255">
          <cell r="A255" t="str">
            <v>TPSHPDSLEXT</v>
          </cell>
          <cell r="B255" t="str">
            <v>VAR_ncap</v>
          </cell>
          <cell r="C255" t="str">
            <v>-</v>
          </cell>
          <cell r="H255">
            <v>2.2668291481218899E-5</v>
          </cell>
          <cell r="I255">
            <v>2.7139167794728798</v>
          </cell>
          <cell r="J255">
            <v>6.17010997425569E-6</v>
          </cell>
        </row>
        <row r="256">
          <cell r="A256" t="str">
            <v>TPSHPDSLEXT</v>
          </cell>
          <cell r="B256" t="str">
            <v>VAR_cap</v>
          </cell>
          <cell r="C256" t="str">
            <v>-</v>
          </cell>
          <cell r="H256">
            <v>13.168645459162324</v>
          </cell>
          <cell r="I256">
            <v>7.3219514808443291</v>
          </cell>
          <cell r="J256">
            <v>2.018860519706025</v>
          </cell>
        </row>
        <row r="257">
          <cell r="A257" t="str">
            <v>T-Bat-Car-STG_S3</v>
          </cell>
          <cell r="B257" t="str">
            <v>VAR_fout</v>
          </cell>
          <cell r="C257" t="str">
            <v>T-ELC-car-BatSTGAUXout_S3</v>
          </cell>
          <cell r="H257">
            <v>0.63470786797976753</v>
          </cell>
          <cell r="I257">
            <v>6.2674141220684128</v>
          </cell>
          <cell r="J257">
            <v>9.2497826054224497</v>
          </cell>
        </row>
        <row r="258">
          <cell r="A258" t="str">
            <v>T-Bat-Car-STG_S3</v>
          </cell>
          <cell r="B258" t="str">
            <v>VAR_fout</v>
          </cell>
          <cell r="C258" t="str">
            <v>T-ELC-car-BatSTGOut_S3</v>
          </cell>
          <cell r="H258">
            <v>0.6347078679797673</v>
          </cell>
          <cell r="I258">
            <v>6.2674141220684119</v>
          </cell>
          <cell r="J258">
            <v>9.2497826054224497</v>
          </cell>
        </row>
        <row r="259">
          <cell r="A259" t="str">
            <v>T-Bat-Car-STG_S3</v>
          </cell>
          <cell r="B259" t="str">
            <v>VAR_fin</v>
          </cell>
          <cell r="C259" t="str">
            <v>T-ELC-car-BatSTGAUXin_S3</v>
          </cell>
          <cell r="H259">
            <v>0.63480786825039792</v>
          </cell>
          <cell r="I259">
            <v>6.268070204181087</v>
          </cell>
          <cell r="J259">
            <v>9.2507352265277447</v>
          </cell>
        </row>
        <row r="260">
          <cell r="A260" t="str">
            <v>T-Bat-Car-STG_S3</v>
          </cell>
          <cell r="B260" t="str">
            <v>VAR_fin</v>
          </cell>
          <cell r="C260" t="str">
            <v>T-ELC-car-BatSTGin_S3</v>
          </cell>
          <cell r="H260">
            <v>0.63480786825039792</v>
          </cell>
          <cell r="I260">
            <v>6.268070204181087</v>
          </cell>
          <cell r="J260">
            <v>9.2507352265277447</v>
          </cell>
        </row>
        <row r="261">
          <cell r="A261" t="str">
            <v>T-Bat-Car-STG_S3</v>
          </cell>
          <cell r="B261" t="str">
            <v>VAR_ncap</v>
          </cell>
          <cell r="C261" t="str">
            <v>-</v>
          </cell>
          <cell r="H261">
            <v>8.5375097196589103</v>
          </cell>
          <cell r="I261">
            <v>88.761383306402294</v>
          </cell>
          <cell r="J261">
            <v>111.01201861728801</v>
          </cell>
        </row>
        <row r="262">
          <cell r="A262" t="str">
            <v>T-Bat-Car-STG_S3</v>
          </cell>
          <cell r="B262" t="str">
            <v>VAR_cap</v>
          </cell>
          <cell r="C262" t="str">
            <v>-</v>
          </cell>
          <cell r="H262">
            <v>9.1515699478670669</v>
          </cell>
          <cell r="I262">
            <v>92.593220791159297</v>
          </cell>
          <cell r="J262">
            <v>141.64835489354169</v>
          </cell>
        </row>
        <row r="263">
          <cell r="A263" t="str">
            <v>T_TW-ICEGSL-S2</v>
          </cell>
          <cell r="B263" t="str">
            <v>VAR_fout</v>
          </cell>
          <cell r="C263" t="str">
            <v>CO2_T</v>
          </cell>
          <cell r="H263">
            <v>0.7676531334119403</v>
          </cell>
          <cell r="I263">
            <v>4.2741044785628984E-2</v>
          </cell>
          <cell r="J263">
            <v>2.5980275666352561E-2</v>
          </cell>
        </row>
        <row r="264">
          <cell r="A264" t="str">
            <v>T_TW-ICEGSL-S2</v>
          </cell>
          <cell r="B264" t="str">
            <v>VAR_fout</v>
          </cell>
          <cell r="C264" t="str">
            <v>TPTWL</v>
          </cell>
          <cell r="H264">
            <v>1.1559165233892098E-2</v>
          </cell>
          <cell r="I264">
            <v>6.8399364317477725E-4</v>
          </cell>
          <cell r="J264">
            <v>4.2883497266669985E-4</v>
          </cell>
        </row>
        <row r="265">
          <cell r="A265" t="str">
            <v>T_TW-ICEGSL-S2</v>
          </cell>
          <cell r="B265" t="str">
            <v>VAR_fin</v>
          </cell>
          <cell r="C265" t="str">
            <v>TGSL</v>
          </cell>
          <cell r="H265">
            <v>1.0401803975771564E-2</v>
          </cell>
          <cell r="I265">
            <v>5.7914694831475691E-4</v>
          </cell>
          <cell r="J265">
            <v>3.5203625564163429E-4</v>
          </cell>
        </row>
        <row r="266">
          <cell r="A266" t="str">
            <v>T_TW-ICEGSL-S2</v>
          </cell>
          <cell r="B266" t="str">
            <v>VAR_ncap</v>
          </cell>
          <cell r="C266" t="str">
            <v>-</v>
          </cell>
          <cell r="H266">
            <v>1.3469149350573301E-4</v>
          </cell>
          <cell r="I266">
            <v>9.0327307210232098E-5</v>
          </cell>
          <cell r="J266">
            <v>7.0886429579626196E-5</v>
          </cell>
        </row>
        <row r="267">
          <cell r="A267" t="str">
            <v>T_TW-ICEGSL-S2</v>
          </cell>
          <cell r="B267" t="str">
            <v>VAR_cap</v>
          </cell>
          <cell r="C267" t="str">
            <v>-</v>
          </cell>
          <cell r="H267">
            <v>5.3519117113865304E-3</v>
          </cell>
          <cell r="I267">
            <v>2.8422430342513812E-4</v>
          </cell>
          <cell r="J267">
            <v>1.7585493457264529E-4</v>
          </cell>
        </row>
        <row r="268">
          <cell r="A268" t="str">
            <v>T-Bat-Car-STG_S4</v>
          </cell>
          <cell r="B268" t="str">
            <v>VAR_fout</v>
          </cell>
          <cell r="C268" t="str">
            <v>T-ELC-car-BatSTGAUXout_S4</v>
          </cell>
          <cell r="H268">
            <v>16.137658143171009</v>
          </cell>
          <cell r="I268">
            <v>16.702027041787971</v>
          </cell>
          <cell r="J268">
            <v>15.54971950302942</v>
          </cell>
        </row>
        <row r="269">
          <cell r="A269" t="str">
            <v>T-Bat-Car-STG_S4</v>
          </cell>
          <cell r="B269" t="str">
            <v>VAR_fout</v>
          </cell>
          <cell r="C269" t="str">
            <v>T-ELC-car-BatSTGOut_S4</v>
          </cell>
          <cell r="H269">
            <v>16.137658143171009</v>
          </cell>
          <cell r="I269">
            <v>16.702027041787964</v>
          </cell>
          <cell r="J269">
            <v>15.549719503029413</v>
          </cell>
        </row>
        <row r="270">
          <cell r="A270" t="str">
            <v>T-Bat-Car-STG_S4</v>
          </cell>
          <cell r="B270" t="str">
            <v>VAR_fin</v>
          </cell>
          <cell r="C270" t="str">
            <v>T-ELC-car-BatSTGAUXin_S4</v>
          </cell>
          <cell r="H270">
            <v>16.139308570948614</v>
          </cell>
          <cell r="I270">
            <v>16.703725011335614</v>
          </cell>
          <cell r="J270">
            <v>15.551301305569686</v>
          </cell>
        </row>
        <row r="271">
          <cell r="A271" t="str">
            <v>T-Bat-Car-STG_S4</v>
          </cell>
          <cell r="B271" t="str">
            <v>VAR_fin</v>
          </cell>
          <cell r="C271" t="str">
            <v>T-ELC-car-BatSTGin_S4</v>
          </cell>
          <cell r="H271">
            <v>16.139308570948614</v>
          </cell>
          <cell r="I271">
            <v>16.703725011335614</v>
          </cell>
          <cell r="J271">
            <v>15.551301305569686</v>
          </cell>
        </row>
        <row r="272">
          <cell r="A272" t="str">
            <v>T-Bat-Car-STG_S4</v>
          </cell>
          <cell r="B272" t="str">
            <v>VAR_ncap</v>
          </cell>
          <cell r="C272" t="str">
            <v>-</v>
          </cell>
          <cell r="H272">
            <v>131.956283305537</v>
          </cell>
          <cell r="I272">
            <v>106.345972350145</v>
          </cell>
          <cell r="J272">
            <v>277.089540951007</v>
          </cell>
        </row>
        <row r="273">
          <cell r="A273" t="str">
            <v>T-Bat-Car-STG_S4</v>
          </cell>
          <cell r="B273" t="str">
            <v>VAR_cap</v>
          </cell>
          <cell r="C273" t="str">
            <v>-</v>
          </cell>
          <cell r="H273">
            <v>255.16771999522533</v>
          </cell>
          <cell r="I273">
            <v>265.63559646250638</v>
          </cell>
          <cell r="J273">
            <v>322.87605238220937</v>
          </cell>
        </row>
        <row r="274">
          <cell r="A274" t="str">
            <v>T_TW-ICEGSL-S3</v>
          </cell>
          <cell r="B274" t="str">
            <v>VAR_fout</v>
          </cell>
          <cell r="C274" t="str">
            <v>CO2_T</v>
          </cell>
          <cell r="H274">
            <v>0.96995451946679434</v>
          </cell>
          <cell r="I274">
            <v>0.16059034956192031</v>
          </cell>
          <cell r="J274">
            <v>2.526424970467591E-2</v>
          </cell>
        </row>
        <row r="275">
          <cell r="A275" t="str">
            <v>T_TW-ICEGSL-S3</v>
          </cell>
          <cell r="B275" t="str">
            <v>VAR_fout</v>
          </cell>
          <cell r="C275" t="str">
            <v>TPTWL</v>
          </cell>
          <cell r="H275">
            <v>9.6238367224194959E-3</v>
          </cell>
          <cell r="I275">
            <v>1.6110923872187297E-3</v>
          </cell>
          <cell r="J275">
            <v>2.7257767236332271E-4</v>
          </cell>
        </row>
        <row r="276">
          <cell r="A276" t="str">
            <v>T_TW-ICEGSL-S3</v>
          </cell>
          <cell r="B276" t="str">
            <v>VAR_fin</v>
          </cell>
          <cell r="C276" t="str">
            <v>TGSL</v>
          </cell>
          <cell r="H276">
            <v>1.3143015168926764E-2</v>
          </cell>
          <cell r="I276">
            <v>2.1760209967739831E-3</v>
          </cell>
          <cell r="J276">
            <v>3.4233400683842682E-4</v>
          </cell>
        </row>
        <row r="277">
          <cell r="A277" t="str">
            <v>T_TW-ICEGSL-S3</v>
          </cell>
          <cell r="B277" t="str">
            <v>VAR_ncap</v>
          </cell>
          <cell r="C277" t="str">
            <v>-</v>
          </cell>
          <cell r="H277">
            <v>4.3416989750420401E-5</v>
          </cell>
          <cell r="I277">
            <v>3.2345826771804803E-5</v>
          </cell>
          <cell r="J277">
            <v>3.0396004248558799E-5</v>
          </cell>
        </row>
        <row r="278">
          <cell r="A278" t="str">
            <v>T_TW-ICEGSL-S3</v>
          </cell>
          <cell r="B278" t="str">
            <v>VAR_cap</v>
          </cell>
          <cell r="C278" t="str">
            <v>-</v>
          </cell>
          <cell r="H278">
            <v>4.4283484948989468E-3</v>
          </cell>
          <cell r="I278">
            <v>7.0787197012785359E-4</v>
          </cell>
          <cell r="J278">
            <v>1.0934868723502062E-4</v>
          </cell>
        </row>
        <row r="279">
          <cell r="A279" t="str">
            <v>T_C-ICEGSLEXT</v>
          </cell>
          <cell r="B279" t="str">
            <v>VAR_fout</v>
          </cell>
          <cell r="C279" t="str">
            <v>CO2_T</v>
          </cell>
        </row>
        <row r="280">
          <cell r="A280" t="str">
            <v>T_C-ICEGSLEXT</v>
          </cell>
          <cell r="B280" t="str">
            <v>VAR_fout</v>
          </cell>
          <cell r="C280" t="str">
            <v>TPCAR</v>
          </cell>
        </row>
        <row r="281">
          <cell r="A281" t="str">
            <v>T_C-ICEGSLEXT</v>
          </cell>
          <cell r="B281" t="str">
            <v>VAR_fin</v>
          </cell>
          <cell r="C281" t="str">
            <v>TGSL</v>
          </cell>
        </row>
        <row r="282">
          <cell r="A282" t="str">
            <v>T_C-ICEGSLEXT</v>
          </cell>
          <cell r="B282" t="str">
            <v>VAR_cap</v>
          </cell>
          <cell r="C282" t="str">
            <v>-</v>
          </cell>
        </row>
        <row r="283">
          <cell r="A283" t="str">
            <v>T_TW-ICEGSL-S4</v>
          </cell>
          <cell r="B283" t="str">
            <v>VAR_fout</v>
          </cell>
          <cell r="C283" t="str">
            <v>CO2_T</v>
          </cell>
          <cell r="H283">
            <v>0.31389925285335268</v>
          </cell>
          <cell r="I283">
            <v>0.25172112098399224</v>
          </cell>
          <cell r="J283">
            <v>4.5585205750043496E-2</v>
          </cell>
        </row>
        <row r="284">
          <cell r="A284" t="str">
            <v>T_TW-ICEGSL-S4</v>
          </cell>
          <cell r="B284" t="str">
            <v>VAR_fout</v>
          </cell>
          <cell r="C284" t="str">
            <v>TPTWL</v>
          </cell>
          <cell r="H284">
            <v>2.887093171073388E-3</v>
          </cell>
          <cell r="I284">
            <v>2.3204554434135853E-3</v>
          </cell>
          <cell r="J284">
            <v>4.3326280999780035E-4</v>
          </cell>
        </row>
        <row r="285">
          <cell r="A285" t="str">
            <v>T_TW-ICEGSL-S4</v>
          </cell>
          <cell r="B285" t="str">
            <v>VAR_fin</v>
          </cell>
          <cell r="C285" t="str">
            <v>TGSL</v>
          </cell>
          <cell r="H285">
            <v>4.2533774099370427E-3</v>
          </cell>
          <cell r="I285">
            <v>3.4108552978860773E-3</v>
          </cell>
          <cell r="J285">
            <v>6.1768571477023744E-4</v>
          </cell>
        </row>
        <row r="286">
          <cell r="A286" t="str">
            <v>T_TW-ICEGSL-S4</v>
          </cell>
          <cell r="B286" t="str">
            <v>VAR_ncap</v>
          </cell>
          <cell r="C286" t="str">
            <v>-</v>
          </cell>
          <cell r="H286">
            <v>2.14076547906734E-5</v>
          </cell>
          <cell r="I286">
            <v>1.8223070789956401E-5</v>
          </cell>
          <cell r="J286">
            <v>1.6390636863998801E-5</v>
          </cell>
        </row>
        <row r="287">
          <cell r="A287" t="str">
            <v>T_TW-ICEGSL-S4</v>
          </cell>
          <cell r="B287" t="str">
            <v>VAR_cap</v>
          </cell>
          <cell r="C287" t="str">
            <v>-</v>
          </cell>
          <cell r="H287">
            <v>1.2304848428495996E-3</v>
          </cell>
          <cell r="I287">
            <v>1.0341909795393497E-3</v>
          </cell>
          <cell r="J287">
            <v>1.759622289286833E-4</v>
          </cell>
        </row>
        <row r="288">
          <cell r="A288" t="str">
            <v>T_C-ICEDSLEXT</v>
          </cell>
          <cell r="B288" t="str">
            <v>VAR_fout</v>
          </cell>
          <cell r="C288" t="str">
            <v>CO2_T</v>
          </cell>
        </row>
        <row r="289">
          <cell r="A289" t="str">
            <v>T_C-ICEDSLEXT</v>
          </cell>
          <cell r="B289" t="str">
            <v>VAR_fout</v>
          </cell>
          <cell r="C289" t="str">
            <v>TPCAR</v>
          </cell>
        </row>
        <row r="290">
          <cell r="A290" t="str">
            <v>T_C-ICEDSLEXT</v>
          </cell>
          <cell r="B290" t="str">
            <v>VAR_fin</v>
          </cell>
          <cell r="C290" t="str">
            <v>TDSL</v>
          </cell>
        </row>
        <row r="291">
          <cell r="A291" t="str">
            <v>T_C-ICEDSLEXT</v>
          </cell>
          <cell r="B291" t="str">
            <v>VAR_cap</v>
          </cell>
          <cell r="C291" t="str">
            <v>-</v>
          </cell>
        </row>
        <row r="292">
          <cell r="A292" t="str">
            <v>T-Plg-ELC-GSL_S1</v>
          </cell>
          <cell r="B292" t="str">
            <v>VAR_fout</v>
          </cell>
          <cell r="C292" t="str">
            <v>T-PEVmix-ELC_GSL_S1</v>
          </cell>
          <cell r="H292">
            <v>8.9077210426024114E-4</v>
          </cell>
          <cell r="I292">
            <v>7.2915432729007989E-4</v>
          </cell>
          <cell r="J292">
            <v>2.1523215543261612E-4</v>
          </cell>
        </row>
        <row r="293">
          <cell r="A293" t="str">
            <v>T-Plg-ELC-GSL_S1</v>
          </cell>
          <cell r="B293" t="str">
            <v>VAR_fin</v>
          </cell>
          <cell r="C293" t="str">
            <v>T-ELC-car-PlgSTGOut_S1</v>
          </cell>
          <cell r="H293">
            <v>4.7756562810303144E-4</v>
          </cell>
          <cell r="I293">
            <v>3.8156957136927183E-4</v>
          </cell>
          <cell r="J293">
            <v>1.0595427553245633E-4</v>
          </cell>
        </row>
        <row r="294">
          <cell r="A294" t="str">
            <v>T-Plg-ELC-GSL_S2</v>
          </cell>
          <cell r="B294" t="str">
            <v>VAR_fout</v>
          </cell>
          <cell r="C294" t="str">
            <v>T-PEVmix-ELC_GSL_S2</v>
          </cell>
          <cell r="H294">
            <v>7.6061797346622072E-3</v>
          </cell>
          <cell r="I294">
            <v>5.2401730478217083E-3</v>
          </cell>
          <cell r="J294">
            <v>2.034512057749746E-3</v>
          </cell>
        </row>
        <row r="295">
          <cell r="A295" t="str">
            <v>T-Plg-ELC-GSL_S2</v>
          </cell>
          <cell r="B295" t="str">
            <v>VAR_fin</v>
          </cell>
          <cell r="C295" t="str">
            <v>T-ELC-car-PlgSTGOut_S2</v>
          </cell>
          <cell r="H295">
            <v>4.8878074851774088E-3</v>
          </cell>
          <cell r="I295">
            <v>3.2561583961354047E-3</v>
          </cell>
          <cell r="J295">
            <v>1.1799199049782869E-3</v>
          </cell>
        </row>
        <row r="296">
          <cell r="A296" t="str">
            <v>T-Plg-ELC-DSL_S1</v>
          </cell>
          <cell r="B296" t="str">
            <v>VAR_fout</v>
          </cell>
          <cell r="C296" t="str">
            <v>T-PEVmix-ELC_DSL_S1</v>
          </cell>
          <cell r="H296">
            <v>9.1077870405595481E-4</v>
          </cell>
          <cell r="I296">
            <v>7.4286706702824149E-4</v>
          </cell>
          <cell r="J296">
            <v>2.1685952342808114E-4</v>
          </cell>
        </row>
        <row r="297">
          <cell r="A297" t="str">
            <v>T-Plg-ELC-DSL_S1</v>
          </cell>
          <cell r="B297" t="str">
            <v>VAR_fin</v>
          </cell>
          <cell r="C297" t="str">
            <v>T-ELC-car-PlgSTGOut_S1</v>
          </cell>
          <cell r="H297">
            <v>4.8828415800138462E-4</v>
          </cell>
          <cell r="I297">
            <v>3.8873550412582889E-4</v>
          </cell>
          <cell r="J297">
            <v>1.0676134949483165E-4</v>
          </cell>
        </row>
        <row r="298">
          <cell r="A298" t="str">
            <v>T_TRM_ELC</v>
          </cell>
          <cell r="B298" t="str">
            <v>VAR_fout</v>
          </cell>
          <cell r="C298" t="str">
            <v>TPTRM</v>
          </cell>
          <cell r="H298">
            <v>3.8185104274620588E-2</v>
          </cell>
          <cell r="I298">
            <v>3.9048512196511807E-2</v>
          </cell>
          <cell r="J298">
            <v>4.0347931071859175E-2</v>
          </cell>
        </row>
        <row r="299">
          <cell r="A299" t="str">
            <v>T_TRM_ELC</v>
          </cell>
          <cell r="B299" t="str">
            <v>VAR_fin</v>
          </cell>
          <cell r="C299" t="str">
            <v>TELC</v>
          </cell>
          <cell r="H299">
            <v>0.7561616857731851</v>
          </cell>
          <cell r="I299">
            <v>0.77325934733858914</v>
          </cell>
          <cell r="J299">
            <v>0.79899112903654423</v>
          </cell>
        </row>
        <row r="300">
          <cell r="A300" t="str">
            <v>T-Plg-ELC-GSL_S3</v>
          </cell>
          <cell r="B300" t="str">
            <v>VAR_fout</v>
          </cell>
          <cell r="C300" t="str">
            <v>T-PEVmix-ELC_GSL_S3</v>
          </cell>
          <cell r="H300">
            <v>3.6351832245578213</v>
          </cell>
          <cell r="I300">
            <v>2.6780627561023431</v>
          </cell>
          <cell r="J300">
            <v>1.0065802831184689</v>
          </cell>
        </row>
        <row r="301">
          <cell r="A301" t="str">
            <v>T-Plg-ELC-GSL_S3</v>
          </cell>
          <cell r="B301" t="str">
            <v>VAR_fin</v>
          </cell>
          <cell r="C301" t="str">
            <v>T-ELC-car-PlgSTGOut_S3</v>
          </cell>
          <cell r="H301">
            <v>2.4721584028898125</v>
          </cell>
          <cell r="I301">
            <v>1.7391903309906729</v>
          </cell>
          <cell r="J301">
            <v>0.59369663126507566</v>
          </cell>
        </row>
        <row r="302">
          <cell r="A302" t="str">
            <v>T-Plg-ELC-DSL_S2</v>
          </cell>
          <cell r="B302" t="str">
            <v>VAR_fout</v>
          </cell>
          <cell r="C302" t="str">
            <v>T-PEVmix-ELC_DSL_S2</v>
          </cell>
          <cell r="H302">
            <v>5.7556251921596305E-3</v>
          </cell>
          <cell r="I302">
            <v>6.0347581976334282E-3</v>
          </cell>
          <cell r="J302">
            <v>2.3527915406033077E-3</v>
          </cell>
        </row>
        <row r="303">
          <cell r="A303" t="str">
            <v>T-Plg-ELC-DSL_S2</v>
          </cell>
          <cell r="B303" t="str">
            <v>VAR_fin</v>
          </cell>
          <cell r="C303" t="str">
            <v>T-ELC-car-PlgSTGOut_S2</v>
          </cell>
          <cell r="H303">
            <v>3.7065727198429977E-3</v>
          </cell>
          <cell r="I303">
            <v>3.7432232683457011E-3</v>
          </cell>
          <cell r="J303">
            <v>1.3615977972915873E-3</v>
          </cell>
        </row>
        <row r="304">
          <cell r="A304" t="str">
            <v>T_TW-ICEGSLEXT</v>
          </cell>
          <cell r="B304" t="str">
            <v>VAR_fout</v>
          </cell>
          <cell r="C304" t="str">
            <v>CO2_T</v>
          </cell>
        </row>
        <row r="305">
          <cell r="A305" t="str">
            <v>T_TW-ICEGSLEXT</v>
          </cell>
          <cell r="B305" t="str">
            <v>VAR_fout</v>
          </cell>
          <cell r="C305" t="str">
            <v>TPTWL</v>
          </cell>
        </row>
        <row r="306">
          <cell r="A306" t="str">
            <v>T_TW-ICEGSLEXT</v>
          </cell>
          <cell r="B306" t="str">
            <v>VAR_fin</v>
          </cell>
          <cell r="C306" t="str">
            <v>TGSL</v>
          </cell>
        </row>
        <row r="307">
          <cell r="A307" t="str">
            <v>T_TW-ICEGSLEXT</v>
          </cell>
          <cell r="B307" t="str">
            <v>VAR_cap</v>
          </cell>
          <cell r="C307" t="str">
            <v>-</v>
          </cell>
        </row>
        <row r="308">
          <cell r="A308" t="str">
            <v>T-Plg-ELC-GSL_S4</v>
          </cell>
          <cell r="B308" t="str">
            <v>VAR_fout</v>
          </cell>
          <cell r="C308" t="str">
            <v>T-PEVmix-ELC_GSL_S4</v>
          </cell>
          <cell r="H308">
            <v>1.0721738853327212E-2</v>
          </cell>
          <cell r="I308">
            <v>3.077250550312929E-3</v>
          </cell>
          <cell r="J308">
            <v>1.0448785287068554E-3</v>
          </cell>
        </row>
        <row r="309">
          <cell r="A309" t="str">
            <v>T-Plg-ELC-GSL_S4</v>
          </cell>
          <cell r="B309" t="str">
            <v>VAR_fin</v>
          </cell>
          <cell r="C309" t="str">
            <v>T-ELC-car-PlgSTGOut_S4</v>
          </cell>
          <cell r="H309">
            <v>7.7313391791949907E-3</v>
          </cell>
          <cell r="I309">
            <v>2.1729158746526338E-3</v>
          </cell>
          <cell r="J309">
            <v>6.9361998174863315E-4</v>
          </cell>
        </row>
        <row r="310">
          <cell r="A310" t="str">
            <v>T-Plg-ELC-DSL_S3</v>
          </cell>
          <cell r="B310" t="str">
            <v>VAR_fout</v>
          </cell>
          <cell r="C310" t="str">
            <v>T-PEVmix-ELC_DSL_S3</v>
          </cell>
          <cell r="H310">
            <v>2.6121929519584843</v>
          </cell>
          <cell r="I310">
            <v>1.9304189595192378</v>
          </cell>
          <cell r="J310">
            <v>0.70103707114975322</v>
          </cell>
        </row>
        <row r="311">
          <cell r="A311" t="str">
            <v>T-Plg-ELC-DSL_S3</v>
          </cell>
          <cell r="B311" t="str">
            <v>VAR_fin</v>
          </cell>
          <cell r="C311" t="str">
            <v>T-ELC-car-PlgSTGOut_S3</v>
          </cell>
          <cell r="H311">
            <v>1.7765262295171813</v>
          </cell>
          <cell r="I311">
            <v>1.2537386859278412</v>
          </cell>
          <cell r="J311">
            <v>0.41364166721513757</v>
          </cell>
        </row>
        <row r="312">
          <cell r="A312" t="str">
            <v>T-Plg-ELC-DSL_S4</v>
          </cell>
          <cell r="B312" t="str">
            <v>VAR_fout</v>
          </cell>
          <cell r="C312" t="str">
            <v>T-PEVmix-ELC_DSL_S4</v>
          </cell>
          <cell r="H312">
            <v>5.4350028034989431E-3</v>
          </cell>
          <cell r="I312">
            <v>3.2733445299373441E-3</v>
          </cell>
          <cell r="J312">
            <v>1.0872765886635757E-3</v>
          </cell>
        </row>
        <row r="313">
          <cell r="A313" t="str">
            <v>T-Plg-ELC-DSL_S4</v>
          </cell>
          <cell r="B313" t="str">
            <v>VAR_fin</v>
          </cell>
          <cell r="C313" t="str">
            <v>T-ELC-car-PlgSTGOut_S4</v>
          </cell>
          <cell r="H313">
            <v>3.942200417160497E-3</v>
          </cell>
          <cell r="I313">
            <v>2.3105049513266378E-3</v>
          </cell>
          <cell r="J313">
            <v>7.2145523264008891E-4</v>
          </cell>
        </row>
        <row r="314">
          <cell r="A314" t="str">
            <v>TFLGV-ICENGA</v>
          </cell>
          <cell r="B314" t="str">
            <v>VAR_fout</v>
          </cell>
          <cell r="C314" t="str">
            <v>CO2_T</v>
          </cell>
          <cell r="H314">
            <v>7.4615562338246101E-3</v>
          </cell>
          <cell r="I314">
            <v>9.4331782765554105E-4</v>
          </cell>
        </row>
        <row r="315">
          <cell r="A315" t="str">
            <v>TFLGV-ICENGA</v>
          </cell>
          <cell r="B315" t="str">
            <v>VAR_fout</v>
          </cell>
          <cell r="C315" t="str">
            <v>TFLGV</v>
          </cell>
          <cell r="H315">
            <v>4.2411396654686254E-5</v>
          </cell>
          <cell r="I315">
            <v>5.3618072834156428E-6</v>
          </cell>
        </row>
        <row r="316">
          <cell r="A316" t="str">
            <v>TFLGV-ICENGA</v>
          </cell>
          <cell r="B316" t="str">
            <v>VAR_fin</v>
          </cell>
          <cell r="C316" t="str">
            <v>TNGA</v>
          </cell>
          <cell r="H316">
            <v>1.3229709634440779E-4</v>
          </cell>
          <cell r="I316">
            <v>1.67254933981479E-5</v>
          </cell>
        </row>
        <row r="317">
          <cell r="A317" t="str">
            <v>TFLGV-ICENGA</v>
          </cell>
          <cell r="B317" t="str">
            <v>VAR_ncap</v>
          </cell>
          <cell r="C317" t="str">
            <v>-</v>
          </cell>
        </row>
        <row r="318">
          <cell r="A318" t="str">
            <v>TFLGV-ICENGA</v>
          </cell>
          <cell r="B318" t="str">
            <v>VAR_cap</v>
          </cell>
          <cell r="C318" t="str">
            <v>-</v>
          </cell>
          <cell r="H318">
            <v>3.0717509059067408E-6</v>
          </cell>
          <cell r="I318">
            <v>4.11543001391396E-7</v>
          </cell>
        </row>
        <row r="319">
          <cell r="A319" t="str">
            <v>TFLGV-BEVELC</v>
          </cell>
          <cell r="B319" t="str">
            <v>VAR_fout</v>
          </cell>
          <cell r="C319" t="str">
            <v>TFLGV</v>
          </cell>
          <cell r="H319">
            <v>4.2778876368284298</v>
          </cell>
          <cell r="I319">
            <v>4.992437047693091</v>
          </cell>
          <cell r="J319">
            <v>5.4031937033065836</v>
          </cell>
        </row>
        <row r="320">
          <cell r="A320" t="str">
            <v>TFLGV-BEVELC</v>
          </cell>
          <cell r="B320" t="str">
            <v>VAR_fin</v>
          </cell>
          <cell r="C320" t="str">
            <v>T-ELC-LGV_BatSTGout</v>
          </cell>
          <cell r="H320">
            <v>6.2784767139501545</v>
          </cell>
          <cell r="I320">
            <v>7.3271909902341026</v>
          </cell>
          <cell r="J320">
            <v>7.9300413491746591</v>
          </cell>
        </row>
        <row r="321">
          <cell r="A321" t="str">
            <v>TFLGV-BEVELC</v>
          </cell>
          <cell r="B321" t="str">
            <v>VAR_ncap</v>
          </cell>
          <cell r="C321" t="str">
            <v>-</v>
          </cell>
          <cell r="H321">
            <v>0.24435561015326299</v>
          </cell>
          <cell r="I321">
            <v>0.20092469930800899</v>
          </cell>
          <cell r="J321">
            <v>0.39315992266918698</v>
          </cell>
        </row>
        <row r="322">
          <cell r="A322" t="str">
            <v>TFLGV-BEVELC</v>
          </cell>
          <cell r="B322" t="str">
            <v>VAR_cap</v>
          </cell>
          <cell r="C322" t="str">
            <v>-</v>
          </cell>
          <cell r="H322">
            <v>0.38815882194950807</v>
          </cell>
          <cell r="I322">
            <v>0.47058721165387274</v>
          </cell>
          <cell r="J322">
            <v>0.53680633524177446</v>
          </cell>
        </row>
        <row r="323">
          <cell r="A323" t="str">
            <v>T_B_c-BEVELC-S1</v>
          </cell>
          <cell r="B323" t="str">
            <v>VAR_fout</v>
          </cell>
          <cell r="C323" t="str">
            <v>TPBSc</v>
          </cell>
          <cell r="H323">
            <v>6.481000432169759E-2</v>
          </cell>
          <cell r="I323">
            <v>6.4831797233168481E-2</v>
          </cell>
          <cell r="J323">
            <v>6.3133645386360793E-2</v>
          </cell>
        </row>
        <row r="324">
          <cell r="A324" t="str">
            <v>T_B_c-BEVELC-S1</v>
          </cell>
          <cell r="B324" t="str">
            <v>VAR_fin</v>
          </cell>
          <cell r="C324" t="str">
            <v>T-ELC-Bus_c_BatSTGout_S1</v>
          </cell>
          <cell r="H324">
            <v>0.13770248745628083</v>
          </cell>
          <cell r="I324">
            <v>0.13751517628132393</v>
          </cell>
          <cell r="J324">
            <v>0.11875823334659186</v>
          </cell>
        </row>
        <row r="325">
          <cell r="A325" t="str">
            <v>T_B_c-BEVELC-S1</v>
          </cell>
          <cell r="B325" t="str">
            <v>VAR_ncap</v>
          </cell>
          <cell r="C325" t="str">
            <v>-</v>
          </cell>
          <cell r="H325">
            <v>1.3843395657753899E-3</v>
          </cell>
          <cell r="I325">
            <v>2.3274073268909201E-5</v>
          </cell>
          <cell r="J325">
            <v>1.19443714624202E-3</v>
          </cell>
        </row>
        <row r="326">
          <cell r="A326" t="str">
            <v>T_B_c-BEVELC-S1</v>
          </cell>
          <cell r="B326" t="str">
            <v>VAR_cap</v>
          </cell>
          <cell r="C326" t="str">
            <v>-</v>
          </cell>
          <cell r="H326">
            <v>1.40934498001619E-3</v>
          </cell>
          <cell r="I326">
            <v>1.408769980362943E-3</v>
          </cell>
          <cell r="J326">
            <v>1.4489929115239072E-3</v>
          </cell>
        </row>
        <row r="327">
          <cell r="A327" t="str">
            <v>T_B_c-BEVELC-S2</v>
          </cell>
          <cell r="B327" t="str">
            <v>VAR_fout</v>
          </cell>
          <cell r="C327" t="str">
            <v>TPBSc</v>
          </cell>
          <cell r="H327">
            <v>5.750165121052217E-2</v>
          </cell>
          <cell r="I327">
            <v>5.7534181647824097E-2</v>
          </cell>
          <cell r="J327">
            <v>5.6006893469254949E-2</v>
          </cell>
        </row>
        <row r="328">
          <cell r="A328" t="str">
            <v>T_B_c-BEVELC-S2</v>
          </cell>
          <cell r="B328" t="str">
            <v>VAR_fin</v>
          </cell>
          <cell r="C328" t="str">
            <v>T-ELC-Bus_c_BatSTGout_S2</v>
          </cell>
          <cell r="H328">
            <v>0.1730721749891535</v>
          </cell>
          <cell r="I328">
            <v>0.1644512426886692</v>
          </cell>
          <cell r="J328">
            <v>0.14816569998063234</v>
          </cell>
        </row>
        <row r="329">
          <cell r="A329" t="str">
            <v>T_B_c-BEVELC-S2</v>
          </cell>
          <cell r="B329" t="str">
            <v>VAR_ncap</v>
          </cell>
          <cell r="C329" t="str">
            <v>-</v>
          </cell>
          <cell r="H329">
            <v>5.9599657192889401E-4</v>
          </cell>
          <cell r="I329">
            <v>6.4684839368367799E-4</v>
          </cell>
          <cell r="J329">
            <v>7.8845147395491505E-4</v>
          </cell>
        </row>
        <row r="330">
          <cell r="A330" t="str">
            <v>T_B_c-BEVELC-S2</v>
          </cell>
          <cell r="B330" t="str">
            <v>VAR_cap</v>
          </cell>
          <cell r="C330" t="str">
            <v>-</v>
          </cell>
          <cell r="H330">
            <v>1.249636680510174E-3</v>
          </cell>
          <cell r="I330">
            <v>1.2501723286902041E-3</v>
          </cell>
          <cell r="J330">
            <v>1.2174341458214143E-3</v>
          </cell>
        </row>
        <row r="331">
          <cell r="A331" t="str">
            <v>T_B_c-BEVELC-S3</v>
          </cell>
          <cell r="B331" t="str">
            <v>VAR_fout</v>
          </cell>
          <cell r="C331" t="str">
            <v>TPBSc</v>
          </cell>
          <cell r="H331">
            <v>1.2294848059809561E-2</v>
          </cell>
          <cell r="I331">
            <v>1.230260116896267E-2</v>
          </cell>
          <cell r="J331">
            <v>1.1977725151261819E-2</v>
          </cell>
        </row>
        <row r="332">
          <cell r="A332" t="str">
            <v>T_B_c-BEVELC-S3</v>
          </cell>
          <cell r="B332" t="str">
            <v>VAR_fin</v>
          </cell>
          <cell r="C332" t="str">
            <v>T-ELC-Bus_c_BatSTGout_S3</v>
          </cell>
          <cell r="H332">
            <v>5.4845829345895394E-2</v>
          </cell>
          <cell r="I332">
            <v>5.3329951999602776E-2</v>
          </cell>
          <cell r="J332">
            <v>4.612861469269762E-2</v>
          </cell>
        </row>
        <row r="333">
          <cell r="A333" t="str">
            <v>T_B_c-BEVELC-S3</v>
          </cell>
          <cell r="B333" t="str">
            <v>VAR_ncap</v>
          </cell>
          <cell r="C333" t="str">
            <v>-</v>
          </cell>
          <cell r="H333">
            <v>1.9184811407686199E-4</v>
          </cell>
          <cell r="I333">
            <v>7.5491551987214901E-5</v>
          </cell>
          <cell r="J333">
            <v>2.3452121462121101E-4</v>
          </cell>
        </row>
        <row r="334">
          <cell r="A334" t="str">
            <v>T_B_c-BEVELC-S3</v>
          </cell>
          <cell r="B334" t="str">
            <v>VAR_cap</v>
          </cell>
          <cell r="C334" t="str">
            <v>-</v>
          </cell>
          <cell r="H334">
            <v>2.6772519906212303E-4</v>
          </cell>
          <cell r="I334">
            <v>2.67339666064077E-4</v>
          </cell>
          <cell r="J334">
            <v>2.60378675126537E-4</v>
          </cell>
        </row>
        <row r="335">
          <cell r="A335" t="str">
            <v>T_B_c-BEVELC-S4</v>
          </cell>
          <cell r="B335" t="str">
            <v>VAR_fout</v>
          </cell>
          <cell r="C335" t="str">
            <v>TPBSc</v>
          </cell>
          <cell r="H335">
            <v>1.5723667388877816E-5</v>
          </cell>
          <cell r="I335">
            <v>3.8463462757605226E-5</v>
          </cell>
          <cell r="J335">
            <v>1.4014516453010496E-5</v>
          </cell>
        </row>
        <row r="336">
          <cell r="A336" t="str">
            <v>T_B_c-BEVELC-S4</v>
          </cell>
          <cell r="B336" t="str">
            <v>VAR_fin</v>
          </cell>
          <cell r="C336" t="str">
            <v>T-ELC-Bus_c_BatSTGout_S4</v>
          </cell>
          <cell r="H336">
            <v>1.0401933852588802E-4</v>
          </cell>
          <cell r="I336">
            <v>2.4382957993233527E-4</v>
          </cell>
          <cell r="J336">
            <v>8.2025881415010126E-5</v>
          </cell>
        </row>
        <row r="337">
          <cell r="A337" t="str">
            <v>T_B_c-BEVELC-S4</v>
          </cell>
          <cell r="B337" t="str">
            <v>VAR_ncap</v>
          </cell>
          <cell r="C337" t="str">
            <v>-</v>
          </cell>
          <cell r="H337">
            <v>3.4315367463810998E-7</v>
          </cell>
          <cell r="I337">
            <v>6.0094662752925899E-7</v>
          </cell>
          <cell r="J337">
            <v>2.6601467061071E-7</v>
          </cell>
        </row>
        <row r="338">
          <cell r="A338" t="str">
            <v>T_B_c-BEVELC-S4</v>
          </cell>
          <cell r="B338" t="str">
            <v>VAR_cap</v>
          </cell>
          <cell r="C338" t="str">
            <v>-</v>
          </cell>
          <cell r="H338">
            <v>3.9632213251147502E-7</v>
          </cell>
          <cell r="I338">
            <v>8.0679220209014541E-7</v>
          </cell>
          <cell r="J338">
            <v>3.7147397477899602E-7</v>
          </cell>
        </row>
        <row r="339">
          <cell r="A339" t="str">
            <v>T_C-BAT-ELC-S1</v>
          </cell>
          <cell r="B339" t="str">
            <v>VAR_fout</v>
          </cell>
          <cell r="C339" t="str">
            <v>TPCAR</v>
          </cell>
          <cell r="H339">
            <v>1.8643916478411158</v>
          </cell>
          <cell r="I339">
            <v>2.3134202717401275</v>
          </cell>
          <cell r="J339">
            <v>2.4465717624901919</v>
          </cell>
        </row>
        <row r="340">
          <cell r="A340" t="str">
            <v>T_C-BAT-ELC-S1</v>
          </cell>
          <cell r="B340" t="str">
            <v>VAR_fin</v>
          </cell>
          <cell r="C340" t="str">
            <v>T-ELC-car-BatSTGOut_S1</v>
          </cell>
          <cell r="H340">
            <v>0.99387274467150755</v>
          </cell>
          <cell r="I340">
            <v>1.2012560896966473</v>
          </cell>
          <cell r="J340">
            <v>1.1576876652253958</v>
          </cell>
        </row>
        <row r="341">
          <cell r="A341" t="str">
            <v>T_C-BAT-ELC-S1</v>
          </cell>
          <cell r="B341" t="str">
            <v>VAR_ncap</v>
          </cell>
          <cell r="C341" t="str">
            <v>-</v>
          </cell>
          <cell r="H341">
            <v>0.206712751092992</v>
          </cell>
          <cell r="I341">
            <v>0.14123844638264699</v>
          </cell>
          <cell r="J341">
            <v>0.29150141240281202</v>
          </cell>
        </row>
        <row r="342">
          <cell r="A342" t="str">
            <v>T_C-BAT-ELC-S1</v>
          </cell>
          <cell r="B342" t="str">
            <v>VAR_cap</v>
          </cell>
          <cell r="C342" t="str">
            <v>-</v>
          </cell>
          <cell r="H342">
            <v>0.28332104929634599</v>
          </cell>
          <cell r="I342">
            <v>0.35157221859283105</v>
          </cell>
          <cell r="J342">
            <v>0.37181424248464401</v>
          </cell>
        </row>
        <row r="343">
          <cell r="A343" t="str">
            <v>D-TNGA</v>
          </cell>
          <cell r="B343" t="str">
            <v>VAR_fout</v>
          </cell>
          <cell r="C343" t="str">
            <v>CO2</v>
          </cell>
          <cell r="H343">
            <v>0.33047444560348299</v>
          </cell>
          <cell r="I343">
            <v>0.18512585489337399</v>
          </cell>
          <cell r="J343">
            <v>1.1149902061959399E-2</v>
          </cell>
        </row>
        <row r="344">
          <cell r="A344" t="str">
            <v>D-TNGA</v>
          </cell>
          <cell r="B344" t="str">
            <v>VAR_fout</v>
          </cell>
          <cell r="C344" t="str">
            <v>TNGA</v>
          </cell>
          <cell r="H344">
            <v>7.297441613627679E-3</v>
          </cell>
          <cell r="I344">
            <v>4.1684553844037143E-3</v>
          </cell>
          <cell r="J344">
            <v>2.6044095367099452E-4</v>
          </cell>
        </row>
        <row r="345">
          <cell r="A345" t="str">
            <v>D-TNGA</v>
          </cell>
          <cell r="B345" t="str">
            <v>VAR_fin</v>
          </cell>
          <cell r="C345" t="str">
            <v>NGA</v>
          </cell>
          <cell r="H345">
            <v>5.8594759858773592E-3</v>
          </cell>
          <cell r="I345">
            <v>3.2823733137122982E-3</v>
          </cell>
          <cell r="J345">
            <v>1.97693298970911E-4</v>
          </cell>
        </row>
        <row r="346">
          <cell r="A346" t="str">
            <v>D-TNGA</v>
          </cell>
          <cell r="B346" t="str">
            <v>VAR_fin</v>
          </cell>
          <cell r="C346" t="str">
            <v>BNGA</v>
          </cell>
          <cell r="H346">
            <v>1.6892963837045393E-3</v>
          </cell>
          <cell r="I346">
            <v>1.2505761494062543E-3</v>
          </cell>
          <cell r="J346">
            <v>1.9031456960697988E-4</v>
          </cell>
        </row>
        <row r="347">
          <cell r="A347" t="str">
            <v>D-TNGA</v>
          </cell>
          <cell r="B347" t="str">
            <v>VAR_fin</v>
          </cell>
          <cell r="C347" t="str">
            <v>H2</v>
          </cell>
          <cell r="H347">
            <v>7.6455554770893882E-5</v>
          </cell>
          <cell r="I347">
            <v>9.0330318806809359E-5</v>
          </cell>
          <cell r="J347">
            <v>1.1127128684578856E-5</v>
          </cell>
        </row>
        <row r="348">
          <cell r="A348" t="str">
            <v>D-TNGA</v>
          </cell>
          <cell r="B348" t="str">
            <v>VAR_ncap</v>
          </cell>
          <cell r="C348" t="str">
            <v>-</v>
          </cell>
          <cell r="H348">
            <v>2.87902625984797E-7</v>
          </cell>
          <cell r="I348">
            <v>3.4818424339534402E-7</v>
          </cell>
          <cell r="J348">
            <v>7.2129702797217401E-7</v>
          </cell>
        </row>
        <row r="349">
          <cell r="A349" t="str">
            <v>D-TNGA</v>
          </cell>
          <cell r="B349" t="str">
            <v>VAR_cap</v>
          </cell>
          <cell r="C349" t="str">
            <v>-</v>
          </cell>
          <cell r="H349">
            <v>0.95961896742319985</v>
          </cell>
          <cell r="I349">
            <v>0.95961931560744329</v>
          </cell>
          <cell r="J349">
            <v>0.48125569325841522</v>
          </cell>
        </row>
        <row r="350">
          <cell r="A350" t="str">
            <v>T_C-BAT-ELC-S2</v>
          </cell>
          <cell r="B350" t="str">
            <v>VAR_fout</v>
          </cell>
          <cell r="C350" t="str">
            <v>TPCAR</v>
          </cell>
          <cell r="H350">
            <v>16.020981520937195</v>
          </cell>
          <cell r="I350">
            <v>18.166448255188747</v>
          </cell>
          <cell r="J350">
            <v>18.037930216353185</v>
          </cell>
        </row>
        <row r="351">
          <cell r="A351" t="str">
            <v>T_C-BAT-ELC-S2</v>
          </cell>
          <cell r="B351" t="str">
            <v>VAR_fin</v>
          </cell>
          <cell r="C351" t="str">
            <v>T-ELC-car-BatSTGOut_S2</v>
          </cell>
          <cell r="H351">
            <v>10.547316595462856</v>
          </cell>
          <cell r="I351">
            <v>11.675818138470817</v>
          </cell>
          <cell r="J351">
            <v>10.499130564346622</v>
          </cell>
        </row>
        <row r="352">
          <cell r="A352" t="str">
            <v>T_C-BAT-ELC-S2</v>
          </cell>
          <cell r="B352" t="str">
            <v>VAR_ncap</v>
          </cell>
          <cell r="C352" t="str">
            <v>-</v>
          </cell>
          <cell r="H352">
            <v>1.2415196251423199</v>
          </cell>
          <cell r="I352">
            <v>0.65231436922028496</v>
          </cell>
          <cell r="J352">
            <v>1.47955500897834</v>
          </cell>
        </row>
        <row r="353">
          <cell r="A353" t="str">
            <v>T_C-BAT-ELC-S2</v>
          </cell>
          <cell r="B353" t="str">
            <v>VAR_cap</v>
          </cell>
          <cell r="C353" t="str">
            <v>-</v>
          </cell>
          <cell r="H353">
            <v>1.687288363075673</v>
          </cell>
          <cell r="I353">
            <v>1.9160362976284502</v>
          </cell>
          <cell r="J353">
            <v>1.9025558701085505</v>
          </cell>
        </row>
        <row r="354">
          <cell r="A354" t="str">
            <v>TFLGV-BeVELCExt</v>
          </cell>
          <cell r="B354" t="str">
            <v>VAR_fout</v>
          </cell>
          <cell r="C354" t="str">
            <v>TFLGV</v>
          </cell>
        </row>
        <row r="355">
          <cell r="A355" t="str">
            <v>TFLGV-BeVELCExt</v>
          </cell>
          <cell r="B355" t="str">
            <v>VAR_fin</v>
          </cell>
          <cell r="C355" t="str">
            <v>TELC</v>
          </cell>
        </row>
        <row r="356">
          <cell r="A356" t="str">
            <v>TFLGV-BeVELCExt</v>
          </cell>
          <cell r="B356" t="str">
            <v>VAR_cap</v>
          </cell>
          <cell r="C356" t="str">
            <v>-</v>
          </cell>
        </row>
        <row r="357">
          <cell r="A357" t="str">
            <v>T_C-BAT-ELC-S3</v>
          </cell>
          <cell r="B357" t="str">
            <v>VAR_fout</v>
          </cell>
          <cell r="C357" t="str">
            <v>TPCAR</v>
          </cell>
          <cell r="H357">
            <v>0.87834958696566123</v>
          </cell>
          <cell r="I357">
            <v>9.072608233571648</v>
          </cell>
          <cell r="J357">
            <v>14.494805005890182</v>
          </cell>
        </row>
        <row r="358">
          <cell r="A358" t="str">
            <v>T_C-BAT-ELC-S3</v>
          </cell>
          <cell r="B358" t="str">
            <v>VAR_fin</v>
          </cell>
          <cell r="C358" t="str">
            <v>T-ELC-car-BatSTGOut_S3</v>
          </cell>
          <cell r="H358">
            <v>0.62638889842973278</v>
          </cell>
          <cell r="I358">
            <v>6.151103138069657</v>
          </cell>
          <cell r="J358">
            <v>9.127547727357312</v>
          </cell>
        </row>
        <row r="359">
          <cell r="A359" t="str">
            <v>T_C-BAT-ELC-S3</v>
          </cell>
          <cell r="B359" t="str">
            <v>VAR_ncap</v>
          </cell>
          <cell r="C359" t="str">
            <v>-</v>
          </cell>
          <cell r="H359">
            <v>5.6009026483785501E-2</v>
          </cell>
          <cell r="I359">
            <v>0.59939748311575902</v>
          </cell>
          <cell r="J359">
            <v>0.79622364102898502</v>
          </cell>
        </row>
        <row r="360">
          <cell r="A360" t="str">
            <v>T_C-BAT-ELC-S3</v>
          </cell>
          <cell r="B360" t="str">
            <v>VAR_cap</v>
          </cell>
          <cell r="C360" t="str">
            <v>-</v>
          </cell>
          <cell r="H360">
            <v>6.0429985961516247E-2</v>
          </cell>
          <cell r="I360">
            <v>0.62383529898741674</v>
          </cell>
          <cell r="J360">
            <v>0.99664817134921202</v>
          </cell>
        </row>
        <row r="361">
          <cell r="A361" t="str">
            <v>T_C-BAT-ELC-S4</v>
          </cell>
          <cell r="B361" t="str">
            <v>VAR_fout</v>
          </cell>
          <cell r="C361" t="str">
            <v>TPCAR</v>
          </cell>
          <cell r="H361">
            <v>21.406374866543622</v>
          </cell>
          <cell r="I361">
            <v>22.717661168371514</v>
          </cell>
          <cell r="J361">
            <v>23.56932741803211</v>
          </cell>
        </row>
        <row r="362">
          <cell r="A362" t="str">
            <v>T_C-BAT-ELC-S4</v>
          </cell>
          <cell r="B362" t="str">
            <v>VAR_fin</v>
          </cell>
          <cell r="C362" t="str">
            <v>T-ELC-car-BatSTGOut_S4</v>
          </cell>
          <cell r="H362">
            <v>16.130574757341236</v>
          </cell>
          <cell r="I362">
            <v>16.575488522148557</v>
          </cell>
          <cell r="J362">
            <v>15.43643583417094</v>
          </cell>
        </row>
        <row r="363">
          <cell r="A363" t="str">
            <v>T_C-BAT-ELC-S4</v>
          </cell>
          <cell r="B363" t="str">
            <v>VAR_ncap</v>
          </cell>
          <cell r="C363" t="str">
            <v>-</v>
          </cell>
          <cell r="H363">
            <v>0.88244569452231802</v>
          </cell>
          <cell r="I363">
            <v>0.73034077837406097</v>
          </cell>
          <cell r="J363">
            <v>2.01092766479595</v>
          </cell>
        </row>
        <row r="364">
          <cell r="A364" t="str">
            <v>T_C-BAT-ELC-S4</v>
          </cell>
          <cell r="B364" t="str">
            <v>VAR_cap</v>
          </cell>
          <cell r="C364" t="str">
            <v>-</v>
          </cell>
          <cell r="H364">
            <v>1.6856779178533883</v>
          </cell>
          <cell r="I364">
            <v>1.7892793800456137</v>
          </cell>
          <cell r="J364">
            <v>2.3058852467758464</v>
          </cell>
        </row>
        <row r="365">
          <cell r="A365" t="str">
            <v>T_B_c-ICENGA-S1</v>
          </cell>
          <cell r="B365" t="str">
            <v>VAR_fout</v>
          </cell>
          <cell r="C365" t="str">
            <v>CO2_T</v>
          </cell>
          <cell r="H365">
            <v>4.87715829716945E-4</v>
          </cell>
        </row>
        <row r="366">
          <cell r="A366" t="str">
            <v>T_B_c-ICENGA-S1</v>
          </cell>
          <cell r="B366" t="str">
            <v>VAR_fout</v>
          </cell>
          <cell r="C366" t="str">
            <v>TPBSc</v>
          </cell>
          <cell r="H366">
            <v>1.2273496191471495E-6</v>
          </cell>
        </row>
        <row r="367">
          <cell r="A367" t="str">
            <v>T_B_c-ICENGA-S1</v>
          </cell>
          <cell r="B367" t="str">
            <v>VAR_fin</v>
          </cell>
          <cell r="C367" t="str">
            <v>TNGA</v>
          </cell>
          <cell r="H367">
            <v>8.6474437893075406E-6</v>
          </cell>
        </row>
        <row r="368">
          <cell r="A368" t="str">
            <v>T_B_c-ICENGA-S1</v>
          </cell>
          <cell r="B368" t="str">
            <v>VAR_ncap</v>
          </cell>
          <cell r="C368" t="str">
            <v>-</v>
          </cell>
          <cell r="H368">
            <v>2.70212758814226E-8</v>
          </cell>
          <cell r="I368">
            <v>2.4716040069129999E-8</v>
          </cell>
        </row>
        <row r="369">
          <cell r="A369" t="str">
            <v>T_B_c-ICENGA-S1</v>
          </cell>
          <cell r="B369" t="str">
            <v>VAR_cap</v>
          </cell>
          <cell r="C369" t="str">
            <v>-</v>
          </cell>
          <cell r="H369">
            <v>5.4560298460777985E-8</v>
          </cell>
          <cell r="I369">
            <v>2.94127034984992E-8</v>
          </cell>
          <cell r="J369">
            <v>1.7137151698092899E-8</v>
          </cell>
        </row>
        <row r="370">
          <cell r="A370" t="str">
            <v>TFLGV-FCLH2O</v>
          </cell>
          <cell r="B370" t="str">
            <v>VAR_fout</v>
          </cell>
          <cell r="C370" t="str">
            <v>TFLGV</v>
          </cell>
          <cell r="H370">
            <v>1.7497255732827261E-5</v>
          </cell>
          <cell r="I370">
            <v>1.6391505764291368E-5</v>
          </cell>
          <cell r="J370">
            <v>1.4286934879331776E-5</v>
          </cell>
        </row>
        <row r="371">
          <cell r="A371" t="str">
            <v>TFLGV-FCLH2O</v>
          </cell>
          <cell r="B371" t="str">
            <v>VAR_fin</v>
          </cell>
          <cell r="C371" t="str">
            <v>TH2O</v>
          </cell>
          <cell r="H371">
            <v>3.3067600155410104E-5</v>
          </cell>
          <cell r="I371">
            <v>2.9073472220133752E-5</v>
          </cell>
          <cell r="J371">
            <v>2.4170373297234579E-5</v>
          </cell>
        </row>
        <row r="372">
          <cell r="A372" t="str">
            <v>TFLGV-FCLH2O</v>
          </cell>
          <cell r="B372" t="str">
            <v>VAR_ncap</v>
          </cell>
          <cell r="C372" t="str">
            <v>-</v>
          </cell>
          <cell r="H372">
            <v>4.8278922709403405E-7</v>
          </cell>
          <cell r="I372">
            <v>5.51163346094716E-7</v>
          </cell>
          <cell r="J372">
            <v>6.1951450042531699E-7</v>
          </cell>
        </row>
        <row r="373">
          <cell r="A373" t="str">
            <v>TFLGV-FCLH2O</v>
          </cell>
          <cell r="B373" t="str">
            <v>VAR_cap</v>
          </cell>
          <cell r="C373" t="str">
            <v>-</v>
          </cell>
          <cell r="H373">
            <v>1.0615109263284899E-6</v>
          </cell>
          <cell r="I373">
            <v>9.9170119612171066E-7</v>
          </cell>
          <cell r="J373">
            <v>9.8064985722740706E-7</v>
          </cell>
        </row>
        <row r="374">
          <cell r="A374" t="str">
            <v>T_B_c-ICENGA-S2</v>
          </cell>
          <cell r="B374" t="str">
            <v>VAR_fout</v>
          </cell>
          <cell r="C374" t="str">
            <v>CO2_T</v>
          </cell>
          <cell r="H374">
            <v>4.0153030480455105E-4</v>
          </cell>
        </row>
        <row r="375">
          <cell r="A375" t="str">
            <v>T_B_c-ICENGA-S2</v>
          </cell>
          <cell r="B375" t="str">
            <v>VAR_fout</v>
          </cell>
          <cell r="C375" t="str">
            <v>TPBSc</v>
          </cell>
          <cell r="H375">
            <v>7.1257414225318331E-7</v>
          </cell>
        </row>
        <row r="376">
          <cell r="A376" t="str">
            <v>T_B_c-ICENGA-S2</v>
          </cell>
          <cell r="B376" t="str">
            <v>VAR_fin</v>
          </cell>
          <cell r="C376" t="str">
            <v>TNGA</v>
          </cell>
          <cell r="H376">
            <v>7.1193316454707708E-6</v>
          </cell>
        </row>
        <row r="377">
          <cell r="A377" t="str">
            <v>T_B_c-ICENGA-S2</v>
          </cell>
          <cell r="B377" t="str">
            <v>VAR_ncap</v>
          </cell>
          <cell r="C377" t="str">
            <v>-</v>
          </cell>
          <cell r="I377">
            <v>1.2885870403315899E-8</v>
          </cell>
        </row>
        <row r="378">
          <cell r="A378" t="str">
            <v>T_B_c-ICENGA-S2</v>
          </cell>
          <cell r="B378" t="str">
            <v>VAR_cap</v>
          </cell>
          <cell r="C378" t="str">
            <v>-</v>
          </cell>
          <cell r="H378">
            <v>1.9436070104400363E-10</v>
          </cell>
          <cell r="I378">
            <v>-3.8419423324228996E-9</v>
          </cell>
          <cell r="J378">
            <v>6.4623321732158697E-9</v>
          </cell>
        </row>
        <row r="379">
          <cell r="A379" t="str">
            <v>T_B_u-ICEDSL-S1</v>
          </cell>
          <cell r="B379" t="str">
            <v>VAR_fout</v>
          </cell>
          <cell r="C379" t="str">
            <v>CO2_T</v>
          </cell>
        </row>
        <row r="380">
          <cell r="A380" t="str">
            <v>T_B_u-ICEDSL-S1</v>
          </cell>
          <cell r="B380" t="str">
            <v>VAR_fout</v>
          </cell>
          <cell r="C380" t="str">
            <v>TPBSu</v>
          </cell>
        </row>
        <row r="381">
          <cell r="A381" t="str">
            <v>T_B_u-ICEDSL-S1</v>
          </cell>
          <cell r="B381" t="str">
            <v>VAR_fin</v>
          </cell>
          <cell r="C381" t="str">
            <v>TDSL</v>
          </cell>
        </row>
        <row r="382">
          <cell r="A382" t="str">
            <v>T_B_u-ICEDSL-S1</v>
          </cell>
          <cell r="B382" t="str">
            <v>VAR_ncap</v>
          </cell>
          <cell r="C382" t="str">
            <v>-</v>
          </cell>
          <cell r="H382">
            <v>1.70392353546995E-8</v>
          </cell>
        </row>
        <row r="383">
          <cell r="A383" t="str">
            <v>T_B_u-ICEDSL-S1</v>
          </cell>
          <cell r="B383" t="str">
            <v>VAR_cap</v>
          </cell>
          <cell r="C383" t="str">
            <v>-</v>
          </cell>
          <cell r="H383">
            <v>2.1416158834991397E-8</v>
          </cell>
          <cell r="I383">
            <v>-6.261547265535E-10</v>
          </cell>
          <cell r="J383">
            <v>2.99019217639055E-9</v>
          </cell>
        </row>
        <row r="384">
          <cell r="A384" t="str">
            <v>T_B_c-ICENGA-S3</v>
          </cell>
          <cell r="B384" t="str">
            <v>VAR_fout</v>
          </cell>
          <cell r="C384" t="str">
            <v>CO2_T</v>
          </cell>
          <cell r="I384">
            <v>2.8275235115171599E-4</v>
          </cell>
        </row>
        <row r="385">
          <cell r="A385" t="str">
            <v>T_B_c-ICENGA-S3</v>
          </cell>
          <cell r="B385" t="str">
            <v>VAR_fout</v>
          </cell>
          <cell r="C385" t="str">
            <v>TPBSc</v>
          </cell>
          <cell r="I385">
            <v>3.5573686866285617E-7</v>
          </cell>
        </row>
        <row r="386">
          <cell r="A386" t="str">
            <v>T_B_c-ICENGA-S3</v>
          </cell>
          <cell r="B386" t="str">
            <v>VAR_fin</v>
          </cell>
          <cell r="C386" t="str">
            <v>TNGA</v>
          </cell>
          <cell r="I386">
            <v>5.0133395594275966E-6</v>
          </cell>
        </row>
        <row r="387">
          <cell r="A387" t="str">
            <v>T_B_c-ICENGA-S3</v>
          </cell>
          <cell r="B387" t="str">
            <v>VAR_ncap</v>
          </cell>
          <cell r="C387" t="str">
            <v>-</v>
          </cell>
          <cell r="H387">
            <v>1.5637168497538399E-8</v>
          </cell>
          <cell r="I387">
            <v>2.4907401494681801E-8</v>
          </cell>
        </row>
        <row r="388">
          <cell r="A388" t="str">
            <v>T_B_c-ICENGA-S3</v>
          </cell>
          <cell r="B388" t="str">
            <v>VAR_cap</v>
          </cell>
          <cell r="C388" t="str">
            <v>-</v>
          </cell>
          <cell r="H388">
            <v>1.5637168497538399E-8</v>
          </cell>
          <cell r="I388">
            <v>4.05445699922202E-8</v>
          </cell>
          <cell r="J388">
            <v>8.5313142131203299E-9</v>
          </cell>
        </row>
        <row r="389">
          <cell r="A389" t="str">
            <v>T_B_u-ICEDSL-S2</v>
          </cell>
          <cell r="B389" t="str">
            <v>VAR_fout</v>
          </cell>
          <cell r="C389" t="str">
            <v>CO2_T</v>
          </cell>
        </row>
        <row r="390">
          <cell r="A390" t="str">
            <v>T_B_u-ICEDSL-S2</v>
          </cell>
          <cell r="B390" t="str">
            <v>VAR_fout</v>
          </cell>
          <cell r="C390" t="str">
            <v>TPBSu</v>
          </cell>
        </row>
        <row r="391">
          <cell r="A391" t="str">
            <v>T_B_u-ICEDSL-S2</v>
          </cell>
          <cell r="B391" t="str">
            <v>VAR_fin</v>
          </cell>
          <cell r="C391" t="str">
            <v>TDSL</v>
          </cell>
        </row>
        <row r="392">
          <cell r="A392" t="str">
            <v>T_B_u-ICEDSL-S2</v>
          </cell>
          <cell r="B392" t="str">
            <v>VAR_ncap</v>
          </cell>
          <cell r="C392" t="str">
            <v>-</v>
          </cell>
        </row>
        <row r="393">
          <cell r="A393" t="str">
            <v>T_B_u-ICEDSL-S2</v>
          </cell>
          <cell r="B393" t="str">
            <v>VAR_cap</v>
          </cell>
          <cell r="C393" t="str">
            <v>-</v>
          </cell>
          <cell r="H393">
            <v>-2.2989022183196096E-8</v>
          </cell>
          <cell r="I393">
            <v>-2.2243035048445001E-8</v>
          </cell>
        </row>
        <row r="394">
          <cell r="A394" t="str">
            <v>T_B_c-ICENGA-S4</v>
          </cell>
          <cell r="B394" t="str">
            <v>VAR_fout</v>
          </cell>
          <cell r="C394" t="str">
            <v>CO2_T</v>
          </cell>
        </row>
        <row r="395">
          <cell r="A395" t="str">
            <v>T_B_c-ICENGA-S4</v>
          </cell>
          <cell r="B395" t="str">
            <v>VAR_fout</v>
          </cell>
          <cell r="C395" t="str">
            <v>TPBSc</v>
          </cell>
        </row>
        <row r="396">
          <cell r="A396" t="str">
            <v>T_B_c-ICENGA-S4</v>
          </cell>
          <cell r="B396" t="str">
            <v>VAR_fin</v>
          </cell>
          <cell r="C396" t="str">
            <v>TNGA</v>
          </cell>
        </row>
        <row r="397">
          <cell r="A397" t="str">
            <v>T_B_c-ICENGA-S4</v>
          </cell>
          <cell r="B397" t="str">
            <v>VAR_ncap</v>
          </cell>
          <cell r="C397" t="str">
            <v>-</v>
          </cell>
        </row>
        <row r="398">
          <cell r="A398" t="str">
            <v>T_B_c-ICENGA-S4</v>
          </cell>
          <cell r="B398" t="str">
            <v>VAR_cap</v>
          </cell>
          <cell r="C398" t="str">
            <v>-</v>
          </cell>
          <cell r="I398">
            <v>-7.6773049480587199E-9</v>
          </cell>
        </row>
        <row r="399">
          <cell r="A399" t="str">
            <v>T_B_u-ICEDSL-S3</v>
          </cell>
          <cell r="B399" t="str">
            <v>VAR_fout</v>
          </cell>
          <cell r="C399" t="str">
            <v>CO2_T</v>
          </cell>
          <cell r="J399">
            <v>1.56051687642985E-3</v>
          </cell>
        </row>
        <row r="400">
          <cell r="A400" t="str">
            <v>T_B_u-ICEDSL-S3</v>
          </cell>
          <cell r="B400" t="str">
            <v>VAR_fout</v>
          </cell>
          <cell r="C400" t="str">
            <v>TPBSu</v>
          </cell>
          <cell r="J400">
            <v>1.6003395926419248E-6</v>
          </cell>
        </row>
        <row r="401">
          <cell r="A401" t="str">
            <v>T_B_u-ICEDSL-S3</v>
          </cell>
          <cell r="B401" t="str">
            <v>VAR_fin</v>
          </cell>
          <cell r="C401" t="str">
            <v>TDSL</v>
          </cell>
          <cell r="J401">
            <v>2.1289452611594101E-5</v>
          </cell>
        </row>
        <row r="402">
          <cell r="A402" t="str">
            <v>T_B_u-ICEDSL-S3</v>
          </cell>
          <cell r="B402" t="str">
            <v>VAR_ncap</v>
          </cell>
          <cell r="C402" t="str">
            <v>-</v>
          </cell>
        </row>
        <row r="403">
          <cell r="A403" t="str">
            <v>T_B_u-ICEDSL-S3</v>
          </cell>
          <cell r="B403" t="str">
            <v>VAR_cap</v>
          </cell>
          <cell r="C403" t="str">
            <v>-</v>
          </cell>
          <cell r="H403">
            <v>-1.33602067922369E-8</v>
          </cell>
          <cell r="I403">
            <v>-1.7189886585643401E-8</v>
          </cell>
        </row>
        <row r="404">
          <cell r="A404" t="str">
            <v>T_B_u-ICEDSL-S4</v>
          </cell>
          <cell r="B404" t="str">
            <v>VAR_fout</v>
          </cell>
          <cell r="C404" t="str">
            <v>CO2_T</v>
          </cell>
          <cell r="J404">
            <v>1.2517614668792899E-3</v>
          </cell>
        </row>
        <row r="405">
          <cell r="A405" t="str">
            <v>T_B_u-ICEDSL-S4</v>
          </cell>
          <cell r="B405" t="str">
            <v>VAR_fout</v>
          </cell>
          <cell r="C405" t="str">
            <v>TPBSu</v>
          </cell>
          <cell r="J405">
            <v>8.5857784899917132E-7</v>
          </cell>
        </row>
        <row r="406">
          <cell r="A406" t="str">
            <v>T_B_u-ICEDSL-S4</v>
          </cell>
          <cell r="B406" t="str">
            <v>VAR_fin</v>
          </cell>
          <cell r="C406" t="str">
            <v>TDSL</v>
          </cell>
          <cell r="J406">
            <v>1.7077236928776134E-5</v>
          </cell>
        </row>
        <row r="407">
          <cell r="A407" t="str">
            <v>T_B_u-ICEDSL-S4</v>
          </cell>
          <cell r="B407" t="str">
            <v>VAR_ncap</v>
          </cell>
          <cell r="C407" t="str">
            <v>-</v>
          </cell>
        </row>
        <row r="408">
          <cell r="A408" t="str">
            <v>T_B_u-ICEDSL-S4</v>
          </cell>
          <cell r="B408" t="str">
            <v>VAR_cap</v>
          </cell>
          <cell r="C408" t="str">
            <v>-</v>
          </cell>
          <cell r="H408">
            <v>-1.36135221643396E-8</v>
          </cell>
          <cell r="I408">
            <v>-1.54164295529928E-8</v>
          </cell>
        </row>
        <row r="409">
          <cell r="A409" t="str">
            <v>D-TBDS1intl</v>
          </cell>
          <cell r="B409" t="str">
            <v>VAR_fout</v>
          </cell>
          <cell r="C409" t="str">
            <v>TKERintl_SAF</v>
          </cell>
          <cell r="H409">
            <v>16.4686974297585</v>
          </cell>
          <cell r="I409">
            <v>27.050414253968398</v>
          </cell>
          <cell r="J409">
            <v>74.087031911017704</v>
          </cell>
        </row>
        <row r="410">
          <cell r="A410" t="str">
            <v>D-TBDS1intl</v>
          </cell>
          <cell r="B410" t="str">
            <v>VAR_fin</v>
          </cell>
          <cell r="C410" t="str">
            <v>BDS1</v>
          </cell>
          <cell r="H410">
            <v>16.4686974297585</v>
          </cell>
          <cell r="I410">
            <v>27.050414253968398</v>
          </cell>
          <cell r="J410">
            <v>74.087031911017704</v>
          </cell>
        </row>
        <row r="411">
          <cell r="A411" t="str">
            <v>T_B_c-ICENGAEXT</v>
          </cell>
          <cell r="B411" t="str">
            <v>VAR_fout</v>
          </cell>
          <cell r="C411" t="str">
            <v>CO2_T</v>
          </cell>
        </row>
        <row r="412">
          <cell r="A412" t="str">
            <v>T_B_c-ICENGAEXT</v>
          </cell>
          <cell r="B412" t="str">
            <v>VAR_fout</v>
          </cell>
          <cell r="C412" t="str">
            <v>TPBSc</v>
          </cell>
        </row>
        <row r="413">
          <cell r="A413" t="str">
            <v>T_B_c-ICENGAEXT</v>
          </cell>
          <cell r="B413" t="str">
            <v>VAR_fin</v>
          </cell>
          <cell r="C413" t="str">
            <v>TNGA</v>
          </cell>
        </row>
        <row r="414">
          <cell r="A414" t="str">
            <v>T_B_c-ICENGAEXT</v>
          </cell>
          <cell r="B414" t="str">
            <v>VAR_cap</v>
          </cell>
          <cell r="C414" t="str">
            <v>-</v>
          </cell>
        </row>
        <row r="415">
          <cell r="A415" t="str">
            <v>T_B_u-ICEDSLEXT</v>
          </cell>
          <cell r="B415" t="str">
            <v>VAR_fout</v>
          </cell>
          <cell r="C415" t="str">
            <v>CO2_T</v>
          </cell>
        </row>
        <row r="416">
          <cell r="A416" t="str">
            <v>T_B_u-ICEDSLEXT</v>
          </cell>
          <cell r="B416" t="str">
            <v>VAR_fout</v>
          </cell>
          <cell r="C416" t="str">
            <v>TPBSu</v>
          </cell>
        </row>
        <row r="417">
          <cell r="A417" t="str">
            <v>T_B_u-ICEDSLEXT</v>
          </cell>
          <cell r="B417" t="str">
            <v>VAR_fin</v>
          </cell>
          <cell r="C417" t="str">
            <v>TDSL</v>
          </cell>
        </row>
        <row r="418">
          <cell r="A418" t="str">
            <v>T_B_u-ICEDSLEXT</v>
          </cell>
          <cell r="B418" t="str">
            <v>VAR_cap</v>
          </cell>
          <cell r="C418" t="str">
            <v>-</v>
          </cell>
        </row>
        <row r="419">
          <cell r="A419" t="str">
            <v>D-T-ELC-LGV</v>
          </cell>
          <cell r="B419" t="str">
            <v>VAR_fout</v>
          </cell>
          <cell r="C419" t="str">
            <v>T-ELC-LGV_BatSTGin</v>
          </cell>
          <cell r="H419">
            <v>6.2799051048856818</v>
          </cell>
          <cell r="I419">
            <v>7.3285585671331752</v>
          </cell>
          <cell r="J419">
            <v>7.9312326696451416</v>
          </cell>
        </row>
        <row r="420">
          <cell r="A420" t="str">
            <v>D-T-ELC-LGV</v>
          </cell>
          <cell r="B420" t="str">
            <v>VAR_fin</v>
          </cell>
          <cell r="C420" t="str">
            <v>TELC</v>
          </cell>
          <cell r="H420">
            <v>6.2799051048856818</v>
          </cell>
          <cell r="I420">
            <v>7.3285585671331752</v>
          </cell>
          <cell r="J420">
            <v>7.9312326696451416</v>
          </cell>
        </row>
        <row r="421">
          <cell r="A421" t="str">
            <v>D-T-ELC-LGV</v>
          </cell>
          <cell r="B421" t="str">
            <v>VAR_ncap</v>
          </cell>
          <cell r="C421" t="str">
            <v>-</v>
          </cell>
          <cell r="H421">
            <v>0.36394755537137302</v>
          </cell>
          <cell r="I421">
            <v>0.357929995097445</v>
          </cell>
          <cell r="J421">
            <v>0.59495277979623096</v>
          </cell>
        </row>
        <row r="422">
          <cell r="A422" t="str">
            <v>D-T-ELC-LGV</v>
          </cell>
          <cell r="B422" t="str">
            <v>VAR_cap</v>
          </cell>
          <cell r="C422" t="str">
            <v>-</v>
          </cell>
          <cell r="H422">
            <v>0.66378264986076596</v>
          </cell>
          <cell r="I422">
            <v>0.77462399575189</v>
          </cell>
          <cell r="J422">
            <v>0.83832522596427395</v>
          </cell>
        </row>
        <row r="423">
          <cell r="A423" t="str">
            <v>T_B_c-FCLH2O-S1</v>
          </cell>
          <cell r="B423" t="str">
            <v>VAR_fout</v>
          </cell>
          <cell r="C423" t="str">
            <v>TPBSc</v>
          </cell>
          <cell r="H423">
            <v>1.4449820068690186E-6</v>
          </cell>
        </row>
        <row r="424">
          <cell r="A424" t="str">
            <v>T_B_c-FCLH2O-S1</v>
          </cell>
          <cell r="B424" t="str">
            <v>VAR_fin</v>
          </cell>
          <cell r="C424" t="str">
            <v>TH2O</v>
          </cell>
          <cell r="H424">
            <v>5.8533358566181248E-6</v>
          </cell>
        </row>
        <row r="425">
          <cell r="A425" t="str">
            <v>T_B_c-FCLH2O-S1</v>
          </cell>
          <cell r="B425" t="str">
            <v>VAR_ncap</v>
          </cell>
          <cell r="C425" t="str">
            <v>-</v>
          </cell>
          <cell r="H425">
            <v>3.2553695380589201E-8</v>
          </cell>
          <cell r="I425">
            <v>1.5851277922978401E-8</v>
          </cell>
          <cell r="J425">
            <v>1.79086716657221E-8</v>
          </cell>
        </row>
        <row r="426">
          <cell r="A426" t="str">
            <v>T_B_c-FCLH2O-S1</v>
          </cell>
          <cell r="B426" t="str">
            <v>VAR_cap</v>
          </cell>
          <cell r="C426" t="str">
            <v>-</v>
          </cell>
          <cell r="H426">
            <v>4.4962393563468199E-8</v>
          </cell>
          <cell r="I426">
            <v>2.2107579668893299E-8</v>
          </cell>
          <cell r="J426">
            <v>3.15709750066137E-8</v>
          </cell>
        </row>
        <row r="427">
          <cell r="A427" t="str">
            <v>T_B_c-FCLH2O-S2</v>
          </cell>
          <cell r="B427" t="str">
            <v>VAR_fout</v>
          </cell>
          <cell r="C427" t="str">
            <v>TPBSc</v>
          </cell>
          <cell r="H427">
            <v>5.3932409745839901E-7</v>
          </cell>
        </row>
        <row r="428">
          <cell r="A428" t="str">
            <v>T_B_c-FCLH2O-S2</v>
          </cell>
          <cell r="B428" t="str">
            <v>VAR_fin</v>
          </cell>
          <cell r="C428" t="str">
            <v>TH2O</v>
          </cell>
          <cell r="H428">
            <v>2.9710020642639824E-6</v>
          </cell>
        </row>
        <row r="429">
          <cell r="A429" t="str">
            <v>T_B_c-FCLH2O-S2</v>
          </cell>
          <cell r="B429" t="str">
            <v>VAR_ncap</v>
          </cell>
          <cell r="C429" t="str">
            <v>-</v>
          </cell>
        </row>
        <row r="430">
          <cell r="A430" t="str">
            <v>T_B_c-FCLH2O-S2</v>
          </cell>
          <cell r="B430" t="str">
            <v>VAR_cap</v>
          </cell>
          <cell r="C430" t="str">
            <v>-</v>
          </cell>
          <cell r="H430">
            <v>-1.3086790071082002E-9</v>
          </cell>
          <cell r="I430">
            <v>-7.0446114084078697E-9</v>
          </cell>
        </row>
        <row r="431">
          <cell r="A431" t="str">
            <v>T_B_c-FCLH2O-S3</v>
          </cell>
          <cell r="B431" t="str">
            <v>VAR_fout</v>
          </cell>
          <cell r="C431" t="str">
            <v>TPBSc</v>
          </cell>
          <cell r="J431">
            <v>4.5389787480826306E-8</v>
          </cell>
        </row>
        <row r="432">
          <cell r="A432" t="str">
            <v>T_B_c-FCLH2O-S3</v>
          </cell>
          <cell r="B432" t="str">
            <v>VAR_fin</v>
          </cell>
          <cell r="C432" t="str">
            <v>TH2O</v>
          </cell>
          <cell r="J432">
            <v>3.0963799113043543E-7</v>
          </cell>
        </row>
        <row r="433">
          <cell r="A433" t="str">
            <v>T_B_c-FCLH2O-S3</v>
          </cell>
          <cell r="B433" t="str">
            <v>VAR_ncap</v>
          </cell>
          <cell r="C433" t="str">
            <v>-</v>
          </cell>
          <cell r="H433">
            <v>1.7617803945070998E-8</v>
          </cell>
          <cell r="I433">
            <v>1.9050867489536399E-8</v>
          </cell>
          <cell r="J433">
            <v>2.1798203904975E-8</v>
          </cell>
        </row>
        <row r="434">
          <cell r="A434" t="str">
            <v>T_B_c-FCLH2O-S3</v>
          </cell>
          <cell r="B434" t="str">
            <v>VAR_cap</v>
          </cell>
          <cell r="C434" t="str">
            <v>-</v>
          </cell>
          <cell r="H434">
            <v>3.1831550352299901E-8</v>
          </cell>
          <cell r="I434">
            <v>3.6668671434607503E-8</v>
          </cell>
          <cell r="J434">
            <v>2.83235307890523E-8</v>
          </cell>
        </row>
        <row r="435">
          <cell r="A435" t="str">
            <v>T_C-HYBGSLEXT</v>
          </cell>
          <cell r="B435" t="str">
            <v>VAR_fout</v>
          </cell>
          <cell r="C435" t="str">
            <v>CO2_T</v>
          </cell>
        </row>
        <row r="436">
          <cell r="A436" t="str">
            <v>T_C-HYBGSLEXT</v>
          </cell>
          <cell r="B436" t="str">
            <v>VAR_fout</v>
          </cell>
          <cell r="C436" t="str">
            <v>TPCAR</v>
          </cell>
        </row>
        <row r="437">
          <cell r="A437" t="str">
            <v>T_C-HYBGSLEXT</v>
          </cell>
          <cell r="B437" t="str">
            <v>VAR_fin</v>
          </cell>
          <cell r="C437" t="str">
            <v>TGSL</v>
          </cell>
        </row>
        <row r="438">
          <cell r="A438" t="str">
            <v>T_C-HYBGSLEXT</v>
          </cell>
          <cell r="B438" t="str">
            <v>VAR_cap</v>
          </cell>
          <cell r="C438" t="str">
            <v>-</v>
          </cell>
        </row>
        <row r="439">
          <cell r="A439" t="str">
            <v>TPAVDKEREXT</v>
          </cell>
          <cell r="B439" t="str">
            <v>VAR_fout</v>
          </cell>
          <cell r="C439" t="str">
            <v>CO2_T</v>
          </cell>
          <cell r="H439">
            <v>185.675788544743</v>
          </cell>
          <cell r="I439">
            <v>154.38211110512901</v>
          </cell>
          <cell r="J439">
            <v>123.088433665514</v>
          </cell>
        </row>
        <row r="440">
          <cell r="A440" t="str">
            <v>TPAVDKEREXT</v>
          </cell>
          <cell r="B440" t="str">
            <v>VAR_fout</v>
          </cell>
          <cell r="C440" t="str">
            <v>TPAVD</v>
          </cell>
          <cell r="H440">
            <v>2.5504916008893299</v>
          </cell>
          <cell r="I440">
            <v>2.1206333943012199</v>
          </cell>
          <cell r="J440">
            <v>1.6907751877131001</v>
          </cell>
        </row>
        <row r="441">
          <cell r="A441" t="str">
            <v>TPAVDKEREXT</v>
          </cell>
          <cell r="B441" t="str">
            <v>VAR_fin</v>
          </cell>
          <cell r="C441" t="str">
            <v>TKER</v>
          </cell>
          <cell r="H441">
            <v>2.5504916008893299</v>
          </cell>
          <cell r="I441">
            <v>2.1206333943012199</v>
          </cell>
          <cell r="J441">
            <v>1.6907751877131001</v>
          </cell>
        </row>
        <row r="442">
          <cell r="A442" t="str">
            <v>TPAVDKEREXT</v>
          </cell>
          <cell r="B442" t="str">
            <v>VAR_ncap</v>
          </cell>
          <cell r="C442" t="str">
            <v>-</v>
          </cell>
          <cell r="H442">
            <v>1.90367865071899</v>
          </cell>
          <cell r="I442">
            <v>1.5375431973882101</v>
          </cell>
          <cell r="J442">
            <v>1.3131977394287</v>
          </cell>
        </row>
        <row r="443">
          <cell r="A443" t="str">
            <v>TPAVDKEREXT</v>
          </cell>
          <cell r="B443" t="str">
            <v>VAR_cap</v>
          </cell>
          <cell r="C443" t="str">
            <v>-</v>
          </cell>
          <cell r="H443">
            <v>7.1034723297179703</v>
          </cell>
          <cell r="I443">
            <v>4.734643623380034</v>
          </cell>
          <cell r="J443">
            <v>2.6657277375297199</v>
          </cell>
        </row>
        <row r="444">
          <cell r="A444" t="str">
            <v>T_C-ICE-GSL-S1</v>
          </cell>
          <cell r="B444" t="str">
            <v>VAR_fout</v>
          </cell>
          <cell r="C444" t="str">
            <v>CO2_T</v>
          </cell>
          <cell r="H444">
            <v>48.63227915718614</v>
          </cell>
          <cell r="I444">
            <v>6.4291420899210339</v>
          </cell>
        </row>
        <row r="445">
          <cell r="A445" t="str">
            <v>T_C-ICE-GSL-S1</v>
          </cell>
          <cell r="B445" t="str">
            <v>VAR_fout</v>
          </cell>
          <cell r="C445" t="str">
            <v>TPCAR</v>
          </cell>
          <cell r="H445">
            <v>0.39496247632439396</v>
          </cell>
          <cell r="I445">
            <v>5.2180738892480767E-2</v>
          </cell>
        </row>
        <row r="446">
          <cell r="A446" t="str">
            <v>T_C-ICE-GSL-S1</v>
          </cell>
          <cell r="B446" t="str">
            <v>VAR_fin</v>
          </cell>
          <cell r="C446" t="str">
            <v>TGSL</v>
          </cell>
          <cell r="H446">
            <v>0.65897397231959387</v>
          </cell>
          <cell r="I446">
            <v>8.7115746475894762E-2</v>
          </cell>
        </row>
        <row r="447">
          <cell r="A447" t="str">
            <v>T_C-ICE-GSL-S1</v>
          </cell>
          <cell r="B447" t="str">
            <v>VAR_ncap</v>
          </cell>
          <cell r="C447" t="str">
            <v>-</v>
          </cell>
        </row>
        <row r="448">
          <cell r="A448" t="str">
            <v>T_C-ICE-GSL-S1</v>
          </cell>
          <cell r="B448" t="str">
            <v>VAR_cap</v>
          </cell>
          <cell r="C448" t="str">
            <v>-</v>
          </cell>
          <cell r="H448">
            <v>6.0010226666210573E-2</v>
          </cell>
          <cell r="I448">
            <v>7.9268446647077773E-3</v>
          </cell>
        </row>
        <row r="449">
          <cell r="A449" t="str">
            <v>V2G</v>
          </cell>
          <cell r="B449" t="str">
            <v>VAR_fout</v>
          </cell>
          <cell r="C449" t="str">
            <v>ELC35</v>
          </cell>
          <cell r="H449">
            <v>9.1669440924757026E-2</v>
          </cell>
          <cell r="I449">
            <v>0.95933778977667983</v>
          </cell>
          <cell r="J449">
            <v>0.94604364793586138</v>
          </cell>
        </row>
        <row r="450">
          <cell r="A450" t="str">
            <v>V2G</v>
          </cell>
          <cell r="B450" t="str">
            <v>VAR_fin</v>
          </cell>
          <cell r="C450" t="str">
            <v>T-ELC-Bus_c_BatSTGout_S1</v>
          </cell>
          <cell r="H450">
            <v>3.1047488631637259E-3</v>
          </cell>
          <cell r="I450">
            <v>2.6959316603735683E-3</v>
          </cell>
          <cell r="J450">
            <v>1.2991325978601897E-3</v>
          </cell>
        </row>
        <row r="451">
          <cell r="A451" t="str">
            <v>V2G</v>
          </cell>
          <cell r="B451" t="str">
            <v>VAR_fin</v>
          </cell>
          <cell r="C451" t="str">
            <v>T-ELC-Bus_c_BatSTGout_S2</v>
          </cell>
          <cell r="H451">
            <v>3.0574125782083976E-3</v>
          </cell>
          <cell r="I451">
            <v>3.1731260688971983E-3</v>
          </cell>
          <cell r="J451">
            <v>1.461857215510989E-3</v>
          </cell>
        </row>
        <row r="452">
          <cell r="A452" t="str">
            <v>V2G</v>
          </cell>
          <cell r="B452" t="str">
            <v>VAR_fin</v>
          </cell>
          <cell r="C452" t="str">
            <v>T-ELC-Bus_c_BatSTGout_S3</v>
          </cell>
          <cell r="H452">
            <v>1.6730959011980564E-3</v>
          </cell>
          <cell r="I452">
            <v>1.4794512808342982E-3</v>
          </cell>
          <cell r="J452">
            <v>8.5076900049638714E-4</v>
          </cell>
        </row>
        <row r="453">
          <cell r="A453" t="str">
            <v>V2G</v>
          </cell>
          <cell r="B453" t="str">
            <v>VAR_fin</v>
          </cell>
          <cell r="C453" t="str">
            <v>T-ELC-Bus_c_BatSTGout_S4</v>
          </cell>
          <cell r="H453">
            <v>4.3063377940602131E-5</v>
          </cell>
          <cell r="I453">
            <v>4.025732701747589E-4</v>
          </cell>
          <cell r="J453">
            <v>3.217439581895965E-4</v>
          </cell>
        </row>
        <row r="454">
          <cell r="A454" t="str">
            <v>V2G</v>
          </cell>
          <cell r="B454" t="str">
            <v>VAR_fin</v>
          </cell>
          <cell r="C454" t="str">
            <v>T-ELC-car-BatSTGOut_S1</v>
          </cell>
          <cell r="H454">
            <v>1.0995738140477041E-2</v>
          </cell>
          <cell r="I454">
            <v>0.34850163778312554</v>
          </cell>
          <cell r="J454">
            <v>0.31742912790289496</v>
          </cell>
        </row>
        <row r="455">
          <cell r="A455" t="str">
            <v>V2G</v>
          </cell>
          <cell r="B455" t="str">
            <v>VAR_fin</v>
          </cell>
          <cell r="C455" t="str">
            <v>T-ELC-car-BatSTGOut_S2</v>
          </cell>
          <cell r="H455">
            <v>7.2312494980832477E-3</v>
          </cell>
          <cell r="I455">
            <v>0.12342352287807257</v>
          </cell>
          <cell r="J455">
            <v>0.12538393975949044</v>
          </cell>
        </row>
        <row r="456">
          <cell r="A456" t="str">
            <v>V2G</v>
          </cell>
          <cell r="B456" t="str">
            <v>VAR_fin</v>
          </cell>
          <cell r="C456" t="str">
            <v>T-ELC-car-BatSTGOut_S3</v>
          </cell>
          <cell r="H456">
            <v>8.2988896309075955E-3</v>
          </cell>
          <cell r="I456">
            <v>0.11629859015294373</v>
          </cell>
          <cell r="J456">
            <v>0.12222714134931455</v>
          </cell>
        </row>
        <row r="457">
          <cell r="A457" t="str">
            <v>V2G</v>
          </cell>
          <cell r="B457" t="str">
            <v>VAR_fin</v>
          </cell>
          <cell r="C457" t="str">
            <v>T-ELC-car-BatSTGOut_S4</v>
          </cell>
          <cell r="H457">
            <v>7.0633962958072463E-3</v>
          </cell>
          <cell r="I457">
            <v>0.12652490354869536</v>
          </cell>
          <cell r="J457">
            <v>0.11327533582272901</v>
          </cell>
        </row>
        <row r="458">
          <cell r="A458" t="str">
            <v>V2G</v>
          </cell>
          <cell r="B458" t="str">
            <v>VAR_fin</v>
          </cell>
          <cell r="C458" t="str">
            <v>T-ELC-car-PlgSTGOut_S1</v>
          </cell>
          <cell r="H458">
            <v>2.7775113753673898E-3</v>
          </cell>
          <cell r="I458">
            <v>2.1882980376029711E-3</v>
          </cell>
          <cell r="J458">
            <v>5.3209801938677523E-4</v>
          </cell>
        </row>
        <row r="459">
          <cell r="A459" t="str">
            <v>V2G</v>
          </cell>
          <cell r="B459" t="str">
            <v>VAR_fin</v>
          </cell>
          <cell r="C459" t="str">
            <v>T-ELC-car-PlgSTGOut_S2</v>
          </cell>
          <cell r="H459">
            <v>5.0007079877852762E-4</v>
          </cell>
          <cell r="I459">
            <v>5.0645673877889642E-4</v>
          </cell>
          <cell r="J459">
            <v>1.2831816375048542E-3</v>
          </cell>
        </row>
        <row r="460">
          <cell r="A460" t="str">
            <v>V2G</v>
          </cell>
          <cell r="B460" t="str">
            <v>VAR_fin</v>
          </cell>
          <cell r="C460" t="str">
            <v>T-ELC-car-PlgSTGOut_S3</v>
          </cell>
          <cell r="H460">
            <v>8.5296927905211678E-3</v>
          </cell>
          <cell r="I460">
            <v>0.16824081766855156</v>
          </cell>
          <cell r="J460">
            <v>0.21483846391381795</v>
          </cell>
        </row>
        <row r="461">
          <cell r="A461" t="str">
            <v>V2G</v>
          </cell>
          <cell r="B461" t="str">
            <v>VAR_fin</v>
          </cell>
          <cell r="C461" t="str">
            <v>T-ELC-TWSTGout_S1</v>
          </cell>
          <cell r="H461">
            <v>2.4531990331406093E-3</v>
          </cell>
          <cell r="I461">
            <v>1.5863904786212267E-3</v>
          </cell>
          <cell r="J461">
            <v>1.056033040822209E-3</v>
          </cell>
        </row>
        <row r="462">
          <cell r="A462" t="str">
            <v>V2G</v>
          </cell>
          <cell r="B462" t="str">
            <v>VAR_fin</v>
          </cell>
          <cell r="C462" t="str">
            <v>T-ELC-car-PlgSTGOut_S4</v>
          </cell>
          <cell r="H462">
            <v>2.1008908248558848E-3</v>
          </cell>
          <cell r="I462">
            <v>5.279832853662657E-3</v>
          </cell>
          <cell r="J462">
            <v>1.7394770560340419E-3</v>
          </cell>
        </row>
        <row r="463">
          <cell r="A463" t="str">
            <v>V2G</v>
          </cell>
          <cell r="B463" t="str">
            <v>VAR_fin</v>
          </cell>
          <cell r="C463" t="str">
            <v>T-ELC-TWSTGout_S2</v>
          </cell>
          <cell r="H463">
            <v>5.5722456469527335E-3</v>
          </cell>
          <cell r="I463">
            <v>4.806788635827574E-3</v>
          </cell>
          <cell r="J463">
            <v>3.2452204443698856E-3</v>
          </cell>
        </row>
        <row r="464">
          <cell r="A464" t="str">
            <v>V2G</v>
          </cell>
          <cell r="B464" t="str">
            <v>VAR_fin</v>
          </cell>
          <cell r="C464" t="str">
            <v>T-ELC-TWSTGout_S3</v>
          </cell>
          <cell r="H464">
            <v>8.0015023818366931E-3</v>
          </cell>
          <cell r="I464">
            <v>7.8037509501328256E-3</v>
          </cell>
          <cell r="J464">
            <v>5.0465409111180278E-3</v>
          </cell>
        </row>
        <row r="465">
          <cell r="A465" t="str">
            <v>V2G</v>
          </cell>
          <cell r="B465" t="str">
            <v>VAR_fin</v>
          </cell>
          <cell r="C465" t="str">
            <v>T-ELC-TWSTGout_S4</v>
          </cell>
          <cell r="H465">
            <v>7.9368237368783196E-3</v>
          </cell>
          <cell r="I465">
            <v>8.9644701175762998E-3</v>
          </cell>
          <cell r="J465">
            <v>7.3628604608815852E-3</v>
          </cell>
        </row>
        <row r="466">
          <cell r="A466" t="str">
            <v>V2G</v>
          </cell>
          <cell r="B466" t="str">
            <v>VAR_fin</v>
          </cell>
          <cell r="C466" t="str">
            <v>T-ELC-Bus_u_BatSTGout_S1</v>
          </cell>
          <cell r="H466">
            <v>3.5874931680112922E-4</v>
          </cell>
          <cell r="I466">
            <v>2.8293691924695277E-4</v>
          </cell>
          <cell r="J466">
            <v>1.9458843623526112E-4</v>
          </cell>
        </row>
        <row r="467">
          <cell r="A467" t="str">
            <v>V2G</v>
          </cell>
          <cell r="B467" t="str">
            <v>VAR_fin</v>
          </cell>
          <cell r="C467" t="str">
            <v>T-ELC-Bus_u_BatSTGout_S2</v>
          </cell>
          <cell r="H467">
            <v>3.363477476983927E-4</v>
          </cell>
          <cell r="I467">
            <v>2.6176937911347479E-4</v>
          </cell>
          <cell r="J467">
            <v>1.8804356697819878E-4</v>
          </cell>
        </row>
        <row r="468">
          <cell r="A468" t="str">
            <v>V2G</v>
          </cell>
          <cell r="B468" t="str">
            <v>VAR_fin</v>
          </cell>
          <cell r="C468" t="str">
            <v>T-ELC-Bus_u_BatSTGout_S3</v>
          </cell>
          <cell r="H468">
            <v>1.4182397810360553E-4</v>
          </cell>
          <cell r="I468">
            <v>1.2322342070560094E-4</v>
          </cell>
          <cell r="J468">
            <v>1.0070844076701005E-4</v>
          </cell>
        </row>
        <row r="469">
          <cell r="A469" t="str">
            <v>V2G</v>
          </cell>
          <cell r="B469" t="str">
            <v>VAR_fin</v>
          </cell>
          <cell r="C469" t="str">
            <v>T-ELC-Bus_u_BatSTGout_S4</v>
          </cell>
          <cell r="H469">
            <v>5.6703609301084704E-3</v>
          </cell>
          <cell r="I469">
            <v>3.4170537103172995E-4</v>
          </cell>
          <cell r="J469">
            <v>2.146937463303865E-4</v>
          </cell>
        </row>
        <row r="470">
          <cell r="A470" t="str">
            <v>V2G</v>
          </cell>
          <cell r="B470" t="str">
            <v>VAR_fin</v>
          </cell>
          <cell r="C470" t="str">
            <v>T-ELC-LGV_BatSTGout</v>
          </cell>
          <cell r="H470">
            <v>8.0316162714255701E-4</v>
          </cell>
          <cell r="I470">
            <v>6.3465551137768144E-4</v>
          </cell>
          <cell r="J470">
            <v>3.9545636179209615E-4</v>
          </cell>
        </row>
        <row r="471">
          <cell r="A471" t="str">
            <v>V2G</v>
          </cell>
          <cell r="B471" t="str">
            <v>VAR_fin</v>
          </cell>
          <cell r="C471" t="str">
            <v>T-ELC-HGV_BatSTGout</v>
          </cell>
          <cell r="H471">
            <v>5.2113019316145206E-3</v>
          </cell>
          <cell r="I471">
            <v>3.5994795828009983E-2</v>
          </cell>
          <cell r="J471">
            <v>2.7741413510378895E-2</v>
          </cell>
        </row>
        <row r="472">
          <cell r="A472" t="str">
            <v>V2G</v>
          </cell>
          <cell r="B472" t="str">
            <v>VAR_ncap</v>
          </cell>
          <cell r="C472" t="str">
            <v>-</v>
          </cell>
          <cell r="H472">
            <v>0.252880010590254</v>
          </cell>
          <cell r="I472">
            <v>2.9621012721500799</v>
          </cell>
          <cell r="J472">
            <v>1.61867100500376</v>
          </cell>
        </row>
        <row r="473">
          <cell r="A473" t="str">
            <v>V2G</v>
          </cell>
          <cell r="B473" t="str">
            <v>VAR_cap</v>
          </cell>
          <cell r="C473" t="str">
            <v>-</v>
          </cell>
          <cell r="H473">
            <v>0.26195839158918971</v>
          </cell>
          <cell r="I473">
            <v>3.2211694916837721</v>
          </cell>
          <cell r="J473">
            <v>3.8753256019744207</v>
          </cell>
        </row>
        <row r="474">
          <cell r="A474" t="str">
            <v>TPSHPELCEXT</v>
          </cell>
          <cell r="B474" t="str">
            <v>VAR_fout</v>
          </cell>
          <cell r="C474" t="str">
            <v>TPSHP</v>
          </cell>
          <cell r="H474">
            <v>2.9557370851572702</v>
          </cell>
          <cell r="I474">
            <v>8.5441452867218199</v>
          </cell>
          <cell r="J474">
            <v>13.9706519201926</v>
          </cell>
        </row>
        <row r="475">
          <cell r="A475" t="str">
            <v>TPSHPELCEXT</v>
          </cell>
          <cell r="B475" t="str">
            <v>VAR_fin</v>
          </cell>
          <cell r="C475" t="str">
            <v>TELC</v>
          </cell>
          <cell r="H475">
            <v>1.1979198759227638</v>
          </cell>
          <cell r="I475">
            <v>3.4628254025480349</v>
          </cell>
          <cell r="J475">
            <v>5.6621144346154964</v>
          </cell>
        </row>
        <row r="476">
          <cell r="A476" t="str">
            <v>TPSHPELCEXT</v>
          </cell>
          <cell r="B476" t="str">
            <v>VAR_ncap</v>
          </cell>
          <cell r="C476" t="str">
            <v>-</v>
          </cell>
          <cell r="H476">
            <v>1.2752803787656099E-5</v>
          </cell>
          <cell r="I476">
            <v>5.6314826110021503</v>
          </cell>
          <cell r="J476">
            <v>7.6148089559288596</v>
          </cell>
        </row>
        <row r="477">
          <cell r="A477" t="str">
            <v>TPSHPELCEXT</v>
          </cell>
          <cell r="B477" t="str">
            <v>VAR_cap</v>
          </cell>
          <cell r="C477" t="str">
            <v>-</v>
          </cell>
          <cell r="H477">
            <v>2.9557105406303283</v>
          </cell>
          <cell r="I477">
            <v>8.5440981147650259</v>
          </cell>
          <cell r="J477">
            <v>13.970614885327295</v>
          </cell>
        </row>
        <row r="478">
          <cell r="A478" t="str">
            <v>TFLGV-ICEGSL</v>
          </cell>
          <cell r="B478" t="str">
            <v>VAR_fout</v>
          </cell>
          <cell r="C478" t="str">
            <v>CO2_T</v>
          </cell>
          <cell r="H478">
            <v>59.970183383254096</v>
          </cell>
          <cell r="I478">
            <v>1.0447357204474801E-2</v>
          </cell>
        </row>
        <row r="479">
          <cell r="A479" t="str">
            <v>TFLGV-ICEGSL</v>
          </cell>
          <cell r="B479" t="str">
            <v>VAR_fout</v>
          </cell>
          <cell r="C479" t="str">
            <v>TFLGV</v>
          </cell>
          <cell r="H479">
            <v>0.28541062670240913</v>
          </cell>
          <cell r="I479">
            <v>4.9721154728796562E-5</v>
          </cell>
        </row>
        <row r="480">
          <cell r="A480" t="str">
            <v>TFLGV-ICEGSL</v>
          </cell>
          <cell r="B480" t="str">
            <v>VAR_fin</v>
          </cell>
          <cell r="C480" t="str">
            <v>TGSL</v>
          </cell>
          <cell r="H480">
            <v>0.81260411088420104</v>
          </cell>
          <cell r="I480">
            <v>1.4156310575169124E-4</v>
          </cell>
        </row>
        <row r="481">
          <cell r="A481" t="str">
            <v>TFLGV-ICEGSL</v>
          </cell>
          <cell r="B481" t="str">
            <v>VAR_ncap</v>
          </cell>
          <cell r="C481" t="str">
            <v>-</v>
          </cell>
        </row>
        <row r="482">
          <cell r="A482" t="str">
            <v>TFLGV-ICEGSL</v>
          </cell>
          <cell r="B482" t="str">
            <v>VAR_cap</v>
          </cell>
          <cell r="C482" t="str">
            <v>-</v>
          </cell>
          <cell r="H482">
            <v>2.8381526863769799E-2</v>
          </cell>
          <cell r="I482">
            <v>4.2416397511403983E-6</v>
          </cell>
        </row>
        <row r="483">
          <cell r="A483" t="str">
            <v>T_C-ICE-GSL-S2</v>
          </cell>
          <cell r="B483" t="str">
            <v>VAR_fout</v>
          </cell>
          <cell r="C483" t="str">
            <v>CO2_T</v>
          </cell>
          <cell r="H483">
            <v>38.437709581064468</v>
          </cell>
          <cell r="I483">
            <v>3.6036011850998415</v>
          </cell>
        </row>
        <row r="484">
          <cell r="A484" t="str">
            <v>T_C-ICE-GSL-S2</v>
          </cell>
          <cell r="B484" t="str">
            <v>VAR_fout</v>
          </cell>
          <cell r="C484" t="str">
            <v>TPCAR</v>
          </cell>
          <cell r="H484">
            <v>0.29697411622421022</v>
          </cell>
          <cell r="I484">
            <v>2.7017301712116418E-2</v>
          </cell>
        </row>
        <row r="485">
          <cell r="A485" t="str">
            <v>T_C-ICE-GSL-S2</v>
          </cell>
          <cell r="B485" t="str">
            <v>VAR_fin</v>
          </cell>
          <cell r="C485" t="str">
            <v>TGSL</v>
          </cell>
          <cell r="H485">
            <v>0.52083617318515485</v>
          </cell>
          <cell r="I485">
            <v>4.8829284350946356E-2</v>
          </cell>
        </row>
        <row r="486">
          <cell r="A486" t="str">
            <v>T_C-ICE-GSL-S2</v>
          </cell>
          <cell r="B486" t="str">
            <v>VAR_ncap</v>
          </cell>
          <cell r="C486" t="str">
            <v>-</v>
          </cell>
        </row>
        <row r="487">
          <cell r="A487" t="str">
            <v>T_C-ICE-GSL-S2</v>
          </cell>
          <cell r="B487" t="str">
            <v>VAR_cap</v>
          </cell>
          <cell r="C487" t="str">
            <v>-</v>
          </cell>
          <cell r="H487">
            <v>3.1264239051666143E-2</v>
          </cell>
          <cell r="I487">
            <v>2.8445517133741725E-3</v>
          </cell>
        </row>
        <row r="488">
          <cell r="A488" t="str">
            <v>T_C-ICE-DSL-S1</v>
          </cell>
          <cell r="B488" t="str">
            <v>VAR_fout</v>
          </cell>
          <cell r="C488" t="str">
            <v>CO2_T</v>
          </cell>
          <cell r="H488">
            <v>7.54148975858078E-2</v>
          </cell>
          <cell r="I488">
            <v>1.3865717940891701E-2</v>
          </cell>
        </row>
        <row r="489">
          <cell r="A489" t="str">
            <v>T_C-ICE-DSL-S1</v>
          </cell>
          <cell r="B489" t="str">
            <v>VAR_fout</v>
          </cell>
          <cell r="C489" t="str">
            <v>TPCAR</v>
          </cell>
          <cell r="H489">
            <v>8.3640295059352878E-4</v>
          </cell>
          <cell r="I489">
            <v>1.2820064510573836E-4</v>
          </cell>
        </row>
        <row r="490">
          <cell r="A490" t="str">
            <v>T_C-ICE-DSL-S1</v>
          </cell>
          <cell r="B490" t="str">
            <v>VAR_fin</v>
          </cell>
          <cell r="C490" t="str">
            <v>TDSL</v>
          </cell>
          <cell r="H490">
            <v>1.0288526273643636E-3</v>
          </cell>
          <cell r="I490">
            <v>1.8916395553740363E-4</v>
          </cell>
        </row>
        <row r="491">
          <cell r="A491" t="str">
            <v>T_C-ICE-DSL-S1</v>
          </cell>
          <cell r="B491" t="str">
            <v>VAR_ncap</v>
          </cell>
          <cell r="C491" t="str">
            <v>-</v>
          </cell>
        </row>
        <row r="492">
          <cell r="A492" t="str">
            <v>T_C-ICE-DSL-S1</v>
          </cell>
          <cell r="B492" t="str">
            <v>VAR_cap</v>
          </cell>
          <cell r="C492" t="str">
            <v>-</v>
          </cell>
          <cell r="H492">
            <v>1.1888488652851902E-4</v>
          </cell>
          <cell r="I492">
            <v>1.7643363916041989E-5</v>
          </cell>
        </row>
        <row r="493">
          <cell r="A493" t="str">
            <v>T_C-ICE-GSL-S3</v>
          </cell>
          <cell r="B493" t="str">
            <v>VAR_fout</v>
          </cell>
          <cell r="C493" t="str">
            <v>CO2_T</v>
          </cell>
          <cell r="H493">
            <v>105.08292230626961</v>
          </cell>
          <cell r="I493">
            <v>8.1644942433760281</v>
          </cell>
        </row>
        <row r="494">
          <cell r="A494" t="str">
            <v>T_C-ICE-GSL-S3</v>
          </cell>
          <cell r="B494" t="str">
            <v>VAR_fout</v>
          </cell>
          <cell r="C494" t="str">
            <v>TPCAR</v>
          </cell>
          <cell r="H494">
            <v>0.69609628073687158</v>
          </cell>
          <cell r="I494">
            <v>5.3348854932971118E-2</v>
          </cell>
        </row>
        <row r="495">
          <cell r="A495" t="str">
            <v>T_C-ICE-GSL-S3</v>
          </cell>
          <cell r="B495" t="str">
            <v>VAR_fin</v>
          </cell>
          <cell r="C495" t="str">
            <v>TGSL</v>
          </cell>
          <cell r="H495">
            <v>1.4238878361283167</v>
          </cell>
          <cell r="I495">
            <v>0.11063000329777828</v>
          </cell>
        </row>
        <row r="496">
          <cell r="A496" t="str">
            <v>T_C-ICE-GSL-S3</v>
          </cell>
          <cell r="B496" t="str">
            <v>VAR_ncap</v>
          </cell>
          <cell r="C496" t="str">
            <v>-</v>
          </cell>
        </row>
        <row r="497">
          <cell r="A497" t="str">
            <v>T_C-ICE-GSL-S3</v>
          </cell>
          <cell r="B497" t="str">
            <v>VAR_cap</v>
          </cell>
          <cell r="C497" t="str">
            <v>-</v>
          </cell>
          <cell r="H497">
            <v>4.7914406725864132E-2</v>
          </cell>
          <cell r="I497">
            <v>5.2327410050465959E-3</v>
          </cell>
        </row>
        <row r="498">
          <cell r="A498" t="str">
            <v>T_C-ICE-DSL-S2</v>
          </cell>
          <cell r="B498" t="str">
            <v>VAR_fout</v>
          </cell>
          <cell r="C498" t="str">
            <v>CO2_T</v>
          </cell>
          <cell r="H498">
            <v>1.56851204058243</v>
          </cell>
          <cell r="I498">
            <v>1.2914222091523889E-2</v>
          </cell>
        </row>
        <row r="499">
          <cell r="A499" t="str">
            <v>T_C-ICE-DSL-S2</v>
          </cell>
          <cell r="B499" t="str">
            <v>VAR_fout</v>
          </cell>
          <cell r="C499" t="str">
            <v>TPCAR</v>
          </cell>
          <cell r="H499">
            <v>1.7661960562403545E-2</v>
          </cell>
          <cell r="I499">
            <v>9.8676927045924322E-5</v>
          </cell>
        </row>
        <row r="500">
          <cell r="A500" t="str">
            <v>T_C-ICE-DSL-S2</v>
          </cell>
          <cell r="B500" t="str">
            <v>VAR_fin</v>
          </cell>
          <cell r="C500" t="str">
            <v>TDSL</v>
          </cell>
          <cell r="H500">
            <v>2.1398527156649826E-2</v>
          </cell>
          <cell r="I500">
            <v>1.7618311175339533E-4</v>
          </cell>
        </row>
        <row r="501">
          <cell r="A501" t="str">
            <v>T_C-ICE-DSL-S2</v>
          </cell>
          <cell r="B501" t="str">
            <v>VAR_ncap</v>
          </cell>
          <cell r="C501" t="str">
            <v>-</v>
          </cell>
        </row>
        <row r="502">
          <cell r="A502" t="str">
            <v>T_C-ICE-DSL-S2</v>
          </cell>
          <cell r="B502" t="str">
            <v>VAR_cap</v>
          </cell>
          <cell r="C502" t="str">
            <v>-</v>
          </cell>
          <cell r="H502">
            <v>1.8103556425944885E-3</v>
          </cell>
          <cell r="I502">
            <v>8.6720667877330294E-6</v>
          </cell>
        </row>
        <row r="503">
          <cell r="A503" t="str">
            <v>TPRLPH2OFCL</v>
          </cell>
          <cell r="B503" t="str">
            <v>VAR_fout</v>
          </cell>
          <cell r="C503" t="str">
            <v>TPRLP</v>
          </cell>
          <cell r="I503">
            <v>1.2170562629271232E-6</v>
          </cell>
          <cell r="J503">
            <v>2.4547831955142349E-6</v>
          </cell>
        </row>
        <row r="504">
          <cell r="A504" t="str">
            <v>TPRLPH2OFCL</v>
          </cell>
          <cell r="B504" t="str">
            <v>VAR_fin</v>
          </cell>
          <cell r="C504" t="str">
            <v>TH2O</v>
          </cell>
          <cell r="I504">
            <v>6.783324851193328E-5</v>
          </cell>
          <cell r="J504">
            <v>1.2705866272235636E-4</v>
          </cell>
        </row>
        <row r="505">
          <cell r="A505" t="str">
            <v>TPRLPH2OFCL</v>
          </cell>
          <cell r="B505" t="str">
            <v>VAR_ncap</v>
          </cell>
          <cell r="C505" t="str">
            <v>-</v>
          </cell>
          <cell r="I505">
            <v>6.2634753080696401E-8</v>
          </cell>
        </row>
        <row r="506">
          <cell r="A506" t="str">
            <v>TPRLPH2OFCL</v>
          </cell>
          <cell r="B506" t="str">
            <v>VAR_cap</v>
          </cell>
          <cell r="C506" t="str">
            <v>-</v>
          </cell>
          <cell r="I506">
            <v>6.2634753080696401E-8</v>
          </cell>
          <cell r="J506">
            <v>6.2634753080696401E-8</v>
          </cell>
        </row>
        <row r="507">
          <cell r="A507" t="str">
            <v>T_C-ICE-GSL-S4</v>
          </cell>
          <cell r="B507" t="str">
            <v>VAR_fout</v>
          </cell>
          <cell r="C507" t="str">
            <v>CO2_T</v>
          </cell>
          <cell r="H507">
            <v>141.00852151781891</v>
          </cell>
          <cell r="I507">
            <v>17.223135226704123</v>
          </cell>
        </row>
        <row r="508">
          <cell r="A508" t="str">
            <v>T_C-ICE-GSL-S4</v>
          </cell>
          <cell r="B508" t="str">
            <v>VAR_fout</v>
          </cell>
          <cell r="C508" t="str">
            <v>TPCAR</v>
          </cell>
          <cell r="H508">
            <v>0.82929588432458901</v>
          </cell>
          <cell r="I508">
            <v>0.10139042664478098</v>
          </cell>
        </row>
        <row r="509">
          <cell r="A509" t="str">
            <v>T_C-ICE-GSL-S4</v>
          </cell>
          <cell r="B509" t="str">
            <v>VAR_fin</v>
          </cell>
          <cell r="C509" t="str">
            <v>TGSL</v>
          </cell>
          <cell r="H509">
            <v>1.9106845734121842</v>
          </cell>
          <cell r="I509">
            <v>0.23337581608000163</v>
          </cell>
        </row>
        <row r="510">
          <cell r="A510" t="str">
            <v>T_C-ICE-GSL-S4</v>
          </cell>
          <cell r="B510" t="str">
            <v>VAR_ncap</v>
          </cell>
          <cell r="C510" t="str">
            <v>-</v>
          </cell>
        </row>
        <row r="511">
          <cell r="A511" t="str">
            <v>T_C-ICE-GSL-S4</v>
          </cell>
          <cell r="B511" t="str">
            <v>VAR_cap</v>
          </cell>
          <cell r="C511" t="str">
            <v>-</v>
          </cell>
          <cell r="H511">
            <v>9.3196419168873543E-2</v>
          </cell>
          <cell r="I511">
            <v>1.139878263094945E-2</v>
          </cell>
        </row>
        <row r="512">
          <cell r="A512" t="str">
            <v>T_C-ICE-DSL-S3</v>
          </cell>
          <cell r="B512" t="str">
            <v>VAR_fout</v>
          </cell>
          <cell r="C512" t="str">
            <v>CO2_T</v>
          </cell>
          <cell r="H512">
            <v>10.139817380671662</v>
          </cell>
          <cell r="I512">
            <v>1.2352416204026832E-2</v>
          </cell>
        </row>
        <row r="513">
          <cell r="A513" t="str">
            <v>T_C-ICE-DSL-S3</v>
          </cell>
          <cell r="B513" t="str">
            <v>VAR_fout</v>
          </cell>
          <cell r="C513" t="str">
            <v>TPCAR</v>
          </cell>
          <cell r="H513">
            <v>8.1773952617343576E-2</v>
          </cell>
          <cell r="I513">
            <v>8.1971085500147074E-5</v>
          </cell>
        </row>
        <row r="514">
          <cell r="A514" t="str">
            <v>T_C-ICE-DSL-S3</v>
          </cell>
          <cell r="B514" t="str">
            <v>VAR_fin</v>
          </cell>
          <cell r="C514" t="str">
            <v>TDSL</v>
          </cell>
          <cell r="H514">
            <v>0.13833311569811263</v>
          </cell>
          <cell r="I514">
            <v>1.6851863852696886E-4</v>
          </cell>
        </row>
        <row r="515">
          <cell r="A515" t="str">
            <v>T_C-ICE-DSL-S3</v>
          </cell>
          <cell r="B515" t="str">
            <v>VAR_ncap</v>
          </cell>
          <cell r="C515" t="str">
            <v>-</v>
          </cell>
        </row>
        <row r="516">
          <cell r="A516" t="str">
            <v>T_C-ICE-DSL-S3</v>
          </cell>
          <cell r="B516" t="str">
            <v>VAR_cap</v>
          </cell>
          <cell r="C516" t="str">
            <v>-</v>
          </cell>
          <cell r="H516">
            <v>5.6450624587660808E-3</v>
          </cell>
          <cell r="I516">
            <v>6.4340253844048473E-6</v>
          </cell>
        </row>
        <row r="517">
          <cell r="A517" t="str">
            <v>T_C-ICE-DSL-S4</v>
          </cell>
          <cell r="B517" t="str">
            <v>VAR_fout</v>
          </cell>
          <cell r="C517" t="str">
            <v>CO2_T</v>
          </cell>
          <cell r="H517">
            <v>5.7156520126977011</v>
          </cell>
          <cell r="I517">
            <v>9.1283613452679702E-3</v>
          </cell>
        </row>
        <row r="518">
          <cell r="A518" t="str">
            <v>T_C-ICE-DSL-S4</v>
          </cell>
          <cell r="B518" t="str">
            <v>VAR_fout</v>
          </cell>
          <cell r="C518" t="str">
            <v>TPCAR</v>
          </cell>
          <cell r="H518">
            <v>3.0462941553373053E-2</v>
          </cell>
          <cell r="I518">
            <v>5.2611057532707502E-5</v>
          </cell>
        </row>
        <row r="519">
          <cell r="A519" t="str">
            <v>T_C-ICE-DSL-S4</v>
          </cell>
          <cell r="B519" t="str">
            <v>VAR_fin</v>
          </cell>
          <cell r="C519" t="str">
            <v>TDSL</v>
          </cell>
          <cell r="H519">
            <v>7.7976152969954957E-2</v>
          </cell>
          <cell r="I519">
            <v>1.2453426119055897E-4</v>
          </cell>
        </row>
        <row r="520">
          <cell r="A520" t="str">
            <v>T_C-ICE-DSL-S4</v>
          </cell>
          <cell r="B520" t="str">
            <v>VAR_ncap</v>
          </cell>
          <cell r="C520" t="str">
            <v>-</v>
          </cell>
        </row>
        <row r="521">
          <cell r="A521" t="str">
            <v>T_C-ICE-DSL-S4</v>
          </cell>
          <cell r="B521" t="str">
            <v>VAR_cap</v>
          </cell>
          <cell r="C521" t="str">
            <v>-</v>
          </cell>
          <cell r="H521">
            <v>3.3847059475719059E-3</v>
          </cell>
          <cell r="I521">
            <v>4.7867273431784546E-6</v>
          </cell>
        </row>
        <row r="522">
          <cell r="A522" t="str">
            <v>TFLGV-ICENGAExt</v>
          </cell>
          <cell r="B522" t="str">
            <v>VAR_fout</v>
          </cell>
          <cell r="C522" t="str">
            <v>CO2_T</v>
          </cell>
        </row>
        <row r="523">
          <cell r="A523" t="str">
            <v>TFLGV-ICENGAExt</v>
          </cell>
          <cell r="B523" t="str">
            <v>VAR_fout</v>
          </cell>
          <cell r="C523" t="str">
            <v>TFLGV</v>
          </cell>
        </row>
        <row r="524">
          <cell r="A524" t="str">
            <v>TFLGV-ICENGAExt</v>
          </cell>
          <cell r="B524" t="str">
            <v>VAR_fin</v>
          </cell>
          <cell r="C524" t="str">
            <v>TNGA</v>
          </cell>
        </row>
        <row r="525">
          <cell r="A525" t="str">
            <v>TFLGV-ICENGAExt</v>
          </cell>
          <cell r="B525" t="str">
            <v>VAR_cap</v>
          </cell>
          <cell r="C525" t="str">
            <v>-</v>
          </cell>
        </row>
        <row r="526">
          <cell r="A526" t="str">
            <v>D-TGSL</v>
          </cell>
          <cell r="B526" t="str">
            <v>VAR_fout</v>
          </cell>
          <cell r="C526" t="str">
            <v>CO2</v>
          </cell>
          <cell r="H526">
            <v>1283.5247785076999</v>
          </cell>
          <cell r="I526">
            <v>275.30911921015399</v>
          </cell>
          <cell r="J526">
            <v>84.924249783058301</v>
          </cell>
        </row>
        <row r="527">
          <cell r="A527" t="str">
            <v>D-TGSL</v>
          </cell>
          <cell r="B527" t="str">
            <v>VAR_fout</v>
          </cell>
          <cell r="C527" t="str">
            <v>TGSL</v>
          </cell>
          <cell r="H527">
            <v>18.57723674060145</v>
          </cell>
          <cell r="I527">
            <v>6.0293506700161954</v>
          </cell>
          <cell r="J527">
            <v>1.3218690944486922</v>
          </cell>
        </row>
        <row r="528">
          <cell r="A528" t="str">
            <v>D-TGSL</v>
          </cell>
          <cell r="B528" t="str">
            <v>VAR_fin</v>
          </cell>
          <cell r="C528" t="str">
            <v>GSL</v>
          </cell>
          <cell r="H528">
            <v>17.391934668126066</v>
          </cell>
          <cell r="I528">
            <v>3.7304758700562868</v>
          </cell>
          <cell r="J528">
            <v>1.1507350919113595</v>
          </cell>
        </row>
        <row r="529">
          <cell r="A529" t="str">
            <v>D-TGSL</v>
          </cell>
          <cell r="B529" t="str">
            <v>VAR_fin</v>
          </cell>
          <cell r="C529" t="str">
            <v>ETH</v>
          </cell>
          <cell r="H529">
            <v>1.4623871606810022</v>
          </cell>
          <cell r="I529">
            <v>2.3888075399535622</v>
          </cell>
          <cell r="J529">
            <v>0.19085224833945671</v>
          </cell>
        </row>
        <row r="530">
          <cell r="A530" t="str">
            <v>T_TW-BEVELC-S1</v>
          </cell>
          <cell r="B530" t="str">
            <v>VAR_fout</v>
          </cell>
          <cell r="C530" t="str">
            <v>TPTWL</v>
          </cell>
          <cell r="H530">
            <v>0.19990818485394155</v>
          </cell>
          <cell r="I530">
            <v>1.0488563433654294</v>
          </cell>
          <cell r="J530">
            <v>0.87750215226307016</v>
          </cell>
        </row>
        <row r="531">
          <cell r="A531" t="str">
            <v>T_TW-BEVELC-S1</v>
          </cell>
          <cell r="B531" t="str">
            <v>VAR_fin</v>
          </cell>
          <cell r="C531" t="str">
            <v>T-ELC-TWSTGout_S1</v>
          </cell>
          <cell r="H531">
            <v>1.7363012124796455E-2</v>
          </cell>
          <cell r="I531">
            <v>9.0237129593481791E-2</v>
          </cell>
          <cell r="J531">
            <v>7.4568211322496344E-2</v>
          </cell>
        </row>
        <row r="532">
          <cell r="A532" t="str">
            <v>T_TW-BEVELC-S1</v>
          </cell>
          <cell r="B532" t="str">
            <v>VAR_ncap</v>
          </cell>
          <cell r="C532" t="str">
            <v>-</v>
          </cell>
          <cell r="H532">
            <v>6.7779607143328202E-2</v>
          </cell>
          <cell r="I532">
            <v>0.29308868780816599</v>
          </cell>
          <cell r="J532">
            <v>0.14353097215304</v>
          </cell>
        </row>
        <row r="533">
          <cell r="A533" t="str">
            <v>T_TW-BEVELC-S1</v>
          </cell>
          <cell r="B533" t="str">
            <v>VAR_cap</v>
          </cell>
          <cell r="C533" t="str">
            <v>-</v>
          </cell>
          <cell r="H533">
            <v>6.8881236597505391E-2</v>
          </cell>
          <cell r="I533">
            <v>0.3610205533612848</v>
          </cell>
          <cell r="J533">
            <v>0.30241088351068818</v>
          </cell>
        </row>
        <row r="534">
          <cell r="A534" t="str">
            <v>T_TW-BEVELC-S2</v>
          </cell>
          <cell r="B534" t="str">
            <v>VAR_fout</v>
          </cell>
          <cell r="C534" t="str">
            <v>TPTWL</v>
          </cell>
          <cell r="H534">
            <v>2.2369125826523068E-3</v>
          </cell>
          <cell r="I534">
            <v>2.1147307632380079E-3</v>
          </cell>
          <cell r="J534">
            <v>1.3698120757898043E-3</v>
          </cell>
        </row>
        <row r="535">
          <cell r="A535" t="str">
            <v>T_TW-BEVELC-S2</v>
          </cell>
          <cell r="B535" t="str">
            <v>VAR_fin</v>
          </cell>
          <cell r="C535" t="str">
            <v>T-ELC-TWSTGout_S2</v>
          </cell>
          <cell r="H535">
            <v>3.461881031514308E-4</v>
          </cell>
          <cell r="I535">
            <v>3.234702282278571E-4</v>
          </cell>
          <cell r="J535">
            <v>2.0637055486630383E-4</v>
          </cell>
        </row>
        <row r="536">
          <cell r="A536" t="str">
            <v>T_TW-BEVELC-S2</v>
          </cell>
          <cell r="B536" t="str">
            <v>VAR_ncap</v>
          </cell>
          <cell r="C536" t="str">
            <v>-</v>
          </cell>
          <cell r="H536">
            <v>4.3013035012567501E-4</v>
          </cell>
          <cell r="I536">
            <v>2.5247825226257502E-4</v>
          </cell>
          <cell r="J536">
            <v>2.21471941955291E-4</v>
          </cell>
        </row>
        <row r="537">
          <cell r="A537" t="str">
            <v>T_TW-BEVELC-S2</v>
          </cell>
          <cell r="B537" t="str">
            <v>VAR_cap</v>
          </cell>
          <cell r="C537" t="str">
            <v>-</v>
          </cell>
          <cell r="H537">
            <v>8.4128628514995151E-4</v>
          </cell>
          <cell r="I537">
            <v>7.8053068007448673E-4</v>
          </cell>
          <cell r="J537">
            <v>5.3351647686748782E-4</v>
          </cell>
        </row>
        <row r="538">
          <cell r="A538" t="str">
            <v>TFRLFH2OFCL</v>
          </cell>
          <cell r="B538" t="str">
            <v>VAR_fout</v>
          </cell>
          <cell r="C538" t="str">
            <v>TFRLF</v>
          </cell>
          <cell r="I538">
            <v>3.0514041608848267E-7</v>
          </cell>
          <cell r="J538">
            <v>3.6404787334620507E-7</v>
          </cell>
        </row>
        <row r="539">
          <cell r="A539" t="str">
            <v>TFRLFH2OFCL</v>
          </cell>
          <cell r="B539" t="str">
            <v>VAR_fin</v>
          </cell>
          <cell r="C539" t="str">
            <v>TH2O</v>
          </cell>
          <cell r="I539">
            <v>4.1817970015939666E-5</v>
          </cell>
          <cell r="J539">
            <v>6.1348457902219935E-5</v>
          </cell>
        </row>
        <row r="540">
          <cell r="A540" t="str">
            <v>TFRLFH2OFCL</v>
          </cell>
          <cell r="B540" t="str">
            <v>VAR_ncap</v>
          </cell>
          <cell r="C540" t="str">
            <v>-</v>
          </cell>
          <cell r="I540">
            <v>1.3317259623591899E-7</v>
          </cell>
        </row>
        <row r="541">
          <cell r="A541" t="str">
            <v>TFRLFH2OFCL</v>
          </cell>
          <cell r="B541" t="str">
            <v>VAR_cap</v>
          </cell>
          <cell r="C541" t="str">
            <v>-</v>
          </cell>
          <cell r="I541">
            <v>1.3317259623591899E-7</v>
          </cell>
          <cell r="J541">
            <v>1.3317259623591899E-7</v>
          </cell>
        </row>
        <row r="542">
          <cell r="A542" t="str">
            <v>T_TW-BEVELC-S3</v>
          </cell>
          <cell r="B542" t="str">
            <v>VAR_fout</v>
          </cell>
          <cell r="C542" t="str">
            <v>TPTWL</v>
          </cell>
          <cell r="H542">
            <v>1.4326382892583674E-3</v>
          </cell>
          <cell r="I542">
            <v>1.2323815760347291E-3</v>
          </cell>
          <cell r="J542">
            <v>7.0028500078767183E-4</v>
          </cell>
        </row>
        <row r="543">
          <cell r="A543" t="str">
            <v>T_TW-BEVELC-S3</v>
          </cell>
          <cell r="B543" t="str">
            <v>VAR_fin</v>
          </cell>
          <cell r="C543" t="str">
            <v>T-ELC-TWSTGout_S3</v>
          </cell>
          <cell r="H543">
            <v>3.4472374505643794E-4</v>
          </cell>
          <cell r="I543">
            <v>2.9283152414843973E-4</v>
          </cell>
          <cell r="J543">
            <v>1.6151757600299234E-4</v>
          </cell>
        </row>
        <row r="544">
          <cell r="A544" t="str">
            <v>T_TW-BEVELC-S3</v>
          </cell>
          <cell r="B544" t="str">
            <v>VAR_ncap</v>
          </cell>
          <cell r="C544" t="str">
            <v>-</v>
          </cell>
          <cell r="H544">
            <v>9.9279091613479304E-5</v>
          </cell>
          <cell r="I544">
            <v>8.6172982715778803E-5</v>
          </cell>
          <cell r="J544">
            <v>8.3845463100273103E-5</v>
          </cell>
        </row>
        <row r="545">
          <cell r="A545" t="str">
            <v>T_TW-BEVELC-S3</v>
          </cell>
          <cell r="B545" t="str">
            <v>VAR_cap</v>
          </cell>
          <cell r="C545" t="str">
            <v>-</v>
          </cell>
          <cell r="H545">
            <v>5.4263673209463891E-4</v>
          </cell>
          <cell r="I545">
            <v>4.6557359516796943E-4</v>
          </cell>
          <cell r="J545">
            <v>2.7106066642938715E-4</v>
          </cell>
        </row>
        <row r="546">
          <cell r="A546" t="str">
            <v>T_TW-BEVELC-S4</v>
          </cell>
          <cell r="B546" t="str">
            <v>VAR_fout</v>
          </cell>
          <cell r="C546" t="str">
            <v>TPTWL</v>
          </cell>
          <cell r="H546">
            <v>1.3013055385574426E-3</v>
          </cell>
          <cell r="I546">
            <v>1.5504131155905738E-3</v>
          </cell>
          <cell r="J546">
            <v>9.8458694953229716E-4</v>
          </cell>
        </row>
        <row r="547">
          <cell r="A547" t="str">
            <v>T_TW-BEVELC-S4</v>
          </cell>
          <cell r="B547" t="str">
            <v>VAR_fin</v>
          </cell>
          <cell r="C547" t="str">
            <v>T-ELC-TWSTGout_S4</v>
          </cell>
          <cell r="H547">
            <v>3.3939307206128062E-4</v>
          </cell>
          <cell r="I547">
            <v>4.0161022764455929E-4</v>
          </cell>
          <cell r="J547">
            <v>2.4821988245995558E-4</v>
          </cell>
        </row>
        <row r="548">
          <cell r="A548" t="str">
            <v>T_TW-BEVELC-S4</v>
          </cell>
          <cell r="B548" t="str">
            <v>VAR_ncap</v>
          </cell>
          <cell r="C548" t="str">
            <v>-</v>
          </cell>
          <cell r="H548">
            <v>9.5836354909260301E-5</v>
          </cell>
          <cell r="I548">
            <v>9.1277273593389304E-5</v>
          </cell>
          <cell r="J548">
            <v>8.1488420242837101E-5</v>
          </cell>
        </row>
        <row r="549">
          <cell r="A549" t="str">
            <v>T_TW-BEVELC-S4</v>
          </cell>
          <cell r="B549" t="str">
            <v>VAR_cap</v>
          </cell>
          <cell r="C549" t="str">
            <v>-</v>
          </cell>
          <cell r="H549">
            <v>4.9209834862361745E-4</v>
          </cell>
          <cell r="I549">
            <v>5.8263417834871368E-4</v>
          </cell>
          <cell r="J549">
            <v>3.8176760711879418E-4</v>
          </cell>
        </row>
        <row r="550">
          <cell r="A550" t="str">
            <v>T_B_u-BeVELCEXT</v>
          </cell>
          <cell r="B550" t="str">
            <v>VAR_fout</v>
          </cell>
          <cell r="C550" t="str">
            <v>TPBSu</v>
          </cell>
        </row>
        <row r="551">
          <cell r="A551" t="str">
            <v>T_B_u-BeVELCEXT</v>
          </cell>
          <cell r="B551" t="str">
            <v>VAR_fin</v>
          </cell>
          <cell r="C551" t="str">
            <v>TELC</v>
          </cell>
        </row>
        <row r="552">
          <cell r="A552" t="str">
            <v>T_B_u-BeVELCEXT</v>
          </cell>
          <cell r="B552" t="str">
            <v>VAR_cap</v>
          </cell>
          <cell r="C552" t="str">
            <v>-</v>
          </cell>
        </row>
        <row r="553">
          <cell r="A553" t="str">
            <v>T_B_u-HYBDSL-S1</v>
          </cell>
          <cell r="B553" t="str">
            <v>VAR_fout</v>
          </cell>
          <cell r="C553" t="str">
            <v>CO2_T</v>
          </cell>
          <cell r="H553">
            <v>1.9378746622988E-3</v>
          </cell>
          <cell r="J553">
            <v>1.7136581271027601E-4</v>
          </cell>
        </row>
        <row r="554">
          <cell r="A554" t="str">
            <v>T_B_u-HYBDSL-S1</v>
          </cell>
          <cell r="B554" t="str">
            <v>VAR_fout</v>
          </cell>
          <cell r="C554" t="str">
            <v>TPBSu</v>
          </cell>
          <cell r="H554">
            <v>5.1422731615980343E-6</v>
          </cell>
          <cell r="J554">
            <v>4.5473003835560447E-7</v>
          </cell>
        </row>
        <row r="555">
          <cell r="A555" t="str">
            <v>T_B_u-HYBDSL-S1</v>
          </cell>
          <cell r="B555" t="str">
            <v>VAR_fin</v>
          </cell>
          <cell r="C555" t="str">
            <v>TDSL</v>
          </cell>
          <cell r="H555">
            <v>2.6437580658919494E-5</v>
          </cell>
          <cell r="J555">
            <v>2.3378692047786602E-6</v>
          </cell>
        </row>
        <row r="556">
          <cell r="A556" t="str">
            <v>T_B_u-HYBDSL-S1</v>
          </cell>
          <cell r="B556" t="str">
            <v>VAR_ncap</v>
          </cell>
          <cell r="C556" t="str">
            <v>-</v>
          </cell>
          <cell r="H556">
            <v>1.10139161784355E-7</v>
          </cell>
        </row>
        <row r="557">
          <cell r="A557" t="str">
            <v>T_B_u-HYBDSL-S1</v>
          </cell>
          <cell r="B557" t="str">
            <v>VAR_cap</v>
          </cell>
          <cell r="C557" t="str">
            <v>-</v>
          </cell>
          <cell r="H557">
            <v>1.1369014598979993E-7</v>
          </cell>
          <cell r="I557">
            <v>-4.393489087373995E-9</v>
          </cell>
          <cell r="J557">
            <v>1.9328171307344301E-8</v>
          </cell>
        </row>
        <row r="558">
          <cell r="A558" t="str">
            <v>T_B_u-HYBDSL-S2</v>
          </cell>
          <cell r="B558" t="str">
            <v>VAR_fout</v>
          </cell>
          <cell r="C558" t="str">
            <v>CO2_T</v>
          </cell>
          <cell r="H558">
            <v>1.9953844096303299E-3</v>
          </cell>
          <cell r="J558">
            <v>2.115742968342E-5</v>
          </cell>
        </row>
        <row r="559">
          <cell r="A559" t="str">
            <v>T_B_u-HYBDSL-S2</v>
          </cell>
          <cell r="B559" t="str">
            <v>VAR_fout</v>
          </cell>
          <cell r="C559" t="str">
            <v>TPBSu</v>
          </cell>
          <cell r="H559">
            <v>3.7947352497395645E-6</v>
          </cell>
          <cell r="J559">
            <v>4.0236279198169304E-8</v>
          </cell>
        </row>
        <row r="560">
          <cell r="A560" t="str">
            <v>T_B_u-HYBDSL-S2</v>
          </cell>
          <cell r="B560" t="str">
            <v>VAR_fin</v>
          </cell>
          <cell r="C560" t="str">
            <v>TDSL</v>
          </cell>
          <cell r="H560">
            <v>2.7222161113647053E-5</v>
          </cell>
          <cell r="J560">
            <v>2.8864160550368361E-7</v>
          </cell>
        </row>
        <row r="561">
          <cell r="A561" t="str">
            <v>T_B_u-HYBDSL-S2</v>
          </cell>
          <cell r="B561" t="str">
            <v>VAR_ncap</v>
          </cell>
          <cell r="C561" t="str">
            <v>-</v>
          </cell>
          <cell r="H561">
            <v>5.4163506461698902E-8</v>
          </cell>
        </row>
        <row r="562">
          <cell r="A562" t="str">
            <v>T_B_u-HYBDSL-S2</v>
          </cell>
          <cell r="B562" t="str">
            <v>VAR_cap</v>
          </cell>
          <cell r="C562" t="str">
            <v>-</v>
          </cell>
          <cell r="H562">
            <v>1.7469769067895004E-8</v>
          </cell>
          <cell r="I562">
            <v>-2.6728227033960392E-8</v>
          </cell>
          <cell r="J562">
            <v>9.5050798874599407E-9</v>
          </cell>
        </row>
        <row r="563">
          <cell r="A563" t="str">
            <v>T_B_u-HYBDSL-S3</v>
          </cell>
          <cell r="B563" t="str">
            <v>VAR_fout</v>
          </cell>
          <cell r="C563" t="str">
            <v>CO2_T</v>
          </cell>
          <cell r="H563">
            <v>1.43876214697002E-3</v>
          </cell>
          <cell r="J563">
            <v>1.96086646909112E-3</v>
          </cell>
        </row>
        <row r="564">
          <cell r="A564" t="str">
            <v>T_B_u-HYBDSL-S3</v>
          </cell>
          <cell r="B564" t="str">
            <v>VAR_fout</v>
          </cell>
          <cell r="C564" t="str">
            <v>TPBSu</v>
          </cell>
          <cell r="H564">
            <v>1.8406174539185694E-6</v>
          </cell>
          <cell r="J564">
            <v>2.6412040058195487E-6</v>
          </cell>
        </row>
        <row r="565">
          <cell r="A565" t="str">
            <v>T_B_u-HYBDSL-S3</v>
          </cell>
          <cell r="B565" t="str">
            <v>VAR_fin</v>
          </cell>
          <cell r="C565" t="str">
            <v>TDSL</v>
          </cell>
          <cell r="H565">
            <v>1.9628405824966137E-5</v>
          </cell>
          <cell r="J565">
            <v>2.6751247873003039E-5</v>
          </cell>
        </row>
        <row r="566">
          <cell r="A566" t="str">
            <v>T_B_u-HYBDSL-S3</v>
          </cell>
          <cell r="B566" t="str">
            <v>VAR_ncap</v>
          </cell>
          <cell r="C566" t="str">
            <v>-</v>
          </cell>
          <cell r="I566">
            <v>1.27713875568582E-8</v>
          </cell>
        </row>
        <row r="567">
          <cell r="A567" t="str">
            <v>T_B_u-HYBDSL-S3</v>
          </cell>
          <cell r="B567" t="str">
            <v>VAR_cap</v>
          </cell>
          <cell r="C567" t="str">
            <v>-</v>
          </cell>
          <cell r="H567">
            <v>-2.0758287730986199E-8</v>
          </cell>
          <cell r="I567">
            <v>-1.6602514950285099E-8</v>
          </cell>
          <cell r="J567">
            <v>4.3744715886302501E-9</v>
          </cell>
        </row>
        <row r="568">
          <cell r="A568" t="str">
            <v>T_C-HY-GSL-S1</v>
          </cell>
          <cell r="B568" t="str">
            <v>VAR_fout</v>
          </cell>
          <cell r="C568" t="str">
            <v>CO2_T</v>
          </cell>
          <cell r="H568">
            <v>0.19758643766244732</v>
          </cell>
          <cell r="I568">
            <v>2.188727989338533E-2</v>
          </cell>
        </row>
        <row r="569">
          <cell r="A569" t="str">
            <v>T_C-HY-GSL-S1</v>
          </cell>
          <cell r="B569" t="str">
            <v>VAR_fout</v>
          </cell>
          <cell r="C569" t="str">
            <v>TPCAR</v>
          </cell>
          <cell r="H569">
            <v>3.388403106710442E-3</v>
          </cell>
          <cell r="I569">
            <v>2.7261850069936329E-4</v>
          </cell>
        </row>
        <row r="570">
          <cell r="A570" t="str">
            <v>T_C-HY-GSL-S1</v>
          </cell>
          <cell r="B570" t="str">
            <v>VAR_fin</v>
          </cell>
          <cell r="C570" t="str">
            <v>TGSL</v>
          </cell>
          <cell r="H570">
            <v>2.6773230035561971E-3</v>
          </cell>
          <cell r="I570">
            <v>2.9657560831145415E-4</v>
          </cell>
        </row>
        <row r="571">
          <cell r="A571" t="str">
            <v>T_C-HY-GSL-S1</v>
          </cell>
          <cell r="B571" t="str">
            <v>VAR_ncap</v>
          </cell>
          <cell r="C571" t="str">
            <v>-</v>
          </cell>
        </row>
        <row r="572">
          <cell r="A572" t="str">
            <v>T_C-HY-GSL-S1</v>
          </cell>
          <cell r="B572" t="str">
            <v>VAR_cap</v>
          </cell>
          <cell r="C572" t="str">
            <v>-</v>
          </cell>
          <cell r="H572">
            <v>5.0225287301294233E-4</v>
          </cell>
          <cell r="I572">
            <v>3.9017407429903647E-5</v>
          </cell>
        </row>
        <row r="573">
          <cell r="A573" t="str">
            <v>T_B_u-HYBDSL-S4</v>
          </cell>
          <cell r="B573" t="str">
            <v>VAR_fout</v>
          </cell>
          <cell r="C573" t="str">
            <v>CO2_T</v>
          </cell>
          <cell r="J573">
            <v>9.6476882982499004E-4</v>
          </cell>
        </row>
        <row r="574">
          <cell r="A574" t="str">
            <v>T_B_u-HYBDSL-S4</v>
          </cell>
          <cell r="B574" t="str">
            <v>VAR_fout</v>
          </cell>
          <cell r="C574" t="str">
            <v>TPBSu</v>
          </cell>
          <cell r="J574">
            <v>8.7759433684397798E-7</v>
          </cell>
        </row>
        <row r="575">
          <cell r="A575" t="str">
            <v>T_B_u-HYBDSL-S4</v>
          </cell>
          <cell r="B575" t="str">
            <v>VAR_fin</v>
          </cell>
          <cell r="C575" t="str">
            <v>TDSL</v>
          </cell>
          <cell r="J575">
            <v>1.3161921280013511E-5</v>
          </cell>
        </row>
        <row r="576">
          <cell r="A576" t="str">
            <v>T_B_u-HYBDSL-S4</v>
          </cell>
          <cell r="B576" t="str">
            <v>VAR_ncap</v>
          </cell>
          <cell r="C576" t="str">
            <v>-</v>
          </cell>
        </row>
        <row r="577">
          <cell r="A577" t="str">
            <v>T_B_u-HYBDSL-S4</v>
          </cell>
          <cell r="B577" t="str">
            <v>VAR_cap</v>
          </cell>
          <cell r="C577" t="str">
            <v>-</v>
          </cell>
          <cell r="H577">
            <v>-1.5369624381701201E-8</v>
          </cell>
          <cell r="I577">
            <v>-2.0296517595958701E-8</v>
          </cell>
        </row>
        <row r="578">
          <cell r="A578" t="str">
            <v>TFRLFDSLEXT</v>
          </cell>
          <cell r="B578" t="str">
            <v>VAR_fout</v>
          </cell>
          <cell r="C578" t="str">
            <v>CO2_T</v>
          </cell>
          <cell r="H578">
            <v>2.0497768159452898E-2</v>
          </cell>
          <cell r="I578">
            <v>6.5793702480045702E-3</v>
          </cell>
        </row>
        <row r="579">
          <cell r="A579" t="str">
            <v>TFRLFDSLEXT</v>
          </cell>
          <cell r="B579" t="str">
            <v>VAR_fout</v>
          </cell>
          <cell r="C579" t="str">
            <v>TFRLF</v>
          </cell>
          <cell r="H579">
            <v>1.1334102164319536E-6</v>
          </cell>
          <cell r="I579">
            <v>3.6380182460683242E-7</v>
          </cell>
        </row>
        <row r="580">
          <cell r="A580" t="str">
            <v>TFRLFDSLEXT</v>
          </cell>
          <cell r="B580" t="str">
            <v>VAR_fin</v>
          </cell>
          <cell r="C580" t="str">
            <v>TDSL</v>
          </cell>
          <cell r="H580">
            <v>2.796421304154563E-4</v>
          </cell>
          <cell r="I580">
            <v>8.9759484965955895E-5</v>
          </cell>
        </row>
        <row r="581">
          <cell r="A581" t="str">
            <v>TFRLFDSLEXT</v>
          </cell>
          <cell r="B581" t="str">
            <v>VAR_ncap</v>
          </cell>
          <cell r="C581" t="str">
            <v>-</v>
          </cell>
        </row>
        <row r="582">
          <cell r="A582" t="str">
            <v>TFRLFDSLEXT</v>
          </cell>
          <cell r="B582" t="str">
            <v>VAR_cap</v>
          </cell>
          <cell r="C582" t="str">
            <v>-</v>
          </cell>
          <cell r="H582">
            <v>1.8381192106898679E-7</v>
          </cell>
          <cell r="I582">
            <v>1.6159106506200742E-7</v>
          </cell>
          <cell r="J582">
            <v>8.163888456520752E-8</v>
          </cell>
        </row>
        <row r="583">
          <cell r="A583" t="str">
            <v>T_C-HY-GSL-S2</v>
          </cell>
          <cell r="B583" t="str">
            <v>VAR_fout</v>
          </cell>
          <cell r="C583" t="str">
            <v>CO2_T</v>
          </cell>
          <cell r="H583">
            <v>30.736812595535408</v>
          </cell>
          <cell r="I583">
            <v>3.5548386595245405</v>
          </cell>
        </row>
        <row r="584">
          <cell r="A584" t="str">
            <v>T_C-HY-GSL-S2</v>
          </cell>
          <cell r="B584" t="str">
            <v>VAR_fout</v>
          </cell>
          <cell r="C584" t="str">
            <v>TPCAR</v>
          </cell>
          <cell r="H584">
            <v>0.78861327981529494</v>
          </cell>
          <cell r="I584">
            <v>8.9328670387419498E-2</v>
          </cell>
        </row>
        <row r="585">
          <cell r="A585" t="str">
            <v>T_C-HY-GSL-S2</v>
          </cell>
          <cell r="B585" t="str">
            <v>VAR_fin</v>
          </cell>
          <cell r="C585" t="str">
            <v>TGSL</v>
          </cell>
          <cell r="H585">
            <v>0.41648797554926048</v>
          </cell>
          <cell r="I585">
            <v>4.8168545522012808E-2</v>
          </cell>
        </row>
        <row r="586">
          <cell r="A586" t="str">
            <v>T_C-HY-GSL-S2</v>
          </cell>
          <cell r="B586" t="str">
            <v>VAR_ncap</v>
          </cell>
          <cell r="C586" t="str">
            <v>-</v>
          </cell>
        </row>
        <row r="587">
          <cell r="A587" t="str">
            <v>T_C-HY-GSL-S2</v>
          </cell>
          <cell r="B587" t="str">
            <v>VAR_cap</v>
          </cell>
          <cell r="C587" t="str">
            <v>-</v>
          </cell>
          <cell r="H587">
            <v>7.3708356141227435E-2</v>
          </cell>
          <cell r="I587">
            <v>9.4036414901467677E-3</v>
          </cell>
        </row>
        <row r="588">
          <cell r="A588" t="str">
            <v>TPSHPNGAEXT</v>
          </cell>
          <cell r="B588" t="str">
            <v>VAR_ncap</v>
          </cell>
          <cell r="C588" t="str">
            <v>-</v>
          </cell>
          <cell r="H588">
            <v>1.4994797642090199E-5</v>
          </cell>
          <cell r="I588">
            <v>1.9625119984800399E-4</v>
          </cell>
          <cell r="J588">
            <v>2.7375894687808599E-6</v>
          </cell>
        </row>
        <row r="589">
          <cell r="A589" t="str">
            <v>TPSHPNGAEXT</v>
          </cell>
          <cell r="B589" t="str">
            <v>VAR_cap</v>
          </cell>
          <cell r="C589" t="str">
            <v>-</v>
          </cell>
          <cell r="H589">
            <v>1.7161698722224103E-5</v>
          </cell>
          <cell r="I589">
            <v>2.100631883456078E-4</v>
          </cell>
          <cell r="J589">
            <v>1.5741064456668E-5</v>
          </cell>
        </row>
        <row r="590">
          <cell r="A590" t="str">
            <v>T_C-HY-DSL-S1</v>
          </cell>
          <cell r="B590" t="str">
            <v>VAR_fout</v>
          </cell>
          <cell r="C590" t="str">
            <v>CO2_T</v>
          </cell>
          <cell r="H590">
            <v>2.1721258128209344</v>
          </cell>
          <cell r="I590">
            <v>1.3141065945900159E-2</v>
          </cell>
        </row>
        <row r="591">
          <cell r="A591" t="str">
            <v>T_C-HY-DSL-S1</v>
          </cell>
          <cell r="B591" t="str">
            <v>VAR_fout</v>
          </cell>
          <cell r="C591" t="str">
            <v>TPCAR</v>
          </cell>
          <cell r="H591">
            <v>5.0000107893685107E-2</v>
          </cell>
          <cell r="I591">
            <v>1.7710263476361076E-4</v>
          </cell>
        </row>
        <row r="592">
          <cell r="A592" t="str">
            <v>T_C-HY-DSL-S1</v>
          </cell>
          <cell r="B592" t="str">
            <v>VAR_fin</v>
          </cell>
          <cell r="C592" t="str">
            <v>TDSL</v>
          </cell>
          <cell r="H592">
            <v>2.9633367159903629E-2</v>
          </cell>
          <cell r="I592">
            <v>1.7927784373670036E-4</v>
          </cell>
        </row>
        <row r="593">
          <cell r="A593" t="str">
            <v>T_C-HY-DSL-S1</v>
          </cell>
          <cell r="B593" t="str">
            <v>VAR_ncap</v>
          </cell>
          <cell r="C593" t="str">
            <v>-</v>
          </cell>
        </row>
        <row r="594">
          <cell r="A594" t="str">
            <v>T_C-HY-DSL-S1</v>
          </cell>
          <cell r="B594" t="str">
            <v>VAR_cap</v>
          </cell>
          <cell r="C594" t="str">
            <v>-</v>
          </cell>
          <cell r="H594">
            <v>7.5899083721194935E-3</v>
          </cell>
          <cell r="I594">
            <v>2.4709922665588019E-5</v>
          </cell>
        </row>
        <row r="595">
          <cell r="A595" t="str">
            <v>T_C-HY-GSL-S3</v>
          </cell>
          <cell r="B595" t="str">
            <v>VAR_fout</v>
          </cell>
          <cell r="C595" t="str">
            <v>CO2_T</v>
          </cell>
          <cell r="H595">
            <v>19.599882818895651</v>
          </cell>
          <cell r="I595">
            <v>1.2065736091472639E-2</v>
          </cell>
        </row>
        <row r="596">
          <cell r="A596" t="str">
            <v>T_C-HY-GSL-S3</v>
          </cell>
          <cell r="B596" t="str">
            <v>VAR_fout</v>
          </cell>
          <cell r="C596" t="str">
            <v>TPCAR</v>
          </cell>
          <cell r="H596">
            <v>0.67654682148819867</v>
          </cell>
          <cell r="I596">
            <v>1.6775497094252605E-4</v>
          </cell>
        </row>
        <row r="597">
          <cell r="A597" t="str">
            <v>T_C-HY-GSL-S3</v>
          </cell>
          <cell r="B597" t="str">
            <v>VAR_fin</v>
          </cell>
          <cell r="C597" t="str">
            <v>TGSL</v>
          </cell>
          <cell r="H597">
            <v>0.2655810680067161</v>
          </cell>
          <cell r="I597">
            <v>1.6349235896304394E-4</v>
          </cell>
        </row>
        <row r="598">
          <cell r="A598" t="str">
            <v>T_C-HY-GSL-S3</v>
          </cell>
          <cell r="B598" t="str">
            <v>VAR_ncap</v>
          </cell>
          <cell r="C598" t="str">
            <v>-</v>
          </cell>
        </row>
        <row r="599">
          <cell r="A599" t="str">
            <v>T_C-HY-GSL-S3</v>
          </cell>
          <cell r="B599" t="str">
            <v>VAR_cap</v>
          </cell>
          <cell r="C599" t="str">
            <v>-</v>
          </cell>
          <cell r="H599">
            <v>4.6537385342288712E-2</v>
          </cell>
          <cell r="I599">
            <v>1.3031110053643247E-5</v>
          </cell>
        </row>
        <row r="600">
          <cell r="A600" t="str">
            <v>T_C-HY-DSL-S2</v>
          </cell>
          <cell r="B600" t="str">
            <v>VAR_fout</v>
          </cell>
          <cell r="C600" t="str">
            <v>CO2_T</v>
          </cell>
          <cell r="H600">
            <v>45.054034166079354</v>
          </cell>
          <cell r="I600">
            <v>3.3202541233359533</v>
          </cell>
        </row>
        <row r="601">
          <cell r="A601" t="str">
            <v>T_C-HY-DSL-S2</v>
          </cell>
          <cell r="B601" t="str">
            <v>VAR_fout</v>
          </cell>
          <cell r="C601" t="str">
            <v>TPCAR</v>
          </cell>
          <cell r="H601">
            <v>1.3102589378928766</v>
          </cell>
          <cell r="I601">
            <v>8.8319971299266609E-2</v>
          </cell>
        </row>
        <row r="602">
          <cell r="A602" t="str">
            <v>T_C-HY-DSL-S2</v>
          </cell>
          <cell r="B602" t="str">
            <v>VAR_fin</v>
          </cell>
          <cell r="C602" t="str">
            <v>TDSL</v>
          </cell>
          <cell r="H602">
            <v>0.61465258071049511</v>
          </cell>
          <cell r="I602">
            <v>4.52967820373254E-2</v>
          </cell>
        </row>
        <row r="603">
          <cell r="A603" t="str">
            <v>T_C-HY-DSL-S2</v>
          </cell>
          <cell r="B603" t="str">
            <v>VAR_ncap</v>
          </cell>
          <cell r="C603" t="str">
            <v>-</v>
          </cell>
        </row>
        <row r="604">
          <cell r="A604" t="str">
            <v>T_C-HY-DSL-S2</v>
          </cell>
          <cell r="B604" t="str">
            <v>VAR_cap</v>
          </cell>
          <cell r="C604" t="str">
            <v>-</v>
          </cell>
          <cell r="H604">
            <v>9.9448080787421456E-2</v>
          </cell>
          <cell r="I604">
            <v>9.2971881471651148E-3</v>
          </cell>
        </row>
        <row r="605">
          <cell r="A605" t="str">
            <v>D-T-ELC-Bus_c_S1</v>
          </cell>
          <cell r="B605" t="str">
            <v>VAR_fout</v>
          </cell>
          <cell r="C605" t="str">
            <v>T-ELC-Bus_c_BatSTGin_S1</v>
          </cell>
          <cell r="H605">
            <v>0.14082094708321541</v>
          </cell>
          <cell r="I605">
            <v>0.1402229764842573</v>
          </cell>
          <cell r="J605">
            <v>0.12007128216202878</v>
          </cell>
        </row>
        <row r="606">
          <cell r="A606" t="str">
            <v>D-T-ELC-Bus_c_S1</v>
          </cell>
          <cell r="B606" t="str">
            <v>VAR_fin</v>
          </cell>
          <cell r="C606" t="str">
            <v>TELC</v>
          </cell>
          <cell r="H606">
            <v>0.14082094708321541</v>
          </cell>
          <cell r="I606">
            <v>0.1402229764842573</v>
          </cell>
          <cell r="J606">
            <v>0.12007128216202878</v>
          </cell>
        </row>
        <row r="607">
          <cell r="A607" t="str">
            <v>D-T-ELC-Bus_c_S1</v>
          </cell>
          <cell r="B607" t="str">
            <v>VAR_ncap</v>
          </cell>
          <cell r="C607" t="str">
            <v>-</v>
          </cell>
          <cell r="H607">
            <v>1.1993961986174799E-5</v>
          </cell>
          <cell r="I607">
            <v>1.44676542242127E-2</v>
          </cell>
          <cell r="J607">
            <v>7.9224071726238209E-3</v>
          </cell>
        </row>
        <row r="608">
          <cell r="A608" t="str">
            <v>D-T-ELC-Bus_c_S1</v>
          </cell>
          <cell r="B608" t="str">
            <v>VAR_cap</v>
          </cell>
          <cell r="C608" t="str">
            <v>-</v>
          </cell>
          <cell r="H608">
            <v>1.7622801863383799E-2</v>
          </cell>
          <cell r="I608">
            <v>1.7574642936748899E-2</v>
          </cell>
          <cell r="J608">
            <v>1.5180117103651899E-2</v>
          </cell>
        </row>
        <row r="609">
          <cell r="A609" t="str">
            <v>T_C-HY-GSL-S4</v>
          </cell>
          <cell r="B609" t="str">
            <v>VAR_fout</v>
          </cell>
          <cell r="C609" t="str">
            <v>CO2_T</v>
          </cell>
          <cell r="H609">
            <v>1.2056842122580038</v>
          </cell>
          <cell r="I609">
            <v>1.1839111301756999E-2</v>
          </cell>
        </row>
        <row r="610">
          <cell r="A610" t="str">
            <v>T_C-HY-GSL-S4</v>
          </cell>
          <cell r="B610" t="str">
            <v>VAR_fout</v>
          </cell>
          <cell r="C610" t="str">
            <v>TPCAR</v>
          </cell>
          <cell r="H610">
            <v>2.6010478508691062E-2</v>
          </cell>
          <cell r="I610">
            <v>1.3210643136294241E-4</v>
          </cell>
        </row>
        <row r="611">
          <cell r="A611" t="str">
            <v>T_C-HY-GSL-S4</v>
          </cell>
          <cell r="B611" t="str">
            <v>VAR_fin</v>
          </cell>
          <cell r="C611" t="str">
            <v>TGSL</v>
          </cell>
          <cell r="H611">
            <v>1.6337184447940464E-2</v>
          </cell>
          <cell r="I611">
            <v>1.6042156235443066E-4</v>
          </cell>
        </row>
        <row r="612">
          <cell r="A612" t="str">
            <v>T_C-HY-GSL-S4</v>
          </cell>
          <cell r="B612" t="str">
            <v>VAR_ncap</v>
          </cell>
          <cell r="C612" t="str">
            <v>-</v>
          </cell>
        </row>
        <row r="613">
          <cell r="A613" t="str">
            <v>T_C-HY-GSL-S4</v>
          </cell>
          <cell r="B613" t="str">
            <v>VAR_cap</v>
          </cell>
          <cell r="C613" t="str">
            <v>-</v>
          </cell>
          <cell r="H613">
            <v>2.0820831314592252E-3</v>
          </cell>
          <cell r="I613">
            <v>1.2128392695628856E-5</v>
          </cell>
        </row>
        <row r="614">
          <cell r="A614" t="str">
            <v>T_C-HY-DSL-S3</v>
          </cell>
          <cell r="B614" t="str">
            <v>VAR_fout</v>
          </cell>
          <cell r="C614" t="str">
            <v>CO2_T</v>
          </cell>
          <cell r="H614">
            <v>0.48427827695515568</v>
          </cell>
          <cell r="I614">
            <v>9.3259903921466408E-3</v>
          </cell>
        </row>
        <row r="615">
          <cell r="A615" t="str">
            <v>T_C-HY-DSL-S3</v>
          </cell>
          <cell r="B615" t="str">
            <v>VAR_fout</v>
          </cell>
          <cell r="C615" t="str">
            <v>TPCAR</v>
          </cell>
          <cell r="H615">
            <v>9.6301744934943565E-3</v>
          </cell>
          <cell r="I615">
            <v>1.1003803499496945E-4</v>
          </cell>
        </row>
        <row r="616">
          <cell r="A616" t="str">
            <v>T_C-HY-DSL-S3</v>
          </cell>
          <cell r="B616" t="str">
            <v>VAR_fin</v>
          </cell>
          <cell r="C616" t="str">
            <v>TDSL</v>
          </cell>
          <cell r="H616">
            <v>6.6067977756501554E-3</v>
          </cell>
          <cell r="I616">
            <v>1.2723042826939481E-4</v>
          </cell>
        </row>
        <row r="617">
          <cell r="A617" t="str">
            <v>T_C-HY-DSL-S3</v>
          </cell>
          <cell r="B617" t="str">
            <v>VAR_ncap</v>
          </cell>
          <cell r="C617" t="str">
            <v>-</v>
          </cell>
        </row>
        <row r="618">
          <cell r="A618" t="str">
            <v>T_C-HY-DSL-S3</v>
          </cell>
          <cell r="B618" t="str">
            <v>VAR_cap</v>
          </cell>
          <cell r="C618" t="str">
            <v>-</v>
          </cell>
          <cell r="H618">
            <v>6.7437196567434246E-4</v>
          </cell>
          <cell r="I618">
            <v>8.5155434015147447E-6</v>
          </cell>
        </row>
        <row r="619">
          <cell r="A619" t="str">
            <v>D-T-ELC-Bus_c_S2</v>
          </cell>
          <cell r="B619" t="str">
            <v>VAR_fout</v>
          </cell>
          <cell r="C619" t="str">
            <v>T-ELC-Bus_c_BatSTGin_S2</v>
          </cell>
          <cell r="H619">
            <v>0.1761406205608495</v>
          </cell>
          <cell r="I619">
            <v>0.16763520045167762</v>
          </cell>
          <cell r="J619">
            <v>0.14963959474311808</v>
          </cell>
        </row>
        <row r="620">
          <cell r="A620" t="str">
            <v>D-T-ELC-Bus_c_S2</v>
          </cell>
          <cell r="B620" t="str">
            <v>VAR_fin</v>
          </cell>
          <cell r="C620" t="str">
            <v>TELC</v>
          </cell>
          <cell r="H620">
            <v>0.1761406205608495</v>
          </cell>
          <cell r="I620">
            <v>0.16763520045167762</v>
          </cell>
          <cell r="J620">
            <v>0.14963959474311808</v>
          </cell>
        </row>
        <row r="621">
          <cell r="A621" t="str">
            <v>D-T-ELC-Bus_c_S2</v>
          </cell>
          <cell r="B621" t="str">
            <v>VAR_ncap</v>
          </cell>
          <cell r="C621" t="str">
            <v>-</v>
          </cell>
          <cell r="H621">
            <v>1.5015767235499501E-5</v>
          </cell>
          <cell r="I621">
            <v>1.7096755609055998E-2</v>
          </cell>
          <cell r="J621">
            <v>1.03401348567946E-2</v>
          </cell>
        </row>
        <row r="622">
          <cell r="A622" t="str">
            <v>D-T-ELC-Bus_c_S2</v>
          </cell>
          <cell r="B622" t="str">
            <v>VAR_cap</v>
          </cell>
          <cell r="C622" t="str">
            <v>-</v>
          </cell>
          <cell r="H622">
            <v>2.2081964784885302E-2</v>
          </cell>
          <cell r="I622">
            <v>2.10074286960866E-2</v>
          </cell>
          <cell r="J622">
            <v>1.8916883332688799E-2</v>
          </cell>
        </row>
        <row r="623">
          <cell r="A623" t="str">
            <v>T_C-HY-DSL-S4</v>
          </cell>
          <cell r="B623" t="str">
            <v>VAR_fout</v>
          </cell>
          <cell r="C623" t="str">
            <v>CO2_T</v>
          </cell>
          <cell r="H623">
            <v>0.95633165045196555</v>
          </cell>
          <cell r="I623">
            <v>9.5732305333865904E-3</v>
          </cell>
        </row>
        <row r="624">
          <cell r="A624" t="str">
            <v>T_C-HY-DSL-S4</v>
          </cell>
          <cell r="B624" t="str">
            <v>VAR_fout</v>
          </cell>
          <cell r="C624" t="str">
            <v>TPCAR</v>
          </cell>
          <cell r="H624">
            <v>2.0583585242305948E-2</v>
          </cell>
          <cell r="I624">
            <v>1.125775324095838E-4</v>
          </cell>
        </row>
        <row r="625">
          <cell r="A625" t="str">
            <v>T_C-HY-DSL-S4</v>
          </cell>
          <cell r="B625" t="str">
            <v>VAR_fin</v>
          </cell>
          <cell r="C625" t="str">
            <v>TDSL</v>
          </cell>
          <cell r="H625">
            <v>1.3046816513669396E-2</v>
          </cell>
          <cell r="I625">
            <v>1.3060341791796163E-4</v>
          </cell>
        </row>
        <row r="626">
          <cell r="A626" t="str">
            <v>T_C-HY-DSL-S4</v>
          </cell>
          <cell r="B626" t="str">
            <v>VAR_ncap</v>
          </cell>
          <cell r="C626" t="str">
            <v>-</v>
          </cell>
        </row>
        <row r="627">
          <cell r="A627" t="str">
            <v>T_C-HY-DSL-S4</v>
          </cell>
          <cell r="B627" t="str">
            <v>VAR_cap</v>
          </cell>
          <cell r="C627" t="str">
            <v>-</v>
          </cell>
          <cell r="H627">
            <v>1.6535443787754091E-3</v>
          </cell>
          <cell r="I627">
            <v>1.0251173230606867E-5</v>
          </cell>
        </row>
        <row r="628">
          <cell r="A628" t="str">
            <v>D-T-ELC-Bus_c_S3</v>
          </cell>
          <cell r="B628" t="str">
            <v>VAR_fout</v>
          </cell>
          <cell r="C628" t="str">
            <v>T-ELC-Bus_c_BatSTGin_S3</v>
          </cell>
          <cell r="H628">
            <v>5.6521242217716587E-2</v>
          </cell>
          <cell r="I628">
            <v>5.4811156065821959E-2</v>
          </cell>
          <cell r="J628">
            <v>4.698429495314807E-2</v>
          </cell>
        </row>
        <row r="629">
          <cell r="A629" t="str">
            <v>D-T-ELC-Bus_c_S3</v>
          </cell>
          <cell r="B629" t="str">
            <v>VAR_fin</v>
          </cell>
          <cell r="C629" t="str">
            <v>TELC</v>
          </cell>
          <cell r="H629">
            <v>5.6521242217716587E-2</v>
          </cell>
          <cell r="I629">
            <v>5.4811156065821959E-2</v>
          </cell>
          <cell r="J629">
            <v>4.698429495314807E-2</v>
          </cell>
        </row>
        <row r="630">
          <cell r="A630" t="str">
            <v>D-T-ELC-Bus_c_S3</v>
          </cell>
          <cell r="B630" t="str">
            <v>VAR_ncap</v>
          </cell>
          <cell r="C630" t="str">
            <v>-</v>
          </cell>
          <cell r="H630">
            <v>1.60288897857786E-3</v>
          </cell>
          <cell r="I630">
            <v>5.2333500235243703E-3</v>
          </cell>
          <cell r="J630">
            <v>4.1187989044510296E-3</v>
          </cell>
        </row>
        <row r="631">
          <cell r="A631" t="str">
            <v>D-T-ELC-Bus_c_S3</v>
          </cell>
          <cell r="B631" t="str">
            <v>VAR_cap</v>
          </cell>
          <cell r="C631" t="str">
            <v>-</v>
          </cell>
          <cell r="H631">
            <v>6.91889924798354E-3</v>
          </cell>
          <cell r="I631">
            <v>6.8362390021022299E-3</v>
          </cell>
          <cell r="J631">
            <v>5.9113324791581299E-3</v>
          </cell>
        </row>
        <row r="632">
          <cell r="A632" t="str">
            <v>D-T-ELC-Bus_c_S4</v>
          </cell>
          <cell r="B632" t="str">
            <v>VAR_fout</v>
          </cell>
          <cell r="C632" t="str">
            <v>T-ELC-Bus_c_BatSTGin_S4</v>
          </cell>
          <cell r="H632">
            <v>1.4657882045899124E-4</v>
          </cell>
          <cell r="I632">
            <v>6.3683227104876356E-4</v>
          </cell>
          <cell r="J632">
            <v>4.027614946211128E-4</v>
          </cell>
        </row>
        <row r="633">
          <cell r="A633" t="str">
            <v>D-T-ELC-Bus_c_S4</v>
          </cell>
          <cell r="B633" t="str">
            <v>VAR_fin</v>
          </cell>
          <cell r="C633" t="str">
            <v>TELC</v>
          </cell>
          <cell r="H633">
            <v>1.4657882045899124E-4</v>
          </cell>
          <cell r="I633">
            <v>6.3683227104876356E-4</v>
          </cell>
          <cell r="J633">
            <v>4.027614946211128E-4</v>
          </cell>
        </row>
        <row r="634">
          <cell r="A634" t="str">
            <v>D-T-ELC-Bus_c_S4</v>
          </cell>
          <cell r="B634" t="str">
            <v>VAR_ncap</v>
          </cell>
          <cell r="C634" t="str">
            <v>-</v>
          </cell>
          <cell r="H634">
            <v>1.48744853507719E-5</v>
          </cell>
          <cell r="I634">
            <v>1.11298424866636E-4</v>
          </cell>
          <cell r="J634">
            <v>5.7879532966519401E-5</v>
          </cell>
        </row>
        <row r="635">
          <cell r="A635" t="str">
            <v>D-T-ELC-Bus_c_S4</v>
          </cell>
          <cell r="B635" t="str">
            <v>VAR_cap</v>
          </cell>
          <cell r="C635" t="str">
            <v>-</v>
          </cell>
          <cell r="H635">
            <v>1.5401551847810101E-5</v>
          </cell>
          <cell r="I635">
            <v>1.21457494724389E-4</v>
          </cell>
          <cell r="J635">
            <v>7.7411141771313406E-5</v>
          </cell>
        </row>
        <row r="636">
          <cell r="A636" t="str">
            <v>D-TH2O</v>
          </cell>
          <cell r="B636" t="str">
            <v>VAR_fout</v>
          </cell>
          <cell r="C636" t="str">
            <v>TH2Ointl</v>
          </cell>
          <cell r="J636">
            <v>5.5342796186638901E-6</v>
          </cell>
        </row>
        <row r="637">
          <cell r="A637" t="str">
            <v>D-TH2O</v>
          </cell>
          <cell r="B637" t="str">
            <v>VAR_fout</v>
          </cell>
          <cell r="C637" t="str">
            <v>TH2O</v>
          </cell>
          <cell r="H637">
            <v>1.1194801068820052E-3</v>
          </cell>
          <cell r="I637">
            <v>9.147429420181756E-2</v>
          </cell>
          <cell r="J637">
            <v>9.1412516949510206E-2</v>
          </cell>
        </row>
        <row r="638">
          <cell r="A638" t="str">
            <v>D-TH2O</v>
          </cell>
          <cell r="B638" t="str">
            <v>VAR_fin</v>
          </cell>
          <cell r="C638" t="str">
            <v>H2</v>
          </cell>
          <cell r="H638">
            <v>1.1194801068820052E-3</v>
          </cell>
          <cell r="I638">
            <v>9.147429420181756E-2</v>
          </cell>
          <cell r="J638">
            <v>9.1418051229128897E-2</v>
          </cell>
        </row>
        <row r="639">
          <cell r="A639" t="str">
            <v>D-TH2O</v>
          </cell>
          <cell r="B639" t="str">
            <v>VAR_ncap</v>
          </cell>
          <cell r="C639" t="str">
            <v>-</v>
          </cell>
          <cell r="H639">
            <v>1.9611627939674099E-6</v>
          </cell>
          <cell r="I639">
            <v>9.0661107805402805E-3</v>
          </cell>
          <cell r="J639">
            <v>1.2284524050927101E-6</v>
          </cell>
        </row>
        <row r="640">
          <cell r="A640" t="str">
            <v>D-TH2O</v>
          </cell>
          <cell r="B640" t="str">
            <v>VAR_cap</v>
          </cell>
          <cell r="C640" t="str">
            <v>-</v>
          </cell>
          <cell r="H640">
            <v>8.1214234121776397E-4</v>
          </cell>
          <cell r="I640">
            <v>9.8782531217580394E-3</v>
          </cell>
          <cell r="J640">
            <v>9.8794815741631292E-3</v>
          </cell>
        </row>
        <row r="641">
          <cell r="A641" t="str">
            <v>TFHGV-HYBDSL</v>
          </cell>
          <cell r="B641" t="str">
            <v>VAR_fout</v>
          </cell>
          <cell r="C641" t="str">
            <v>CO2_T</v>
          </cell>
          <cell r="H641">
            <v>878.21080882557499</v>
          </cell>
          <cell r="I641">
            <v>474.27414291783884</v>
          </cell>
          <cell r="J641">
            <v>7.94692362328118E-3</v>
          </cell>
        </row>
        <row r="642">
          <cell r="A642" t="str">
            <v>TFHGV-HYBDSL</v>
          </cell>
          <cell r="B642" t="str">
            <v>VAR_fout</v>
          </cell>
          <cell r="C642" t="str">
            <v>TFHGV</v>
          </cell>
          <cell r="H642">
            <v>1.9585041800281668</v>
          </cell>
          <cell r="I642">
            <v>1.0576821442519373</v>
          </cell>
          <cell r="J642">
            <v>1.7722490976141034E-5</v>
          </cell>
        </row>
        <row r="643">
          <cell r="A643" t="str">
            <v>TFHGV-HYBDSL</v>
          </cell>
          <cell r="B643" t="str">
            <v>VAR_fin</v>
          </cell>
          <cell r="C643" t="str">
            <v>TDSL</v>
          </cell>
          <cell r="H643">
            <v>11.981047869380298</v>
          </cell>
          <cell r="I643">
            <v>6.4703157287563284</v>
          </cell>
          <cell r="J643">
            <v>1.0841642050861105E-4</v>
          </cell>
        </row>
        <row r="644">
          <cell r="A644" t="str">
            <v>TFHGV-HYBDSL</v>
          </cell>
          <cell r="B644" t="str">
            <v>VAR_ncap</v>
          </cell>
          <cell r="C644" t="str">
            <v>-</v>
          </cell>
          <cell r="H644">
            <v>3.1965368092584302E-2</v>
          </cell>
          <cell r="I644">
            <v>2.23154067086019E-6</v>
          </cell>
        </row>
        <row r="645">
          <cell r="A645" t="str">
            <v>TFHGV-HYBDSL</v>
          </cell>
          <cell r="B645" t="str">
            <v>VAR_cap</v>
          </cell>
          <cell r="C645" t="str">
            <v>-</v>
          </cell>
          <cell r="H645">
            <v>3.86732925351689E-2</v>
          </cell>
          <cell r="I645">
            <v>2.1834126672942513E-2</v>
          </cell>
          <cell r="J645">
            <v>3.9161002922957298E-7</v>
          </cell>
        </row>
        <row r="646">
          <cell r="A646" t="str">
            <v>D-TKER</v>
          </cell>
          <cell r="B646" t="str">
            <v>VAR_fout</v>
          </cell>
          <cell r="C646" t="str">
            <v>CO2</v>
          </cell>
          <cell r="H646">
            <v>188.241066566759</v>
          </cell>
          <cell r="I646">
            <v>156.53440242134701</v>
          </cell>
          <cell r="J646">
            <v>4.6544873055088802E-5</v>
          </cell>
        </row>
        <row r="647">
          <cell r="A647" t="str">
            <v>D-TKER</v>
          </cell>
          <cell r="B647" t="str">
            <v>VAR_fout</v>
          </cell>
          <cell r="C647" t="str">
            <v>TKER</v>
          </cell>
          <cell r="H647">
            <v>2.5477287931050001</v>
          </cell>
          <cell r="I647">
            <v>2.1185983028783699</v>
          </cell>
          <cell r="J647">
            <v>6.2995665832466795E-7</v>
          </cell>
        </row>
        <row r="648">
          <cell r="A648" t="str">
            <v>D-TKER</v>
          </cell>
          <cell r="B648" t="str">
            <v>VAR_fin</v>
          </cell>
          <cell r="C648" t="str">
            <v>KER</v>
          </cell>
          <cell r="H648">
            <v>2.5857289363565883</v>
          </cell>
          <cell r="I648">
            <v>2.1501978354580671</v>
          </cell>
          <cell r="J648">
            <v>6.393526518556181E-7</v>
          </cell>
        </row>
        <row r="649">
          <cell r="A649" t="str">
            <v>T_B_u-BEVELC-S1</v>
          </cell>
          <cell r="B649" t="str">
            <v>VAR_fout</v>
          </cell>
          <cell r="C649" t="str">
            <v>TPBSu</v>
          </cell>
          <cell r="H649">
            <v>0.11443512130713582</v>
          </cell>
          <cell r="I649">
            <v>0.11951532757031012</v>
          </cell>
          <cell r="J649">
            <v>0.12785632133111921</v>
          </cell>
        </row>
        <row r="650">
          <cell r="A650" t="str">
            <v>T_B_u-BEVELC-S1</v>
          </cell>
          <cell r="B650" t="str">
            <v>VAR_fin</v>
          </cell>
          <cell r="C650" t="str">
            <v>T-ELC-Bus_u_BatSTGout_S1</v>
          </cell>
          <cell r="H650">
            <v>0.24298451860802778</v>
          </cell>
          <cell r="I650">
            <v>0.25235527707740713</v>
          </cell>
          <cell r="J650">
            <v>0.24140301501072536</v>
          </cell>
        </row>
        <row r="651">
          <cell r="A651" t="str">
            <v>T_B_u-BEVELC-S1</v>
          </cell>
          <cell r="B651" t="str">
            <v>VAR_ncap</v>
          </cell>
          <cell r="C651" t="str">
            <v>-</v>
          </cell>
          <cell r="H651">
            <v>2.6198203205206102E-3</v>
          </cell>
          <cell r="I651">
            <v>2.5437397751483602E-4</v>
          </cell>
          <cell r="J651">
            <v>2.4520981501387502E-3</v>
          </cell>
        </row>
        <row r="652">
          <cell r="A652" t="str">
            <v>T_B_u-BEVELC-S1</v>
          </cell>
          <cell r="B652" t="str">
            <v>VAR_cap</v>
          </cell>
          <cell r="C652" t="str">
            <v>-</v>
          </cell>
          <cell r="H652">
            <v>2.6316874617501604E-3</v>
          </cell>
          <cell r="I652">
            <v>2.875487530481881E-3</v>
          </cell>
          <cell r="J652">
            <v>3.0392918194081212E-3</v>
          </cell>
        </row>
        <row r="653">
          <cell r="A653" t="str">
            <v>TPSHPH2OEXT</v>
          </cell>
          <cell r="B653" t="str">
            <v>VAR_fout</v>
          </cell>
          <cell r="C653" t="str">
            <v>TPSHP</v>
          </cell>
          <cell r="H653">
            <v>1.14599934033566E-4</v>
          </cell>
          <cell r="I653">
            <v>0.16151301316020999</v>
          </cell>
          <cell r="J653">
            <v>0.16152013275042201</v>
          </cell>
        </row>
        <row r="654">
          <cell r="A654" t="str">
            <v>TPSHPH2OEXT</v>
          </cell>
          <cell r="B654" t="str">
            <v>VAR_fin</v>
          </cell>
          <cell r="C654" t="str">
            <v>TH2O</v>
          </cell>
          <cell r="H654">
            <v>6.3898145036897481E-5</v>
          </cell>
          <cell r="I654">
            <v>9.0055740671147064E-2</v>
          </cell>
          <cell r="J654">
            <v>9.0059710382053224E-2</v>
          </cell>
        </row>
        <row r="655">
          <cell r="A655" t="str">
            <v>TPSHPH2OEXT</v>
          </cell>
          <cell r="B655" t="str">
            <v>VAR_ncap</v>
          </cell>
          <cell r="C655" t="str">
            <v>-</v>
          </cell>
          <cell r="H655">
            <v>1.16002131505171E-4</v>
          </cell>
          <cell r="I655">
            <v>0.16140001795682499</v>
          </cell>
          <cell r="J655">
            <v>1.5181440046087701E-5</v>
          </cell>
        </row>
        <row r="656">
          <cell r="A656" t="str">
            <v>TPSHPH2OEXT</v>
          </cell>
          <cell r="B656" t="str">
            <v>VAR_cap</v>
          </cell>
          <cell r="C656" t="str">
            <v>-</v>
          </cell>
          <cell r="H656">
            <v>1.16002131505171E-4</v>
          </cell>
          <cell r="I656">
            <v>0.1615149306982247</v>
          </cell>
          <cell r="J656">
            <v>0.16150246821165348</v>
          </cell>
        </row>
        <row r="657">
          <cell r="A657" t="str">
            <v>T_B_u-BEVELC-S2</v>
          </cell>
          <cell r="B657" t="str">
            <v>VAR_fout</v>
          </cell>
          <cell r="C657" t="str">
            <v>TPBSu</v>
          </cell>
          <cell r="H657">
            <v>4.1380920786516777E-2</v>
          </cell>
          <cell r="I657">
            <v>4.3141556483740906E-2</v>
          </cell>
          <cell r="J657">
            <v>4.6146468010023853E-2</v>
          </cell>
        </row>
        <row r="658">
          <cell r="A658" t="str">
            <v>T_B_u-BEVELC-S2</v>
          </cell>
          <cell r="B658" t="str">
            <v>VAR_fin</v>
          </cell>
          <cell r="C658" t="str">
            <v>T-ELC-Bus_u_BatSTGout_S2</v>
          </cell>
          <cell r="H658">
            <v>0.12197609104032243</v>
          </cell>
          <cell r="I658">
            <v>0.12551892885855359</v>
          </cell>
          <cell r="J658">
            <v>0.12081489153773799</v>
          </cell>
        </row>
        <row r="659">
          <cell r="A659" t="str">
            <v>T_B_u-BEVELC-S2</v>
          </cell>
          <cell r="B659" t="str">
            <v>VAR_ncap</v>
          </cell>
          <cell r="C659" t="str">
            <v>-</v>
          </cell>
          <cell r="H659">
            <v>6.9296892465918599E-4</v>
          </cell>
          <cell r="I659">
            <v>1.1906576163723399E-4</v>
          </cell>
          <cell r="J659">
            <v>6.8929956412612102E-4</v>
          </cell>
        </row>
        <row r="660">
          <cell r="A660" t="str">
            <v>T_B_u-BEVELC-S2</v>
          </cell>
          <cell r="B660" t="str">
            <v>VAR_cap</v>
          </cell>
          <cell r="C660" t="str">
            <v>-</v>
          </cell>
          <cell r="H660">
            <v>7.8808743020745801E-4</v>
          </cell>
          <cell r="I660">
            <v>8.14207754105818E-4</v>
          </cell>
          <cell r="J660">
            <v>8.7060740645712395E-4</v>
          </cell>
        </row>
        <row r="661">
          <cell r="A661" t="str">
            <v>TFHGV-ICEDSL</v>
          </cell>
          <cell r="B661" t="str">
            <v>VAR_fout</v>
          </cell>
          <cell r="C661" t="str">
            <v>CO2_T</v>
          </cell>
          <cell r="H661">
            <v>8.3783042357336801E-2</v>
          </cell>
          <cell r="I661">
            <v>7.0212836753235197E-2</v>
          </cell>
          <cell r="J661">
            <v>4.6858199642812398E-3</v>
          </cell>
        </row>
        <row r="662">
          <cell r="A662" t="str">
            <v>TFHGV-ICEDSL</v>
          </cell>
          <cell r="B662" t="str">
            <v>VAR_fout</v>
          </cell>
          <cell r="C662" t="str">
            <v>TFHGV</v>
          </cell>
          <cell r="H662">
            <v>1.3567996755666122E-4</v>
          </cell>
          <cell r="I662">
            <v>1.1370409983573342E-4</v>
          </cell>
          <cell r="J662">
            <v>7.588312417904939E-6</v>
          </cell>
        </row>
        <row r="663">
          <cell r="A663" t="str">
            <v>TFHGV-ICEDSL</v>
          </cell>
          <cell r="B663" t="str">
            <v>VAR_fin</v>
          </cell>
          <cell r="C663" t="str">
            <v>TDSL</v>
          </cell>
          <cell r="H663">
            <v>1.143015584683994E-3</v>
          </cell>
          <cell r="I663">
            <v>9.5788317535109354E-4</v>
          </cell>
          <cell r="J663">
            <v>6.3926602514068745E-5</v>
          </cell>
        </row>
        <row r="664">
          <cell r="A664" t="str">
            <v>TFHGV-ICEDSL</v>
          </cell>
          <cell r="B664" t="str">
            <v>VAR_ncap</v>
          </cell>
          <cell r="C664" t="str">
            <v>-</v>
          </cell>
          <cell r="H664">
            <v>2.5724296967255098E-6</v>
          </cell>
          <cell r="I664">
            <v>9.1619808132895301E-7</v>
          </cell>
        </row>
        <row r="665">
          <cell r="A665" t="str">
            <v>TFHGV-ICEDSL</v>
          </cell>
          <cell r="B665" t="str">
            <v>VAR_cap</v>
          </cell>
          <cell r="C665" t="str">
            <v>-</v>
          </cell>
          <cell r="H665">
            <v>3.0211893727869601E-6</v>
          </cell>
          <cell r="I665">
            <v>2.6439064202606001E-6</v>
          </cell>
          <cell r="J665">
            <v>1.6078235189458E-7</v>
          </cell>
        </row>
        <row r="666">
          <cell r="A666" t="str">
            <v>D-T-ELC-Bus_u_S1</v>
          </cell>
          <cell r="B666" t="str">
            <v>VAR_fout</v>
          </cell>
          <cell r="C666" t="str">
            <v>T-ELC-Bus_u_BatSTGin_S1</v>
          </cell>
          <cell r="H666">
            <v>0.24337057419594543</v>
          </cell>
          <cell r="I666">
            <v>0.25266836948130861</v>
          </cell>
          <cell r="J666">
            <v>0.24162654873316586</v>
          </cell>
        </row>
        <row r="667">
          <cell r="A667" t="str">
            <v>D-T-ELC-Bus_u_S1</v>
          </cell>
          <cell r="B667" t="str">
            <v>VAR_fin</v>
          </cell>
          <cell r="C667" t="str">
            <v>TELC</v>
          </cell>
          <cell r="H667">
            <v>0.24337057419594543</v>
          </cell>
          <cell r="I667">
            <v>0.25266836948130861</v>
          </cell>
          <cell r="J667">
            <v>0.24162654873316586</v>
          </cell>
        </row>
        <row r="668">
          <cell r="A668" t="str">
            <v>D-T-ELC-Bus_u_S1</v>
          </cell>
          <cell r="B668" t="str">
            <v>VAR_ncap</v>
          </cell>
          <cell r="C668" t="str">
            <v>-</v>
          </cell>
          <cell r="H668">
            <v>3.6119134051394099E-3</v>
          </cell>
          <cell r="I668">
            <v>1.9216532856577401E-2</v>
          </cell>
          <cell r="J668">
            <v>1.52688427782791E-2</v>
          </cell>
        </row>
        <row r="669">
          <cell r="A669" t="str">
            <v>D-T-ELC-Bus_u_S1</v>
          </cell>
          <cell r="B669" t="str">
            <v>VAR_cap</v>
          </cell>
          <cell r="C669" t="str">
            <v>-</v>
          </cell>
          <cell r="H669">
            <v>2.5728664896539199E-2</v>
          </cell>
          <cell r="I669">
            <v>2.6708682813392601E-2</v>
          </cell>
          <cell r="J669">
            <v>2.55398854188481E-2</v>
          </cell>
        </row>
        <row r="670">
          <cell r="A670" t="str">
            <v>T-Plg-DSL-mix_S1</v>
          </cell>
          <cell r="B670" t="str">
            <v>VAR_fout</v>
          </cell>
          <cell r="C670" t="str">
            <v>CO2_T</v>
          </cell>
          <cell r="H670">
            <v>0.26620576917703909</v>
          </cell>
          <cell r="I670">
            <v>0.13215414322899971</v>
          </cell>
          <cell r="J670">
            <v>1.8342979561107559E-2</v>
          </cell>
        </row>
        <row r="671">
          <cell r="A671" t="str">
            <v>T-Plg-DSL-mix_S1</v>
          </cell>
          <cell r="B671" t="str">
            <v>VAR_fout</v>
          </cell>
          <cell r="C671" t="str">
            <v>T-PEVmix-ELC_DSL_S1</v>
          </cell>
          <cell r="H671">
            <v>2.645372421967013E-3</v>
          </cell>
          <cell r="I671">
            <v>1.3699451448770492E-3</v>
          </cell>
          <cell r="J671">
            <v>1.9838613923856571E-4</v>
          </cell>
        </row>
        <row r="672">
          <cell r="A672" t="str">
            <v>T-Plg-DSL-mix_S1</v>
          </cell>
          <cell r="B672" t="str">
            <v>VAR_fin</v>
          </cell>
          <cell r="C672" t="str">
            <v>TDSL</v>
          </cell>
          <cell r="H672">
            <v>3.631729456712677E-3</v>
          </cell>
          <cell r="I672">
            <v>1.8029214628785795E-3</v>
          </cell>
          <cell r="J672">
            <v>2.5024528732752447E-4</v>
          </cell>
        </row>
        <row r="673">
          <cell r="A673" t="str">
            <v>T_B_u-BEVELC-S3</v>
          </cell>
          <cell r="B673" t="str">
            <v>VAR_fout</v>
          </cell>
          <cell r="C673" t="str">
            <v>TPBSu</v>
          </cell>
          <cell r="H673">
            <v>0.18084539066408345</v>
          </cell>
          <cell r="I673">
            <v>0.1885373330830479</v>
          </cell>
          <cell r="J673">
            <v>0.20168105758359015</v>
          </cell>
        </row>
        <row r="674">
          <cell r="A674" t="str">
            <v>T_B_u-BEVELC-S3</v>
          </cell>
          <cell r="B674" t="str">
            <v>VAR_fin</v>
          </cell>
          <cell r="C674" t="str">
            <v>T-ELC-Bus_u_BatSTGout_S3</v>
          </cell>
          <cell r="H674">
            <v>0.82680341016602021</v>
          </cell>
          <cell r="I674">
            <v>0.79801196672285657</v>
          </cell>
          <cell r="J674">
            <v>0.78752495906477615</v>
          </cell>
        </row>
        <row r="675">
          <cell r="A675" t="str">
            <v>T_B_u-BEVELC-S3</v>
          </cell>
          <cell r="B675" t="str">
            <v>VAR_ncap</v>
          </cell>
          <cell r="C675" t="str">
            <v>-</v>
          </cell>
          <cell r="H675">
            <v>8.3727633531802505E-4</v>
          </cell>
          <cell r="I675">
            <v>2.7181341720271699E-3</v>
          </cell>
          <cell r="J675">
            <v>2.8721635682312399E-3</v>
          </cell>
        </row>
        <row r="676">
          <cell r="A676" t="str">
            <v>T_B_u-BEVELC-S3</v>
          </cell>
          <cell r="B676" t="str">
            <v>VAR_cap</v>
          </cell>
          <cell r="C676" t="str">
            <v>-</v>
          </cell>
          <cell r="H676">
            <v>3.4892020474007242E-3</v>
          </cell>
          <cell r="I676">
            <v>3.5554105073451999E-3</v>
          </cell>
          <cell r="J676">
            <v>3.8031822736523898E-3</v>
          </cell>
        </row>
        <row r="677">
          <cell r="A677" t="str">
            <v>D-T-ELC-Bus_u_S2</v>
          </cell>
          <cell r="B677" t="str">
            <v>VAR_fout</v>
          </cell>
          <cell r="C677" t="str">
            <v>T-ELC-Bus_u_BatSTGin_S2</v>
          </cell>
          <cell r="H677">
            <v>0.12231539630140631</v>
          </cell>
          <cell r="I677">
            <v>0.12578970586669452</v>
          </cell>
          <cell r="J677">
            <v>0.12101405086287972</v>
          </cell>
        </row>
        <row r="678">
          <cell r="A678" t="str">
            <v>D-T-ELC-Bus_u_S2</v>
          </cell>
          <cell r="B678" t="str">
            <v>VAR_fin</v>
          </cell>
          <cell r="C678" t="str">
            <v>TELC</v>
          </cell>
          <cell r="H678">
            <v>0.12231539630140631</v>
          </cell>
          <cell r="I678">
            <v>0.12578970586669452</v>
          </cell>
          <cell r="J678">
            <v>0.12101405086287972</v>
          </cell>
        </row>
        <row r="679">
          <cell r="A679" t="str">
            <v>D-T-ELC-Bus_u_S2</v>
          </cell>
          <cell r="B679" t="str">
            <v>VAR_ncap</v>
          </cell>
          <cell r="C679" t="str">
            <v>-</v>
          </cell>
          <cell r="H679">
            <v>5.8846111815782096E-4</v>
          </cell>
          <cell r="I679">
            <v>1.05777683524981E-2</v>
          </cell>
          <cell r="J679">
            <v>7.3833670268577799E-3</v>
          </cell>
        </row>
        <row r="680">
          <cell r="A680" t="str">
            <v>D-T-ELC-Bus_u_S2</v>
          </cell>
          <cell r="B680" t="str">
            <v>VAR_cap</v>
          </cell>
          <cell r="C680" t="str">
            <v>-</v>
          </cell>
          <cell r="H680">
            <v>1.2936171456778601E-2</v>
          </cell>
          <cell r="I680">
            <v>1.3298679006197901E-2</v>
          </cell>
          <cell r="J680">
            <v>1.27914420509376E-2</v>
          </cell>
        </row>
        <row r="681">
          <cell r="A681" t="str">
            <v>T-Plg-DSL-mix_S2</v>
          </cell>
          <cell r="B681" t="str">
            <v>VAR_fout</v>
          </cell>
          <cell r="C681" t="str">
            <v>CO2_T</v>
          </cell>
          <cell r="H681">
            <v>1.6953783759712655</v>
          </cell>
          <cell r="I681">
            <v>1.0611699365431537</v>
          </cell>
          <cell r="J681">
            <v>0.19247188663448231</v>
          </cell>
        </row>
        <row r="682">
          <cell r="A682" t="str">
            <v>T-Plg-DSL-mix_S2</v>
          </cell>
          <cell r="B682" t="str">
            <v>VAR_fout</v>
          </cell>
          <cell r="C682" t="str">
            <v>T-PEVmix-ELC_DSL_S2</v>
          </cell>
          <cell r="H682">
            <v>1.3774060162022487E-2</v>
          </cell>
          <cell r="I682">
            <v>9.1008055586369579E-3</v>
          </cell>
          <cell r="J682">
            <v>1.7312215352935098E-3</v>
          </cell>
        </row>
        <row r="683">
          <cell r="A683" t="str">
            <v>T-Plg-DSL-mix_S2</v>
          </cell>
          <cell r="B683" t="str">
            <v>VAR_fin</v>
          </cell>
          <cell r="C683" t="str">
            <v>TDSL</v>
          </cell>
          <cell r="H683">
            <v>2.3129309358407447E-2</v>
          </cell>
          <cell r="I683">
            <v>1.4477079625418134E-2</v>
          </cell>
          <cell r="J683">
            <v>2.6258101860093079E-3</v>
          </cell>
        </row>
        <row r="684">
          <cell r="A684" t="str">
            <v>T_B_u-BEVELC-S4</v>
          </cell>
          <cell r="B684" t="str">
            <v>VAR_fout</v>
          </cell>
          <cell r="C684" t="str">
            <v>TPBSu</v>
          </cell>
          <cell r="H684">
            <v>2.1833329503278138E-4</v>
          </cell>
          <cell r="I684">
            <v>2.5801630343694975E-5</v>
          </cell>
          <cell r="J684">
            <v>1.7929071708522737E-5</v>
          </cell>
        </row>
        <row r="685">
          <cell r="A685" t="str">
            <v>T_B_u-BEVELC-S4</v>
          </cell>
          <cell r="B685" t="str">
            <v>VAR_fin</v>
          </cell>
          <cell r="C685" t="str">
            <v>T-ELC-Bus_u_BatSTGout_S4</v>
          </cell>
          <cell r="H685">
            <v>1.4980797020031791E-3</v>
          </cell>
          <cell r="I685">
            <v>1.6458025051310025E-4</v>
          </cell>
          <cell r="J685">
            <v>1.0569158843888893E-4</v>
          </cell>
        </row>
        <row r="686">
          <cell r="A686" t="str">
            <v>T_B_u-BEVELC-S4</v>
          </cell>
          <cell r="B686" t="str">
            <v>VAR_ncap</v>
          </cell>
          <cell r="C686" t="str">
            <v>-</v>
          </cell>
          <cell r="H686">
            <v>1.0138858182325501E-6</v>
          </cell>
          <cell r="I686">
            <v>6.0517375135708803E-7</v>
          </cell>
          <cell r="J686">
            <v>2.6245637628119902E-7</v>
          </cell>
        </row>
        <row r="687">
          <cell r="A687" t="str">
            <v>T_B_u-BEVELC-S4</v>
          </cell>
          <cell r="B687" t="str">
            <v>VAR_cap</v>
          </cell>
          <cell r="C687" t="str">
            <v>-</v>
          </cell>
          <cell r="H687">
            <v>1.0980045422582137E-4</v>
          </cell>
          <cell r="I687">
            <v>8.1620400064111291E-7</v>
          </cell>
          <cell r="J687">
            <v>3.6633988831537858E-7</v>
          </cell>
        </row>
        <row r="688">
          <cell r="A688" t="str">
            <v>D-TBDS1</v>
          </cell>
          <cell r="B688" t="str">
            <v>VAR_fout</v>
          </cell>
          <cell r="C688" t="str">
            <v>TDSL</v>
          </cell>
          <cell r="H688">
            <v>2.9727495064316964</v>
          </cell>
          <cell r="I688">
            <v>2.972897883942851</v>
          </cell>
          <cell r="J688">
            <v>1.324272352567667</v>
          </cell>
        </row>
        <row r="689">
          <cell r="A689" t="str">
            <v>D-TBDS1</v>
          </cell>
          <cell r="B689" t="str">
            <v>VAR_fout</v>
          </cell>
          <cell r="C689" t="str">
            <v>TKER</v>
          </cell>
          <cell r="H689">
            <v>2.7641173665500199E-3</v>
          </cell>
          <cell r="I689">
            <v>2.03944760807991E-3</v>
          </cell>
          <cell r="J689">
            <v>1.6907788799746</v>
          </cell>
        </row>
        <row r="690">
          <cell r="A690" t="str">
            <v>D-TBDS1</v>
          </cell>
          <cell r="B690" t="str">
            <v>VAR_fin</v>
          </cell>
          <cell r="C690" t="str">
            <v>BDS</v>
          </cell>
          <cell r="H690">
            <v>3.0198943336360071</v>
          </cell>
          <cell r="I690">
            <v>3.0193057064432467</v>
          </cell>
          <cell r="J690">
            <v>3.0600180883918586</v>
          </cell>
        </row>
        <row r="691">
          <cell r="A691" t="str">
            <v>D-T-ELC-Bus_u_S3</v>
          </cell>
          <cell r="B691" t="str">
            <v>VAR_fout</v>
          </cell>
          <cell r="C691" t="str">
            <v>T-ELC-Bus_u_BatSTGin_S3</v>
          </cell>
          <cell r="H691">
            <v>0.82700373113361791</v>
          </cell>
          <cell r="I691">
            <v>0.79820063231089378</v>
          </cell>
          <cell r="J691">
            <v>0.78768939089222034</v>
          </cell>
        </row>
        <row r="692">
          <cell r="A692" t="str">
            <v>D-T-ELC-Bus_u_S3</v>
          </cell>
          <cell r="B692" t="str">
            <v>VAR_fin</v>
          </cell>
          <cell r="C692" t="str">
            <v>TELC</v>
          </cell>
          <cell r="H692">
            <v>0.82700373113361791</v>
          </cell>
          <cell r="I692">
            <v>0.79820063231089378</v>
          </cell>
          <cell r="J692">
            <v>0.78768939089222034</v>
          </cell>
        </row>
        <row r="693">
          <cell r="A693" t="str">
            <v>D-T-ELC-Bus_u_S3</v>
          </cell>
          <cell r="B693" t="str">
            <v>VAR_ncap</v>
          </cell>
          <cell r="C693" t="str">
            <v>-</v>
          </cell>
          <cell r="H693">
            <v>2.3904880507068099E-2</v>
          </cell>
          <cell r="I693">
            <v>6.04649763261439E-2</v>
          </cell>
          <cell r="J693">
            <v>6.2547471399733795E-2</v>
          </cell>
        </row>
        <row r="694">
          <cell r="A694" t="str">
            <v>D-T-ELC-Bus_u_S3</v>
          </cell>
          <cell r="B694" t="str">
            <v>VAR_cap</v>
          </cell>
          <cell r="C694" t="str">
            <v>-</v>
          </cell>
          <cell r="H694">
            <v>8.7414304849757193E-2</v>
          </cell>
          <cell r="I694">
            <v>8.4369856833212006E-2</v>
          </cell>
          <cell r="J694">
            <v>8.3258010475331795E-2</v>
          </cell>
        </row>
        <row r="695">
          <cell r="A695" t="str">
            <v>T-Plg-DSL-mix_S3</v>
          </cell>
          <cell r="B695" t="str">
            <v>VAR_fout</v>
          </cell>
          <cell r="C695" t="str">
            <v>CO2_T</v>
          </cell>
          <cell r="H695">
            <v>601.36262973672433</v>
          </cell>
          <cell r="I695">
            <v>261.9618815952598</v>
          </cell>
          <cell r="J695">
            <v>42.450902096946557</v>
          </cell>
        </row>
        <row r="696">
          <cell r="A696" t="str">
            <v>T-Plg-DSL-mix_S3</v>
          </cell>
          <cell r="B696" t="str">
            <v>VAR_fout</v>
          </cell>
          <cell r="C696" t="str">
            <v>T-PEVmix-ELC_DSL_S3</v>
          </cell>
          <cell r="H696">
            <v>4.5416655193177906</v>
          </cell>
          <cell r="I696">
            <v>2.0953610080338638</v>
          </cell>
          <cell r="J696">
            <v>0.35846719467055371</v>
          </cell>
        </row>
        <row r="697">
          <cell r="A697" t="str">
            <v>T-Plg-DSL-mix_S3</v>
          </cell>
          <cell r="B697" t="str">
            <v>VAR_fin</v>
          </cell>
          <cell r="C697" t="str">
            <v>TDSL</v>
          </cell>
          <cell r="H697">
            <v>8.204128645794329</v>
          </cell>
          <cell r="I697">
            <v>3.5738319453650718</v>
          </cell>
          <cell r="J697">
            <v>0.57913918276871224</v>
          </cell>
        </row>
        <row r="698">
          <cell r="A698" t="str">
            <v>D-T-ELC-Bus_u_S4</v>
          </cell>
          <cell r="B698" t="str">
            <v>VAR_fout</v>
          </cell>
          <cell r="C698" t="str">
            <v>T-ELC-Bus_u_BatSTGin_S4</v>
          </cell>
          <cell r="H698">
            <v>7.1432611595485746E-3</v>
          </cell>
          <cell r="I698">
            <v>4.8950461205217444E-4</v>
          </cell>
          <cell r="J698">
            <v>3.0329250275878717E-4</v>
          </cell>
        </row>
        <row r="699">
          <cell r="A699" t="str">
            <v>D-T-ELC-Bus_u_S4</v>
          </cell>
          <cell r="B699" t="str">
            <v>VAR_fin</v>
          </cell>
          <cell r="C699" t="str">
            <v>TELC</v>
          </cell>
          <cell r="H699">
            <v>7.1432611595485746E-3</v>
          </cell>
          <cell r="I699">
            <v>4.8950461205217444E-4</v>
          </cell>
          <cell r="J699">
            <v>3.0329250275878717E-4</v>
          </cell>
        </row>
        <row r="700">
          <cell r="A700" t="str">
            <v>D-T-ELC-Bus_u_S4</v>
          </cell>
          <cell r="B700" t="str">
            <v>VAR_ncap</v>
          </cell>
          <cell r="C700" t="str">
            <v>-</v>
          </cell>
          <cell r="H700">
            <v>1.0420977375023E-4</v>
          </cell>
          <cell r="I700">
            <v>1.0820014466736699E-4</v>
          </cell>
          <cell r="J700">
            <v>4.0897432351754101E-5</v>
          </cell>
        </row>
        <row r="701">
          <cell r="A701" t="str">
            <v>D-T-ELC-Bus_u_S4</v>
          </cell>
          <cell r="B701" t="str">
            <v>VAR_cap</v>
          </cell>
          <cell r="C701" t="str">
            <v>-</v>
          </cell>
          <cell r="H701">
            <v>7.9983577511147895E-4</v>
          </cell>
          <cell r="I701">
            <v>1.7937399347109999E-4</v>
          </cell>
          <cell r="J701">
            <v>5.9885328189430398E-5</v>
          </cell>
        </row>
        <row r="702">
          <cell r="A702" t="str">
            <v>T_C-FC-H2O-S1</v>
          </cell>
          <cell r="B702" t="str">
            <v>VAR_fout</v>
          </cell>
          <cell r="C702" t="str">
            <v>TPCAR</v>
          </cell>
          <cell r="H702">
            <v>2.3528336974378613E-5</v>
          </cell>
          <cell r="I702">
            <v>2.2929361844235432E-5</v>
          </cell>
          <cell r="J702">
            <v>1.9878753966157376E-5</v>
          </cell>
        </row>
        <row r="703">
          <cell r="A703" t="str">
            <v>T_C-FC-H2O-S1</v>
          </cell>
          <cell r="B703" t="str">
            <v>VAR_fin</v>
          </cell>
          <cell r="C703" t="str">
            <v>TH2O</v>
          </cell>
          <cell r="H703">
            <v>2.100143001343805E-5</v>
          </cell>
          <cell r="I703">
            <v>1.9178686284597485E-5</v>
          </cell>
          <cell r="J703">
            <v>1.513553408591098E-5</v>
          </cell>
        </row>
        <row r="704">
          <cell r="A704" t="str">
            <v>T_C-FC-H2O-S1</v>
          </cell>
          <cell r="B704" t="str">
            <v>VAR_ncap</v>
          </cell>
          <cell r="C704" t="str">
            <v>-</v>
          </cell>
          <cell r="H704">
            <v>9.9189987841898502E-7</v>
          </cell>
          <cell r="I704">
            <v>1.72465601756866E-6</v>
          </cell>
          <cell r="J704">
            <v>1.6608285669040401E-6</v>
          </cell>
        </row>
        <row r="705">
          <cell r="A705" t="str">
            <v>T_C-FC-H2O-S1</v>
          </cell>
          <cell r="B705" t="str">
            <v>VAR_cap</v>
          </cell>
          <cell r="C705" t="str">
            <v>-</v>
          </cell>
          <cell r="H705">
            <v>2.6598467318860097E-6</v>
          </cell>
          <cell r="I705">
            <v>2.9338021464473225E-6</v>
          </cell>
          <cell r="J705">
            <v>2.5372359336830701E-6</v>
          </cell>
        </row>
        <row r="706">
          <cell r="A706" t="str">
            <v>T_B_c-ICEDSL-S1</v>
          </cell>
          <cell r="B706" t="str">
            <v>VAR_fout</v>
          </cell>
          <cell r="C706" t="str">
            <v>CO2_T</v>
          </cell>
          <cell r="H706">
            <v>3.6277342411552898E-4</v>
          </cell>
          <cell r="I706">
            <v>1.4778438867948699E-3</v>
          </cell>
          <cell r="J706">
            <v>4.21659929290873E-4</v>
          </cell>
        </row>
        <row r="707">
          <cell r="A707" t="str">
            <v>T_B_c-ICEDSL-S1</v>
          </cell>
          <cell r="B707" t="str">
            <v>VAR_fout</v>
          </cell>
          <cell r="C707" t="str">
            <v>TPBSc</v>
          </cell>
          <cell r="H707">
            <v>7.6632390374220401E-7</v>
          </cell>
          <cell r="I707">
            <v>3.2818084798414095E-6</v>
          </cell>
          <cell r="J707">
            <v>9.3636895203951628E-7</v>
          </cell>
        </row>
        <row r="708">
          <cell r="A708" t="str">
            <v>T_B_c-ICEDSL-S1</v>
          </cell>
          <cell r="B708" t="str">
            <v>VAR_fin</v>
          </cell>
          <cell r="C708" t="str">
            <v>TDSL</v>
          </cell>
          <cell r="H708">
            <v>4.9491599470058526E-6</v>
          </cell>
          <cell r="I708">
            <v>2.0161580993108708E-5</v>
          </cell>
          <cell r="J708">
            <v>5.7525229098345608E-6</v>
          </cell>
        </row>
        <row r="709">
          <cell r="A709" t="str">
            <v>T_B_c-ICEDSL-S1</v>
          </cell>
          <cell r="B709" t="str">
            <v>VAR_ncap</v>
          </cell>
          <cell r="C709" t="str">
            <v>-</v>
          </cell>
          <cell r="H709">
            <v>3.4291300442143299E-8</v>
          </cell>
          <cell r="I709">
            <v>7.4413996136669897E-8</v>
          </cell>
        </row>
        <row r="710">
          <cell r="A710" t="str">
            <v>T_B_c-ICEDSL-S1</v>
          </cell>
          <cell r="B710" t="str">
            <v>VAR_cap</v>
          </cell>
          <cell r="C710" t="str">
            <v>-</v>
          </cell>
          <cell r="H710">
            <v>4.3672697334697932E-8</v>
          </cell>
          <cell r="I710">
            <v>7.5380864161640199E-8</v>
          </cell>
          <cell r="J710">
            <v>4.3336746263187898E-8</v>
          </cell>
        </row>
        <row r="711">
          <cell r="A711" t="str">
            <v>T-Plg-DSL-mix_S4</v>
          </cell>
          <cell r="B711" t="str">
            <v>VAR_fout</v>
          </cell>
          <cell r="C711" t="str">
            <v>CO2_T</v>
          </cell>
          <cell r="H711">
            <v>1.450833542417739</v>
          </cell>
          <cell r="I711">
            <v>0.52502981854144626</v>
          </cell>
          <cell r="J711">
            <v>8.1678556719580603E-2</v>
          </cell>
        </row>
        <row r="712">
          <cell r="A712" t="str">
            <v>T-Plg-DSL-mix_S4</v>
          </cell>
          <cell r="B712" t="str">
            <v>VAR_fout</v>
          </cell>
          <cell r="C712" t="str">
            <v>T-PEVmix-ELC_DSL_S4</v>
          </cell>
          <cell r="H712">
            <v>1.0430928531713296E-2</v>
          </cell>
          <cell r="I712">
            <v>3.9638165647453913E-3</v>
          </cell>
          <cell r="J712">
            <v>6.4245351506505492E-4</v>
          </cell>
        </row>
        <row r="713">
          <cell r="A713" t="str">
            <v>T-Plg-DSL-mix_S4</v>
          </cell>
          <cell r="B713" t="str">
            <v>VAR_fin</v>
          </cell>
          <cell r="C713" t="str">
            <v>TDSL</v>
          </cell>
          <cell r="H713">
            <v>1.9793090619614446E-2</v>
          </cell>
          <cell r="I713">
            <v>7.1627533225299619E-3</v>
          </cell>
          <cell r="J713">
            <v>1.1143050029956427E-3</v>
          </cell>
        </row>
        <row r="714">
          <cell r="A714" t="str">
            <v>T_C-FC-H2O-S2</v>
          </cell>
          <cell r="B714" t="str">
            <v>VAR_fout</v>
          </cell>
          <cell r="C714" t="str">
            <v>TPCAR</v>
          </cell>
          <cell r="H714">
            <v>3.4236190412867415E-5</v>
          </cell>
          <cell r="I714">
            <v>3.2807024314087256E-5</v>
          </cell>
          <cell r="J714">
            <v>3.2570836490644799E-5</v>
          </cell>
        </row>
        <row r="715">
          <cell r="A715" t="str">
            <v>T_C-FC-H2O-S2</v>
          </cell>
          <cell r="B715" t="str">
            <v>VAR_fin</v>
          </cell>
          <cell r="C715" t="str">
            <v>TH2O</v>
          </cell>
          <cell r="H715">
            <v>3.7564539136141338E-5</v>
          </cell>
          <cell r="I715">
            <v>3.3736509327939162E-5</v>
          </cell>
          <cell r="J715">
            <v>3.0210245325003622E-5</v>
          </cell>
        </row>
        <row r="716">
          <cell r="A716" t="str">
            <v>T_C-FC-H2O-S2</v>
          </cell>
          <cell r="B716" t="str">
            <v>VAR_ncap</v>
          </cell>
          <cell r="C716" t="str">
            <v>-</v>
          </cell>
          <cell r="H716">
            <v>9.2962961849545195E-7</v>
          </cell>
          <cell r="I716">
            <v>1.49099152934607E-6</v>
          </cell>
          <cell r="J716">
            <v>1.7603546248478701E-6</v>
          </cell>
        </row>
        <row r="717">
          <cell r="A717" t="str">
            <v>T_C-FC-H2O-S2</v>
          </cell>
          <cell r="B717" t="str">
            <v>VAR_cap</v>
          </cell>
          <cell r="C717" t="str">
            <v>-</v>
          </cell>
          <cell r="H717">
            <v>2.4943172521145751E-6</v>
          </cell>
          <cell r="I717">
            <v>2.5643663857292194E-6</v>
          </cell>
          <cell r="J717">
            <v>2.48846916064434E-6</v>
          </cell>
        </row>
        <row r="718">
          <cell r="A718" t="str">
            <v>T_B_c-ICEDSL-S2</v>
          </cell>
          <cell r="B718" t="str">
            <v>VAR_fout</v>
          </cell>
          <cell r="C718" t="str">
            <v>CO2_T</v>
          </cell>
          <cell r="H718">
            <v>6.7491768791408391E-4</v>
          </cell>
          <cell r="I718">
            <v>2.0428058947048701E-3</v>
          </cell>
          <cell r="J718">
            <v>1.0800631340600699E-3</v>
          </cell>
        </row>
        <row r="719">
          <cell r="A719" t="str">
            <v>T_B_c-ICEDSL-S2</v>
          </cell>
          <cell r="B719" t="str">
            <v>VAR_fout</v>
          </cell>
          <cell r="C719" t="str">
            <v>TPBSc</v>
          </cell>
          <cell r="H719">
            <v>9.8486112261496465E-7</v>
          </cell>
          <cell r="I719">
            <v>3.1614032393292751E-6</v>
          </cell>
          <cell r="J719">
            <v>1.6714828851573062E-6</v>
          </cell>
        </row>
        <row r="720">
          <cell r="A720" t="str">
            <v>T_B_c-ICEDSL-S2</v>
          </cell>
          <cell r="B720" t="str">
            <v>VAR_fin</v>
          </cell>
          <cell r="C720" t="str">
            <v>TDSL</v>
          </cell>
          <cell r="H720">
            <v>9.2076082935072822E-6</v>
          </cell>
          <cell r="I720">
            <v>2.7869111796792178E-5</v>
          </cell>
          <cell r="J720">
            <v>1.4734831296863198E-5</v>
          </cell>
        </row>
        <row r="721">
          <cell r="A721" t="str">
            <v>T_B_c-ICEDSL-S2</v>
          </cell>
          <cell r="B721" t="str">
            <v>VAR_ncap</v>
          </cell>
          <cell r="C721" t="str">
            <v>-</v>
          </cell>
          <cell r="H721">
            <v>1.4273428737682401E-8</v>
          </cell>
          <cell r="I721">
            <v>5.6274010832185798E-8</v>
          </cell>
        </row>
        <row r="722">
          <cell r="A722" t="str">
            <v>T_B_c-ICEDSL-S2</v>
          </cell>
          <cell r="B722" t="str">
            <v>VAR_cap</v>
          </cell>
          <cell r="C722" t="str">
            <v>-</v>
          </cell>
          <cell r="H722">
            <v>1.3868936399263971E-8</v>
          </cell>
          <cell r="I722">
            <v>4.7780893884261493E-8</v>
          </cell>
          <cell r="J722">
            <v>3.0726538665377599E-8</v>
          </cell>
        </row>
        <row r="723">
          <cell r="A723" t="str">
            <v>T_TW-FCLH2O-S1</v>
          </cell>
          <cell r="B723" t="str">
            <v>VAR_fout</v>
          </cell>
          <cell r="C723" t="str">
            <v>TPTWL</v>
          </cell>
          <cell r="H723">
            <v>8.0087417716955922E-4</v>
          </cell>
          <cell r="I723">
            <v>9.6101655478856619E-4</v>
          </cell>
          <cell r="J723">
            <v>7.6142004402357543E-4</v>
          </cell>
        </row>
        <row r="724">
          <cell r="A724" t="str">
            <v>T_TW-FCLH2O-S1</v>
          </cell>
          <cell r="B724" t="str">
            <v>VAR_fin</v>
          </cell>
          <cell r="C724" t="str">
            <v>TH2O</v>
          </cell>
          <cell r="H724">
            <v>1.7099952968304877E-4</v>
          </cell>
          <cell r="I724">
            <v>2.0266475739838207E-4</v>
          </cell>
          <cell r="J724">
            <v>1.5633172841009277E-4</v>
          </cell>
        </row>
        <row r="725">
          <cell r="A725" t="str">
            <v>T_TW-FCLH2O-S1</v>
          </cell>
          <cell r="B725" t="str">
            <v>VAR_ncap</v>
          </cell>
          <cell r="C725" t="str">
            <v>-</v>
          </cell>
          <cell r="H725">
            <v>1.82411616489869E-4</v>
          </cell>
          <cell r="I725">
            <v>1.6312910928103201E-4</v>
          </cell>
          <cell r="J725">
            <v>1.8572053399809401E-4</v>
          </cell>
        </row>
        <row r="726">
          <cell r="A726" t="str">
            <v>T_TW-FCLH2O-S1</v>
          </cell>
          <cell r="B726" t="str">
            <v>VAR_cap</v>
          </cell>
          <cell r="C726" t="str">
            <v>-</v>
          </cell>
          <cell r="H726">
            <v>3.0525099315156047E-4</v>
          </cell>
          <cell r="I726">
            <v>3.6717485887309879E-4</v>
          </cell>
          <cell r="J726">
            <v>2.9944747519813252E-4</v>
          </cell>
        </row>
        <row r="727">
          <cell r="A727" t="str">
            <v>D-T-ELC-TW_Bat_S1</v>
          </cell>
          <cell r="B727" t="str">
            <v>VAR_fout</v>
          </cell>
          <cell r="C727" t="str">
            <v>T-ELC-TWSTGin_S1</v>
          </cell>
          <cell r="H727">
            <v>1.9816739808384738E-2</v>
          </cell>
          <cell r="I727">
            <v>9.1823309359323216E-2</v>
          </cell>
          <cell r="J727">
            <v>7.5624339736241789E-2</v>
          </cell>
        </row>
        <row r="728">
          <cell r="A728" t="str">
            <v>D-T-ELC-TW_Bat_S1</v>
          </cell>
          <cell r="B728" t="str">
            <v>VAR_fin</v>
          </cell>
          <cell r="C728" t="str">
            <v>TELC</v>
          </cell>
          <cell r="H728">
            <v>1.9816739808384738E-2</v>
          </cell>
          <cell r="I728">
            <v>9.1823309359323216E-2</v>
          </cell>
          <cell r="J728">
            <v>7.5624339736241789E-2</v>
          </cell>
        </row>
        <row r="729">
          <cell r="A729" t="str">
            <v>D-T-ELC-TW_Bat_S1</v>
          </cell>
          <cell r="B729" t="str">
            <v>VAR_ncap</v>
          </cell>
          <cell r="C729" t="str">
            <v>-</v>
          </cell>
          <cell r="H729">
            <v>1.9643802725233298E-3</v>
          </cell>
          <cell r="I729">
            <v>7.7204912106661897E-3</v>
          </cell>
          <cell r="J729">
            <v>3.7779292246570601E-3</v>
          </cell>
        </row>
        <row r="730">
          <cell r="A730" t="str">
            <v>D-T-ELC-TW_Bat_S1</v>
          </cell>
          <cell r="B730" t="str">
            <v>VAR_cap</v>
          </cell>
          <cell r="C730" t="str">
            <v>-</v>
          </cell>
          <cell r="H730">
            <v>2.0971175137068699E-3</v>
          </cell>
          <cell r="I730">
            <v>9.70731055305637E-3</v>
          </cell>
          <cell r="J730">
            <v>7.9945228232698208E-3</v>
          </cell>
        </row>
        <row r="731">
          <cell r="A731" t="str">
            <v>T_C-FC-H2O-S3</v>
          </cell>
          <cell r="B731" t="str">
            <v>VAR_fout</v>
          </cell>
          <cell r="C731" t="str">
            <v>TPCAR</v>
          </cell>
          <cell r="H731">
            <v>4.7931789701055754E-5</v>
          </cell>
          <cell r="I731">
            <v>3.4716802565078906E-5</v>
          </cell>
          <cell r="J731">
            <v>3.6821892442273624E-5</v>
          </cell>
        </row>
        <row r="732">
          <cell r="A732" t="str">
            <v>T_C-FC-H2O-S3</v>
          </cell>
          <cell r="B732" t="str">
            <v>VAR_fin</v>
          </cell>
          <cell r="C732" t="str">
            <v>TH2O</v>
          </cell>
          <cell r="H732">
            <v>5.6823286758885993E-5</v>
          </cell>
          <cell r="I732">
            <v>3.8386017581616164E-5</v>
          </cell>
          <cell r="J732">
            <v>3.6525011949093306E-5</v>
          </cell>
        </row>
        <row r="733">
          <cell r="A733" t="str">
            <v>T_C-FC-H2O-S3</v>
          </cell>
          <cell r="B733" t="str">
            <v>VAR_ncap</v>
          </cell>
          <cell r="C733" t="str">
            <v>-</v>
          </cell>
          <cell r="H733">
            <v>7.8990253974741504E-7</v>
          </cell>
          <cell r="I733">
            <v>1.2835776695524E-6</v>
          </cell>
          <cell r="J733">
            <v>1.74021419705451E-6</v>
          </cell>
        </row>
        <row r="734">
          <cell r="A734" t="str">
            <v>T_C-FC-H2O-S3</v>
          </cell>
          <cell r="B734" t="str">
            <v>VAR_cap</v>
          </cell>
          <cell r="C734" t="str">
            <v>-</v>
          </cell>
          <cell r="H734">
            <v>2.7958399492703809E-6</v>
          </cell>
          <cell r="I734">
            <v>2.1737676288522538E-6</v>
          </cell>
          <cell r="J734">
            <v>2.3315098322453801E-6</v>
          </cell>
        </row>
        <row r="735">
          <cell r="A735" t="str">
            <v>T_B_c-ICEDSL-S3</v>
          </cell>
          <cell r="B735" t="str">
            <v>VAR_fout</v>
          </cell>
          <cell r="C735" t="str">
            <v>CO2_T</v>
          </cell>
          <cell r="I735">
            <v>9.2015552638589199E-4</v>
          </cell>
        </row>
        <row r="736">
          <cell r="A736" t="str">
            <v>T_B_c-ICEDSL-S3</v>
          </cell>
          <cell r="B736" t="str">
            <v>VAR_fout</v>
          </cell>
          <cell r="C736" t="str">
            <v>TPBSc</v>
          </cell>
          <cell r="I736">
            <v>9.4363690806891016E-7</v>
          </cell>
        </row>
        <row r="737">
          <cell r="A737" t="str">
            <v>T_B_c-ICEDSL-S3</v>
          </cell>
          <cell r="B737" t="str">
            <v>VAR_fin</v>
          </cell>
          <cell r="C737" t="str">
            <v>TDSL</v>
          </cell>
          <cell r="I737">
            <v>1.2553281396806167E-5</v>
          </cell>
        </row>
        <row r="738">
          <cell r="A738" t="str">
            <v>T_B_c-ICEDSL-S3</v>
          </cell>
          <cell r="B738" t="str">
            <v>VAR_ncap</v>
          </cell>
          <cell r="C738" t="str">
            <v>-</v>
          </cell>
          <cell r="H738">
            <v>1.4954735861662899E-8</v>
          </cell>
          <cell r="I738">
            <v>3.8205569852150697E-8</v>
          </cell>
        </row>
        <row r="739">
          <cell r="A739" t="str">
            <v>T_B_c-ICEDSL-S3</v>
          </cell>
          <cell r="B739" t="str">
            <v>VAR_cap</v>
          </cell>
          <cell r="C739" t="str">
            <v>-</v>
          </cell>
          <cell r="H739">
            <v>1.4954735861662899E-8</v>
          </cell>
          <cell r="I739">
            <v>5.3160305713813599E-8</v>
          </cell>
          <cell r="J739">
            <v>1.3086219418336699E-8</v>
          </cell>
        </row>
        <row r="740">
          <cell r="A740" t="str">
            <v>T_TW-FCLH2O-S2</v>
          </cell>
          <cell r="B740" t="str">
            <v>VAR_fout</v>
          </cell>
          <cell r="C740" t="str">
            <v>TPTWL</v>
          </cell>
          <cell r="H740">
            <v>3.1913367811161562E-4</v>
          </cell>
          <cell r="I740">
            <v>4.0452365925862404E-4</v>
          </cell>
          <cell r="J740">
            <v>3.1056021634630056E-4</v>
          </cell>
        </row>
        <row r="741">
          <cell r="A741" t="str">
            <v>T_TW-FCLH2O-S2</v>
          </cell>
          <cell r="B741" t="str">
            <v>VAR_fin</v>
          </cell>
          <cell r="C741" t="str">
            <v>TH2O</v>
          </cell>
          <cell r="H741">
            <v>1.1715910659124604E-4</v>
          </cell>
          <cell r="I741">
            <v>1.4713442425708695E-4</v>
          </cell>
          <cell r="J741">
            <v>1.1046192729793947E-4</v>
          </cell>
        </row>
        <row r="742">
          <cell r="A742" t="str">
            <v>T_TW-FCLH2O-S2</v>
          </cell>
          <cell r="B742" t="str">
            <v>VAR_ncap</v>
          </cell>
          <cell r="C742" t="str">
            <v>-</v>
          </cell>
          <cell r="H742">
            <v>6.97078348930949E-5</v>
          </cell>
          <cell r="I742">
            <v>5.90237104435765E-5</v>
          </cell>
          <cell r="J742">
            <v>5.7594365218274498E-5</v>
          </cell>
        </row>
        <row r="743">
          <cell r="A743" t="str">
            <v>T_TW-FCLH2O-S2</v>
          </cell>
          <cell r="B743" t="str">
            <v>VAR_cap</v>
          </cell>
          <cell r="C743" t="str">
            <v>-</v>
          </cell>
          <cell r="H743">
            <v>1.2157172103600746E-4</v>
          </cell>
          <cell r="I743">
            <v>1.5553152021011786E-4</v>
          </cell>
          <cell r="J743">
            <v>1.199254990023865E-4</v>
          </cell>
        </row>
        <row r="744">
          <cell r="A744" t="str">
            <v>D-T-ELC-TW_Bat_S2</v>
          </cell>
          <cell r="B744" t="str">
            <v>VAR_fout</v>
          </cell>
          <cell r="C744" t="str">
            <v>T-ELC-TWSTGin_S2</v>
          </cell>
          <cell r="H744">
            <v>5.9155238139980406E-3</v>
          </cell>
          <cell r="I744">
            <v>5.1298974636334637E-3</v>
          </cell>
          <cell r="J744">
            <v>3.4520679719578407E-3</v>
          </cell>
        </row>
        <row r="745">
          <cell r="A745" t="str">
            <v>D-T-ELC-TW_Bat_S2</v>
          </cell>
          <cell r="B745" t="str">
            <v>VAR_fin</v>
          </cell>
          <cell r="C745" t="str">
            <v>TELC</v>
          </cell>
          <cell r="H745">
            <v>5.9155238139980406E-3</v>
          </cell>
          <cell r="I745">
            <v>5.1298974636334637E-3</v>
          </cell>
          <cell r="J745">
            <v>3.4520679719578407E-3</v>
          </cell>
        </row>
        <row r="746">
          <cell r="A746" t="str">
            <v>D-T-ELC-TW_Bat_S2</v>
          </cell>
          <cell r="B746" t="str">
            <v>VAR_ncap</v>
          </cell>
          <cell r="C746" t="str">
            <v>-</v>
          </cell>
          <cell r="H746">
            <v>4.4387147726308602E-4</v>
          </cell>
          <cell r="I746">
            <v>8.3374389082702392E-6</v>
          </cell>
          <cell r="J746">
            <v>2.0876667407589901E-4</v>
          </cell>
        </row>
        <row r="747">
          <cell r="A747" t="str">
            <v>D-T-ELC-TW_Bat_S2</v>
          </cell>
          <cell r="B747" t="str">
            <v>VAR_cap</v>
          </cell>
          <cell r="C747" t="str">
            <v>-</v>
          </cell>
          <cell r="H747">
            <v>6.2719657542189395E-4</v>
          </cell>
          <cell r="I747">
            <v>5.44446602075097E-4</v>
          </cell>
          <cell r="J747">
            <v>3.6624500435809002E-4</v>
          </cell>
        </row>
        <row r="748">
          <cell r="A748" t="str">
            <v>T_C-FC-H2O-S4</v>
          </cell>
          <cell r="B748" t="str">
            <v>VAR_fout</v>
          </cell>
          <cell r="C748" t="str">
            <v>TPCAR</v>
          </cell>
          <cell r="H748">
            <v>3.3237613417629572E-5</v>
          </cell>
          <cell r="I748">
            <v>3.2458753449717974E-5</v>
          </cell>
          <cell r="J748">
            <v>3.5555439208001133E-5</v>
          </cell>
        </row>
        <row r="749">
          <cell r="A749" t="str">
            <v>T_C-FC-H2O-S4</v>
          </cell>
          <cell r="B749" t="str">
            <v>VAR_fin</v>
          </cell>
          <cell r="C749" t="str">
            <v>TH2O</v>
          </cell>
          <cell r="H749">
            <v>3.8897972298842219E-5</v>
          </cell>
          <cell r="I749">
            <v>3.5683178359720314E-5</v>
          </cell>
          <cell r="J749">
            <v>3.5325537374434967E-5</v>
          </cell>
        </row>
        <row r="750">
          <cell r="A750" t="str">
            <v>T_C-FC-H2O-S4</v>
          </cell>
          <cell r="B750" t="str">
            <v>VAR_ncap</v>
          </cell>
          <cell r="C750" t="str">
            <v>-</v>
          </cell>
          <cell r="H750">
            <v>9.35717885607899E-7</v>
          </cell>
          <cell r="I750">
            <v>1.57149883554837E-6</v>
          </cell>
          <cell r="J750">
            <v>2.1086717197515002E-6</v>
          </cell>
        </row>
        <row r="751">
          <cell r="A751" t="str">
            <v>T_C-FC-H2O-S4</v>
          </cell>
          <cell r="B751" t="str">
            <v>VAR_cap</v>
          </cell>
          <cell r="C751" t="str">
            <v>-</v>
          </cell>
          <cell r="H751">
            <v>2.53657778974902E-6</v>
          </cell>
          <cell r="I751">
            <v>2.6436620296071663E-6</v>
          </cell>
          <cell r="J751">
            <v>2.8279788880858599E-6</v>
          </cell>
        </row>
        <row r="752">
          <cell r="A752" t="str">
            <v>T_B_c-ICEDSL-S4</v>
          </cell>
          <cell r="B752" t="str">
            <v>VAR_fout</v>
          </cell>
          <cell r="C752" t="str">
            <v>CO2_T</v>
          </cell>
        </row>
        <row r="753">
          <cell r="A753" t="str">
            <v>T_B_c-ICEDSL-S4</v>
          </cell>
          <cell r="B753" t="str">
            <v>VAR_fout</v>
          </cell>
          <cell r="C753" t="str">
            <v>TPBSc</v>
          </cell>
        </row>
        <row r="754">
          <cell r="A754" t="str">
            <v>T_B_c-ICEDSL-S4</v>
          </cell>
          <cell r="B754" t="str">
            <v>VAR_fin</v>
          </cell>
          <cell r="C754" t="str">
            <v>TDSL</v>
          </cell>
        </row>
        <row r="755">
          <cell r="A755" t="str">
            <v>T_B_c-ICEDSL-S4</v>
          </cell>
          <cell r="B755" t="str">
            <v>VAR_ncap</v>
          </cell>
          <cell r="C755" t="str">
            <v>-</v>
          </cell>
        </row>
        <row r="756">
          <cell r="A756" t="str">
            <v>T_B_c-ICEDSL-S4</v>
          </cell>
          <cell r="B756" t="str">
            <v>VAR_cap</v>
          </cell>
          <cell r="C756" t="str">
            <v>-</v>
          </cell>
          <cell r="I756">
            <v>-8.1382270324610796E-9</v>
          </cell>
        </row>
        <row r="757">
          <cell r="A757" t="str">
            <v>D-T-ELC-HGV</v>
          </cell>
          <cell r="B757" t="str">
            <v>VAR_fout</v>
          </cell>
          <cell r="C757" t="str">
            <v>T-ELC-HGV_BatSTGin</v>
          </cell>
          <cell r="H757">
            <v>1.4883540877357739</v>
          </cell>
          <cell r="I757">
            <v>4.6483960056471094</v>
          </cell>
          <cell r="J757">
            <v>8.0404902267328122</v>
          </cell>
        </row>
        <row r="758">
          <cell r="A758" t="str">
            <v>D-T-ELC-HGV</v>
          </cell>
          <cell r="B758" t="str">
            <v>VAR_fin</v>
          </cell>
          <cell r="C758" t="str">
            <v>TELC</v>
          </cell>
          <cell r="H758">
            <v>1.4883540877357739</v>
          </cell>
          <cell r="I758">
            <v>4.6483960056471094</v>
          </cell>
          <cell r="J758">
            <v>8.0404902267328122</v>
          </cell>
        </row>
        <row r="759">
          <cell r="A759" t="str">
            <v>D-T-ELC-HGV</v>
          </cell>
          <cell r="B759" t="str">
            <v>VAR_ncap</v>
          </cell>
          <cell r="C759" t="str">
            <v>-</v>
          </cell>
          <cell r="H759">
            <v>0.184305706949908</v>
          </cell>
          <cell r="I759">
            <v>0.45801825873837099</v>
          </cell>
          <cell r="J759">
            <v>0.93387524958915402</v>
          </cell>
        </row>
        <row r="760">
          <cell r="A760" t="str">
            <v>D-T-ELC-HGV</v>
          </cell>
          <cell r="B760" t="str">
            <v>VAR_cap</v>
          </cell>
          <cell r="C760" t="str">
            <v>-</v>
          </cell>
          <cell r="H760">
            <v>0.18782257628617199</v>
          </cell>
          <cell r="I760">
            <v>0.58389653337658698</v>
          </cell>
          <cell r="J760">
            <v>1.0142522492263899</v>
          </cell>
        </row>
        <row r="761">
          <cell r="A761" t="str">
            <v>T_TW-FCLH2O-S3</v>
          </cell>
          <cell r="B761" t="str">
            <v>VAR_fout</v>
          </cell>
          <cell r="C761" t="str">
            <v>TPTWL</v>
          </cell>
          <cell r="H761">
            <v>1.4323610473438835E-4</v>
          </cell>
          <cell r="I761">
            <v>2.0552940454500473E-4</v>
          </cell>
          <cell r="J761">
            <v>2.1422267338052243E-4</v>
          </cell>
        </row>
        <row r="762">
          <cell r="A762" t="str">
            <v>T_TW-FCLH2O-S3</v>
          </cell>
          <cell r="B762" t="str">
            <v>VAR_fin</v>
          </cell>
          <cell r="C762" t="str">
            <v>TH2O</v>
          </cell>
          <cell r="H762">
            <v>8.068047703356664E-5</v>
          </cell>
          <cell r="I762">
            <v>1.149227435079724E-4</v>
          </cell>
          <cell r="J762">
            <v>1.1744266856001072E-4</v>
          </cell>
        </row>
        <row r="763">
          <cell r="A763" t="str">
            <v>T_TW-FCLH2O-S3</v>
          </cell>
          <cell r="B763" t="str">
            <v>VAR_ncap</v>
          </cell>
          <cell r="C763" t="str">
            <v>-</v>
          </cell>
          <cell r="H763">
            <v>2.7742365187166798E-5</v>
          </cell>
          <cell r="I763">
            <v>2.4287914343255101E-5</v>
          </cell>
          <cell r="J763">
            <v>2.8109110880439099E-5</v>
          </cell>
        </row>
        <row r="764">
          <cell r="A764" t="str">
            <v>T_TW-FCLH2O-S3</v>
          </cell>
          <cell r="B764" t="str">
            <v>VAR_cap</v>
          </cell>
          <cell r="C764" t="str">
            <v>-</v>
          </cell>
          <cell r="H764">
            <v>5.3205245515634146E-5</v>
          </cell>
          <cell r="I764">
            <v>7.744940018678754E-5</v>
          </cell>
          <cell r="J764">
            <v>8.105750000498542E-5</v>
          </cell>
        </row>
        <row r="765">
          <cell r="A765" t="str">
            <v>D-T-ELC-TW_Bat_S3</v>
          </cell>
          <cell r="B765" t="str">
            <v>VAR_fout</v>
          </cell>
          <cell r="C765" t="str">
            <v>T-ELC-TWSTGin_S3</v>
          </cell>
          <cell r="H765">
            <v>8.3381839039152368E-3</v>
          </cell>
          <cell r="I765">
            <v>8.0893585906385464E-3</v>
          </cell>
          <cell r="J765">
            <v>5.2050930798076076E-3</v>
          </cell>
        </row>
        <row r="766">
          <cell r="A766" t="str">
            <v>D-T-ELC-TW_Bat_S3</v>
          </cell>
          <cell r="B766" t="str">
            <v>VAR_fin</v>
          </cell>
          <cell r="C766" t="str">
            <v>TELC</v>
          </cell>
          <cell r="H766">
            <v>8.3381839039152368E-3</v>
          </cell>
          <cell r="I766">
            <v>8.0893585906385464E-3</v>
          </cell>
          <cell r="J766">
            <v>5.2050930798076076E-3</v>
          </cell>
        </row>
        <row r="767">
          <cell r="A767" t="str">
            <v>D-T-ELC-TW_Bat_S3</v>
          </cell>
          <cell r="B767" t="str">
            <v>VAR_ncap</v>
          </cell>
          <cell r="C767" t="str">
            <v>-</v>
          </cell>
          <cell r="H767">
            <v>5.1233719816034097E-4</v>
          </cell>
          <cell r="I767">
            <v>8.6548124147030599E-5</v>
          </cell>
          <cell r="J767">
            <v>8.0739981269776796E-6</v>
          </cell>
        </row>
        <row r="768">
          <cell r="A768" t="str">
            <v>D-T-ELC-TW_Bat_S3</v>
          </cell>
          <cell r="B768" t="str">
            <v>VAR_cap</v>
          </cell>
          <cell r="C768" t="str">
            <v>-</v>
          </cell>
          <cell r="H768">
            <v>8.8370995894436098E-4</v>
          </cell>
          <cell r="I768">
            <v>8.5656441161592904E-4</v>
          </cell>
          <cell r="J768">
            <v>5.5207633270975697E-4</v>
          </cell>
        </row>
        <row r="769">
          <cell r="A769" t="str">
            <v>T_TW-FCLH2O-S4</v>
          </cell>
          <cell r="B769" t="str">
            <v>VAR_fout</v>
          </cell>
          <cell r="C769" t="str">
            <v>TPTWL</v>
          </cell>
          <cell r="H769">
            <v>7.029291346486241E-5</v>
          </cell>
          <cell r="I769">
            <v>1.0634948401847474E-4</v>
          </cell>
          <cell r="J769">
            <v>1.3628551812394255E-4</v>
          </cell>
        </row>
        <row r="770">
          <cell r="A770" t="str">
            <v>T_TW-FCLH2O-S4</v>
          </cell>
          <cell r="B770" t="str">
            <v>VAR_fin</v>
          </cell>
          <cell r="C770" t="str">
            <v>TH2O</v>
          </cell>
          <cell r="H770">
            <v>4.4557181694794498E-5</v>
          </cell>
          <cell r="I770">
            <v>6.6803076648485794E-5</v>
          </cell>
          <cell r="J770">
            <v>8.4177684609729479E-5</v>
          </cell>
        </row>
        <row r="771">
          <cell r="A771" t="str">
            <v>T_TW-FCLH2O-S4</v>
          </cell>
          <cell r="B771" t="str">
            <v>VAR_ncap</v>
          </cell>
          <cell r="C771" t="str">
            <v>-</v>
          </cell>
          <cell r="H771">
            <v>1.3664977625849699E-5</v>
          </cell>
          <cell r="I771">
            <v>1.33586631713839E-5</v>
          </cell>
          <cell r="J771">
            <v>1.47747680870939E-5</v>
          </cell>
        </row>
        <row r="772">
          <cell r="A772" t="str">
            <v>T_TW-FCLH2O-S4</v>
          </cell>
          <cell r="B772" t="str">
            <v>VAR_cap</v>
          </cell>
          <cell r="C772" t="str">
            <v>-</v>
          </cell>
          <cell r="H772">
            <v>2.4950170750453453E-5</v>
          </cell>
          <cell r="I772">
            <v>3.828115155576007E-5</v>
          </cell>
          <cell r="J772">
            <v>4.9124892718704812E-5</v>
          </cell>
        </row>
        <row r="773">
          <cell r="A773" t="str">
            <v>D-T-ELC-TW_Bat_S4</v>
          </cell>
          <cell r="B773" t="str">
            <v>VAR_fout</v>
          </cell>
          <cell r="C773" t="str">
            <v>T-ELC-TWSTGin_S4</v>
          </cell>
          <cell r="H773">
            <v>8.2676384402958301E-3</v>
          </cell>
          <cell r="I773">
            <v>9.3563678205855882E-3</v>
          </cell>
          <cell r="J773">
            <v>7.6057506515171342E-3</v>
          </cell>
        </row>
        <row r="774">
          <cell r="A774" t="str">
            <v>D-T-ELC-TW_Bat_S4</v>
          </cell>
          <cell r="B774" t="str">
            <v>VAR_fin</v>
          </cell>
          <cell r="C774" t="str">
            <v>TELC</v>
          </cell>
          <cell r="H774">
            <v>8.2676384402958301E-3</v>
          </cell>
          <cell r="I774">
            <v>9.3563678205855882E-3</v>
          </cell>
          <cell r="J774">
            <v>7.6057506515171342E-3</v>
          </cell>
        </row>
        <row r="775">
          <cell r="A775" t="str">
            <v>D-T-ELC-TW_Bat_S4</v>
          </cell>
          <cell r="B775" t="str">
            <v>VAR_ncap</v>
          </cell>
          <cell r="C775" t="str">
            <v>-</v>
          </cell>
          <cell r="H775">
            <v>5.04942439606068E-4</v>
          </cell>
          <cell r="I775">
            <v>1.1517548739439999E-4</v>
          </cell>
          <cell r="J775">
            <v>5.6919269472737203E-5</v>
          </cell>
        </row>
        <row r="776">
          <cell r="A776" t="str">
            <v>D-T-ELC-TW_Bat_S4</v>
          </cell>
          <cell r="B776" t="str">
            <v>VAR_cap</v>
          </cell>
          <cell r="C776" t="str">
            <v>-</v>
          </cell>
          <cell r="H776">
            <v>8.7561050923612503E-4</v>
          </cell>
          <cell r="I776">
            <v>9.9078599663052496E-4</v>
          </cell>
          <cell r="J776">
            <v>8.0556479423816399E-4</v>
          </cell>
        </row>
        <row r="777">
          <cell r="A777" t="str">
            <v>T_B_u-ICENGA-S1</v>
          </cell>
          <cell r="B777" t="str">
            <v>VAR_fout</v>
          </cell>
          <cell r="C777" t="str">
            <v>CO2_T</v>
          </cell>
          <cell r="H777">
            <v>2.9377525951569802E-4</v>
          </cell>
        </row>
        <row r="778">
          <cell r="A778" t="str">
            <v>T_B_u-ICENGA-S1</v>
          </cell>
          <cell r="B778" t="str">
            <v>VAR_fout</v>
          </cell>
          <cell r="C778" t="str">
            <v>TPBSu</v>
          </cell>
          <cell r="H778">
            <v>7.5696357915781117E-7</v>
          </cell>
        </row>
        <row r="779">
          <cell r="A779" t="str">
            <v>T_B_u-ICENGA-S1</v>
          </cell>
          <cell r="B779" t="str">
            <v>VAR_fin</v>
          </cell>
          <cell r="C779" t="str">
            <v>TNGA</v>
          </cell>
          <cell r="H779">
            <v>5.2087811970868424E-6</v>
          </cell>
        </row>
        <row r="780">
          <cell r="A780" t="str">
            <v>T_B_u-ICENGA-S1</v>
          </cell>
          <cell r="B780" t="str">
            <v>VAR_ncap</v>
          </cell>
          <cell r="C780" t="str">
            <v>-</v>
          </cell>
          <cell r="H780">
            <v>3.3622695687727399E-8</v>
          </cell>
        </row>
        <row r="781">
          <cell r="A781" t="str">
            <v>T_B_u-ICENGA-S1</v>
          </cell>
          <cell r="B781" t="str">
            <v>VAR_cap</v>
          </cell>
          <cell r="C781" t="str">
            <v>-</v>
          </cell>
          <cell r="H781">
            <v>5.2072144804842088E-8</v>
          </cell>
          <cell r="I781">
            <v>2.4864195358796006E-9</v>
          </cell>
          <cell r="J781">
            <v>5.9004010157576396E-9</v>
          </cell>
        </row>
        <row r="782">
          <cell r="A782" t="str">
            <v>T_B_u-ICENGA-S2</v>
          </cell>
          <cell r="B782" t="str">
            <v>VAR_fout</v>
          </cell>
          <cell r="C782" t="str">
            <v>CO2_T</v>
          </cell>
        </row>
        <row r="783">
          <cell r="A783" t="str">
            <v>T_B_u-ICENGA-S2</v>
          </cell>
          <cell r="B783" t="str">
            <v>VAR_fout</v>
          </cell>
          <cell r="C783" t="str">
            <v>TPBSu</v>
          </cell>
        </row>
        <row r="784">
          <cell r="A784" t="str">
            <v>T_B_u-ICENGA-S2</v>
          </cell>
          <cell r="B784" t="str">
            <v>VAR_fin</v>
          </cell>
          <cell r="C784" t="str">
            <v>TNGA</v>
          </cell>
        </row>
        <row r="785">
          <cell r="A785" t="str">
            <v>T_B_u-ICENGA-S2</v>
          </cell>
          <cell r="B785" t="str">
            <v>VAR_ncap</v>
          </cell>
          <cell r="C785" t="str">
            <v>-</v>
          </cell>
          <cell r="I785">
            <v>1.20208473618283E-8</v>
          </cell>
        </row>
        <row r="786">
          <cell r="A786" t="str">
            <v>T_B_u-ICENGA-S2</v>
          </cell>
          <cell r="B786" t="str">
            <v>VAR_cap</v>
          </cell>
          <cell r="C786" t="str">
            <v>-</v>
          </cell>
          <cell r="H786">
            <v>-1.4716621737946949E-8</v>
          </cell>
          <cell r="I786">
            <v>-1.13853290112336E-8</v>
          </cell>
          <cell r="J786">
            <v>6.0285185419581602E-9</v>
          </cell>
        </row>
        <row r="787">
          <cell r="A787" t="str">
            <v>T_B_c-ICEDSLEXT</v>
          </cell>
          <cell r="B787" t="str">
            <v>VAR_fout</v>
          </cell>
          <cell r="C787" t="str">
            <v>CO2_T</v>
          </cell>
        </row>
        <row r="788">
          <cell r="A788" t="str">
            <v>T_B_c-ICEDSLEXT</v>
          </cell>
          <cell r="B788" t="str">
            <v>VAR_fout</v>
          </cell>
          <cell r="C788" t="str">
            <v>TPBSc</v>
          </cell>
        </row>
        <row r="789">
          <cell r="A789" t="str">
            <v>T_B_c-ICEDSLEXT</v>
          </cell>
          <cell r="B789" t="str">
            <v>VAR_fin</v>
          </cell>
          <cell r="C789" t="str">
            <v>TDSL</v>
          </cell>
        </row>
        <row r="790">
          <cell r="A790" t="str">
            <v>T_B_c-ICEDSLEXT</v>
          </cell>
          <cell r="B790" t="str">
            <v>VAR_cap</v>
          </cell>
          <cell r="C790" t="str">
            <v>-</v>
          </cell>
        </row>
        <row r="791">
          <cell r="A791" t="str">
            <v>T_B_u-ICENGA-S3</v>
          </cell>
          <cell r="B791" t="str">
            <v>VAR_fout</v>
          </cell>
          <cell r="C791" t="str">
            <v>CO2_T</v>
          </cell>
          <cell r="H791">
            <v>6.3421400201837301E-4</v>
          </cell>
          <cell r="I791">
            <v>4.6508650575475798E-4</v>
          </cell>
          <cell r="J791">
            <v>1.44110832995325E-3</v>
          </cell>
        </row>
        <row r="792">
          <cell r="A792" t="str">
            <v>T_B_u-ICENGA-S3</v>
          </cell>
          <cell r="B792" t="str">
            <v>VAR_fout</v>
          </cell>
          <cell r="C792" t="str">
            <v>TPBSu</v>
          </cell>
          <cell r="H792">
            <v>7.46421767464819E-7</v>
          </cell>
          <cell r="I792">
            <v>5.8513542518970085E-7</v>
          </cell>
          <cell r="J792">
            <v>1.8130896617246982E-6</v>
          </cell>
        </row>
        <row r="793">
          <cell r="A793" t="str">
            <v>T_B_u-ICENGA-S3</v>
          </cell>
          <cell r="B793" t="str">
            <v>VAR_fin</v>
          </cell>
          <cell r="C793" t="str">
            <v>TNGA</v>
          </cell>
          <cell r="H793">
            <v>1.1244929113800935E-5</v>
          </cell>
          <cell r="I793">
            <v>8.2462146410418078E-6</v>
          </cell>
          <cell r="J793">
            <v>2.5551566133922914E-5</v>
          </cell>
        </row>
        <row r="794">
          <cell r="A794" t="str">
            <v>T_B_u-ICENGA-S3</v>
          </cell>
          <cell r="B794" t="str">
            <v>VAR_ncap</v>
          </cell>
          <cell r="C794" t="str">
            <v>-</v>
          </cell>
          <cell r="I794">
            <v>1.7897585458337799E-8</v>
          </cell>
        </row>
        <row r="795">
          <cell r="A795" t="str">
            <v>T_B_u-ICENGA-S3</v>
          </cell>
          <cell r="B795" t="str">
            <v>VAR_cap</v>
          </cell>
          <cell r="C795" t="str">
            <v>-</v>
          </cell>
          <cell r="I795">
            <v>-4.176016333087202E-9</v>
          </cell>
          <cell r="J795">
            <v>6.1303032849032698E-9</v>
          </cell>
        </row>
        <row r="796">
          <cell r="A796" t="str">
            <v>T_B_u-ICENGA-S4</v>
          </cell>
          <cell r="B796" t="str">
            <v>VAR_fout</v>
          </cell>
          <cell r="C796" t="str">
            <v>CO2_T</v>
          </cell>
          <cell r="J796">
            <v>5.3279546199385905E-4</v>
          </cell>
        </row>
        <row r="797">
          <cell r="A797" t="str">
            <v>T_B_u-ICENGA-S4</v>
          </cell>
          <cell r="B797" t="str">
            <v>VAR_fout</v>
          </cell>
          <cell r="C797" t="str">
            <v>TPBSu</v>
          </cell>
          <cell r="J797">
            <v>4.4871176415150788E-7</v>
          </cell>
        </row>
        <row r="798">
          <cell r="A798" t="str">
            <v>T_B_u-ICENGA-S4</v>
          </cell>
          <cell r="B798" t="str">
            <v>VAR_fin</v>
          </cell>
          <cell r="C798" t="str">
            <v>TNGA</v>
          </cell>
          <cell r="J798">
            <v>9.4467280495365133E-6</v>
          </cell>
        </row>
        <row r="799">
          <cell r="A799" t="str">
            <v>T_B_u-ICENGA-S4</v>
          </cell>
          <cell r="B799" t="str">
            <v>VAR_cap</v>
          </cell>
          <cell r="C799" t="str">
            <v>-</v>
          </cell>
          <cell r="H799">
            <v>-5.1597652730613099E-9</v>
          </cell>
          <cell r="I799">
            <v>-8.3139610449369094E-9</v>
          </cell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67.217327730274206</v>
          </cell>
          <cell r="G9">
            <v>85.566787814164243</v>
          </cell>
          <cell r="H9">
            <v>93.276949294719472</v>
          </cell>
        </row>
        <row r="28">
          <cell r="F28">
            <v>0</v>
          </cell>
          <cell r="G28">
            <v>1.2818943556358004E-2</v>
          </cell>
          <cell r="H28">
            <v>8.0190479432808243E-2</v>
          </cell>
        </row>
      </sheetData>
      <sheetData sheetId="56"/>
      <sheetData sheetId="57"/>
      <sheetData sheetId="58">
        <row r="14">
          <cell r="F14">
            <v>62.878623788264306</v>
          </cell>
          <cell r="G14">
            <v>62.87863323159992</v>
          </cell>
          <cell r="H14">
            <v>40.275509391194497</v>
          </cell>
        </row>
        <row r="15">
          <cell r="F15">
            <v>71.021496214535105</v>
          </cell>
          <cell r="G15">
            <v>73.932876845571727</v>
          </cell>
          <cell r="H15">
            <v>74.836059234919531</v>
          </cell>
        </row>
        <row r="16">
          <cell r="F16">
            <v>65.464910300261678</v>
          </cell>
          <cell r="G16">
            <v>64.381742663864941</v>
          </cell>
          <cell r="H16">
            <v>67.134923061831486</v>
          </cell>
        </row>
        <row r="17">
          <cell r="F17">
            <v>12.804201920327042</v>
          </cell>
          <cell r="G17">
            <v>13.254105163978426</v>
          </cell>
          <cell r="H17">
            <v>13.492713235729157</v>
          </cell>
        </row>
        <row r="18">
          <cell r="F18">
            <v>4.8758107468018039E-3</v>
          </cell>
          <cell r="G18">
            <v>6.0063361293338233E-3</v>
          </cell>
          <cell r="H18">
            <v>4.4352322555899963E-5</v>
          </cell>
        </row>
        <row r="19">
          <cell r="F19">
            <v>7.4918631539825533</v>
          </cell>
          <cell r="G19">
            <v>5.4622476169491501</v>
          </cell>
          <cell r="H19">
            <v>2.5561314129188008E-3</v>
          </cell>
        </row>
        <row r="20">
          <cell r="F20">
            <v>0</v>
          </cell>
          <cell r="G20">
            <v>2.8247387845066458</v>
          </cell>
          <cell r="H20">
            <v>9.3307238665491692</v>
          </cell>
        </row>
        <row r="21">
          <cell r="F21">
            <v>0</v>
          </cell>
          <cell r="G21">
            <v>1.1173463836200557E-5</v>
          </cell>
          <cell r="H21">
            <v>3.4672935056736282E-3</v>
          </cell>
        </row>
        <row r="22">
          <cell r="F22">
            <v>0</v>
          </cell>
          <cell r="G22">
            <v>6.2650531879319879E-6</v>
          </cell>
          <cell r="H22">
            <v>4.1830072391515205E-2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0.50274405983114179</v>
          </cell>
          <cell r="G25">
            <v>0.90777540925053213</v>
          </cell>
          <cell r="H25">
            <v>1.143765860249075</v>
          </cell>
        </row>
        <row r="26">
          <cell r="F26">
            <v>1.4327769770818102</v>
          </cell>
          <cell r="G26">
            <v>1.0818544142105715</v>
          </cell>
          <cell r="H26">
            <v>0.1972925190499612</v>
          </cell>
        </row>
        <row r="27">
          <cell r="F27">
            <v>0</v>
          </cell>
          <cell r="G27">
            <v>0.47250501723595401</v>
          </cell>
          <cell r="H27">
            <v>1.4943699819078125</v>
          </cell>
        </row>
        <row r="28">
          <cell r="F28">
            <v>1.0404981583056383E-3</v>
          </cell>
          <cell r="G28">
            <v>5.4156567619598455E-4</v>
          </cell>
          <cell r="H28">
            <v>9.6962240808662366E-6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8.0806658370732684E-2</v>
          </cell>
          <cell r="H30">
            <v>0.15075276230866452</v>
          </cell>
        </row>
        <row r="31">
          <cell r="F31">
            <v>0</v>
          </cell>
          <cell r="G31">
            <v>1.5320137475187052E-3</v>
          </cell>
          <cell r="H31">
            <v>1.1266573732324852</v>
          </cell>
        </row>
        <row r="32">
          <cell r="F32">
            <v>0</v>
          </cell>
          <cell r="G32">
            <v>1.8900683626676827E-3</v>
          </cell>
          <cell r="H32">
            <v>1.1995545380547704E-2</v>
          </cell>
        </row>
        <row r="33">
          <cell r="F33">
            <v>0.88472525937884783</v>
          </cell>
          <cell r="G33">
            <v>0.88543850202095753</v>
          </cell>
          <cell r="H33">
            <v>0.88544979160450121</v>
          </cell>
        </row>
        <row r="34">
          <cell r="F34">
            <v>0.73428367781617099</v>
          </cell>
          <cell r="G34">
            <v>24.968177474101111</v>
          </cell>
          <cell r="H34">
            <v>36.310092655722123</v>
          </cell>
        </row>
        <row r="35">
          <cell r="F35">
            <v>20.470722599066789</v>
          </cell>
          <cell r="G35">
            <v>40.847640394945373</v>
          </cell>
          <cell r="H35">
            <v>45.1212184008496</v>
          </cell>
        </row>
        <row r="36">
          <cell r="F36">
            <v>11.802023711785514</v>
          </cell>
          <cell r="G36">
            <v>12.452225194604756</v>
          </cell>
          <cell r="H36">
            <v>13.863030780575556</v>
          </cell>
        </row>
        <row r="37">
          <cell r="F37">
            <v>4.8880153922203515</v>
          </cell>
          <cell r="G37">
            <v>5.1375630725455972</v>
          </cell>
          <cell r="H37">
            <v>5.6750717308289884</v>
          </cell>
        </row>
        <row r="38">
          <cell r="F38">
            <v>18.815559216908561</v>
          </cell>
          <cell r="G38">
            <v>36.724010724306837</v>
          </cell>
          <cell r="H38">
            <v>40.566158155271509</v>
          </cell>
        </row>
        <row r="39">
          <cell r="F39">
            <v>0.66669288793873538</v>
          </cell>
          <cell r="G39">
            <v>9.5573152304553086E-2</v>
          </cell>
          <cell r="H39">
            <v>0.42410732633901749</v>
          </cell>
        </row>
        <row r="40">
          <cell r="F40">
            <v>0</v>
          </cell>
          <cell r="G40">
            <v>3.1484373909654809E-3</v>
          </cell>
          <cell r="H40">
            <v>0.2452321489756272</v>
          </cell>
        </row>
        <row r="41">
          <cell r="F41">
            <v>0.16562554092157006</v>
          </cell>
          <cell r="G41">
            <v>0</v>
          </cell>
          <cell r="H41">
            <v>0</v>
          </cell>
        </row>
        <row r="42">
          <cell r="F42">
            <v>2.7288395307241009</v>
          </cell>
          <cell r="G42">
            <v>2.4096055076581235</v>
          </cell>
          <cell r="H42">
            <v>2.2859621918386019</v>
          </cell>
        </row>
        <row r="43">
          <cell r="F43">
            <v>0</v>
          </cell>
          <cell r="G43">
            <v>0.47689572208383213</v>
          </cell>
          <cell r="H43">
            <v>1.316462075347951</v>
          </cell>
        </row>
        <row r="44">
          <cell r="F44">
            <v>2.2438449936263414E-3</v>
          </cell>
          <cell r="G44">
            <v>7.9014243905172442E-4</v>
          </cell>
          <cell r="H44">
            <v>2.1400870080227221E-4</v>
          </cell>
        </row>
        <row r="45">
          <cell r="F45">
            <v>0</v>
          </cell>
          <cell r="G45">
            <v>0.16659170350126429</v>
          </cell>
          <cell r="H45">
            <v>0.32124743521666799</v>
          </cell>
        </row>
        <row r="46">
          <cell r="F46">
            <v>8.0500074761318229E-3</v>
          </cell>
          <cell r="G46">
            <v>0.21524894675827408</v>
          </cell>
          <cell r="H46">
            <v>0.17979567091109055</v>
          </cell>
        </row>
        <row r="47">
          <cell r="F47">
            <v>3.2805945545802502E-3</v>
          </cell>
          <cell r="G47">
            <v>2.2579167703431092E-3</v>
          </cell>
          <cell r="H47">
            <v>6.9424630378976194E-4</v>
          </cell>
        </row>
        <row r="48">
          <cell r="F48">
            <v>6.1246294508340701E-3</v>
          </cell>
          <cell r="G48">
            <v>2.2948366952809628E-3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4.153699286418535E-3</v>
          </cell>
          <cell r="G50">
            <v>4.460085895989948E-3</v>
          </cell>
          <cell r="H50">
            <v>1.6344993158134312E-3</v>
          </cell>
        </row>
        <row r="51">
          <cell r="F51">
            <v>2.0186648910602577E-2</v>
          </cell>
          <cell r="G51">
            <v>7.3588040962981154E-3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0.63166038668238789</v>
          </cell>
          <cell r="G53">
            <v>0.7408068738023621</v>
          </cell>
          <cell r="H53">
            <v>1.1772837014116362E-2</v>
          </cell>
        </row>
        <row r="54">
          <cell r="F54">
            <v>1.1059795480118346</v>
          </cell>
          <cell r="G54">
            <v>1.105977382138424</v>
          </cell>
          <cell r="H54">
            <v>1.1059777222142702</v>
          </cell>
        </row>
        <row r="55">
          <cell r="F55">
            <v>5.7739269865047221E-3</v>
          </cell>
          <cell r="G55">
            <v>1.0811952019520118E-3</v>
          </cell>
          <cell r="H55">
            <v>0</v>
          </cell>
        </row>
        <row r="56">
          <cell r="F56">
            <v>2.6342642527826025E-3</v>
          </cell>
          <cell r="G56">
            <v>1.2630168765188992E-3</v>
          </cell>
          <cell r="H56">
            <v>5.7947635017612615E-4</v>
          </cell>
        </row>
        <row r="57">
          <cell r="F57">
            <v>5.1834591355262331E-3</v>
          </cell>
          <cell r="G57">
            <v>2.1069459984807283E-2</v>
          </cell>
          <cell r="H57">
            <v>1.0528547071953196E-2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3.1452270600619496E-2</v>
          </cell>
          <cell r="G70">
            <v>1.9703984711557217E-2</v>
          </cell>
          <cell r="H70">
            <v>9.4494680483546103E-2</v>
          </cell>
        </row>
        <row r="71">
          <cell r="F71">
            <v>4.8876595985109982E-2</v>
          </cell>
          <cell r="G71">
            <v>0.63355848115340319</v>
          </cell>
          <cell r="H71">
            <v>2.4807742745496175</v>
          </cell>
        </row>
        <row r="72">
          <cell r="F72">
            <v>4.1459896554417681E-2</v>
          </cell>
          <cell r="G72">
            <v>0.43410779784764503</v>
          </cell>
          <cell r="H72">
            <v>1.5427359355624388</v>
          </cell>
        </row>
        <row r="73">
          <cell r="F73">
            <v>0.23736042967985385</v>
          </cell>
          <cell r="G73">
            <v>0.31236168320941493</v>
          </cell>
          <cell r="H73">
            <v>0.45203487121437763</v>
          </cell>
        </row>
        <row r="74">
          <cell r="F74">
            <v>0.64621436790848086</v>
          </cell>
          <cell r="G74">
            <v>0.46642858253614072</v>
          </cell>
          <cell r="H74">
            <v>0.69265462621125207</v>
          </cell>
        </row>
        <row r="75">
          <cell r="F75">
            <v>0.10788488805404807</v>
          </cell>
          <cell r="G75">
            <v>7.9773952729878472E-2</v>
          </cell>
          <cell r="H75">
            <v>0.12137102380796069</v>
          </cell>
        </row>
        <row r="76">
          <cell r="F76">
            <v>0.42286424773080422</v>
          </cell>
          <cell r="G76">
            <v>0.6059744262465393</v>
          </cell>
          <cell r="H76">
            <v>0.89489443383135914</v>
          </cell>
        </row>
        <row r="90">
          <cell r="F90">
            <v>0</v>
          </cell>
          <cell r="G90">
            <v>1.8571463445410255E-4</v>
          </cell>
          <cell r="H90">
            <v>1.8715036144995999E-4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1.3158289542527231</v>
          </cell>
          <cell r="G92">
            <v>2.3749846054231756</v>
          </cell>
          <cell r="H92">
            <v>2.9920188137872303</v>
          </cell>
        </row>
        <row r="93">
          <cell r="F93">
            <v>12.342958326226519</v>
          </cell>
          <cell r="G93">
            <v>13.006240434779254</v>
          </cell>
          <cell r="H93">
            <v>13.243643694259905</v>
          </cell>
        </row>
        <row r="94">
          <cell r="F94">
            <v>5.3511333855718532E-3</v>
          </cell>
          <cell r="G94">
            <v>2.7851949061507759E-3</v>
          </cell>
          <cell r="H94">
            <v>4.9866295273026346E-5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9.8122370878746451E-2</v>
          </cell>
          <cell r="H96">
            <v>0.1902356286276001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0.90385683899421321</v>
          </cell>
          <cell r="G98">
            <v>0.90385433813640514</v>
          </cell>
          <cell r="H98">
            <v>0.90385298685985327</v>
          </cell>
        </row>
        <row r="99">
          <cell r="F99">
            <v>1.7118407116369272</v>
          </cell>
          <cell r="G99">
            <v>1.6868388771856013</v>
          </cell>
          <cell r="H99">
            <v>3.073617012960379</v>
          </cell>
        </row>
        <row r="100">
          <cell r="F100">
            <v>9.1064230973127662E-5</v>
          </cell>
          <cell r="G100">
            <v>3.140044379463477E-4</v>
          </cell>
          <cell r="H100">
            <v>6.0308411017564392E-6</v>
          </cell>
        </row>
        <row r="101">
          <cell r="F101">
            <v>2.7433684906792566</v>
          </cell>
          <cell r="G101">
            <v>2.1352371226919304</v>
          </cell>
          <cell r="H101">
            <v>2.4202094847437596</v>
          </cell>
        </row>
        <row r="102">
          <cell r="F102">
            <v>9.1463233938899233E-5</v>
          </cell>
          <cell r="G102">
            <v>9.1325110703364116E-5</v>
          </cell>
          <cell r="H102">
            <v>9.2453208600727895E-5</v>
          </cell>
        </row>
        <row r="103">
          <cell r="F103">
            <v>1.0850369367577897</v>
          </cell>
          <cell r="G103">
            <v>0.11181287183212828</v>
          </cell>
          <cell r="H103">
            <v>0.73979626218987282</v>
          </cell>
        </row>
        <row r="104">
          <cell r="F104">
            <v>0.8211705239078162</v>
          </cell>
          <cell r="G104">
            <v>0</v>
          </cell>
          <cell r="H104">
            <v>0</v>
          </cell>
        </row>
        <row r="105">
          <cell r="F105">
            <v>5.7725451611471499</v>
          </cell>
          <cell r="G105">
            <v>6.1060602936849229</v>
          </cell>
          <cell r="H105">
            <v>7.6205128728946541</v>
          </cell>
        </row>
        <row r="106">
          <cell r="F106">
            <v>1.3241904823841312E-2</v>
          </cell>
          <cell r="G106">
            <v>0.84779556633401976</v>
          </cell>
          <cell r="H106">
            <v>1.0904767132953936</v>
          </cell>
        </row>
        <row r="107">
          <cell r="F107">
            <v>1.5575299834819098E-3</v>
          </cell>
          <cell r="G107">
            <v>1.0150268050166287E-3</v>
          </cell>
          <cell r="H107">
            <v>2.8013447345902684E-4</v>
          </cell>
        </row>
        <row r="108">
          <cell r="F108">
            <v>5.4235908955352847E-3</v>
          </cell>
          <cell r="G108">
            <v>0.12914936805496441</v>
          </cell>
          <cell r="H108">
            <v>8.9897835455545305E-2</v>
          </cell>
        </row>
        <row r="109">
          <cell r="F109">
            <v>1.3876353442491253E-2</v>
          </cell>
          <cell r="G109">
            <v>5.1533174911572478E-3</v>
          </cell>
          <cell r="H109">
            <v>0</v>
          </cell>
        </row>
        <row r="110">
          <cell r="F110">
            <v>1.0981515396653999E-2</v>
          </cell>
          <cell r="G110">
            <v>1.1542771130627464E-2</v>
          </cell>
          <cell r="H110">
            <v>4.0622479680149058E-3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4.1211650453558089E-2</v>
          </cell>
          <cell r="G112">
            <v>1.4838244325322426E-2</v>
          </cell>
          <cell r="H112">
            <v>0</v>
          </cell>
        </row>
        <row r="113">
          <cell r="F113">
            <v>1.6802788611255641</v>
          </cell>
          <cell r="G113">
            <v>1.9706192702131824</v>
          </cell>
          <cell r="H113">
            <v>3.1316906342969658E-2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1.1649530228627523</v>
          </cell>
          <cell r="G115">
            <v>1.0059426082399234</v>
          </cell>
          <cell r="H115">
            <v>1.0059429175561794</v>
          </cell>
        </row>
        <row r="116">
          <cell r="F116">
            <v>8.1775735837831837E-3</v>
          </cell>
          <cell r="G116">
            <v>1.6217928029280187E-3</v>
          </cell>
          <cell r="H116">
            <v>0</v>
          </cell>
        </row>
        <row r="117">
          <cell r="F117">
            <v>4.1202810437974214E-3</v>
          </cell>
          <cell r="G117">
            <v>1.9325022349009741E-3</v>
          </cell>
          <cell r="H117">
            <v>8.5102672401236173E-4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3.5824472446409814E-3</v>
          </cell>
          <cell r="G119">
            <v>1.3265956286730505E-2</v>
          </cell>
          <cell r="H119">
            <v>5.9507702220256654E-3</v>
          </cell>
        </row>
        <row r="123">
          <cell r="F123">
            <v>10.204327064702369</v>
          </cell>
          <cell r="G123">
            <v>10.724858376477977</v>
          </cell>
          <cell r="H123">
            <v>11.846914564052057</v>
          </cell>
        </row>
      </sheetData>
      <sheetData sheetId="59">
        <row r="13">
          <cell r="F13">
            <v>16.00524874939812</v>
          </cell>
          <cell r="G13">
            <v>16.567628517597601</v>
          </cell>
          <cell r="H13">
            <v>16.865888595499861</v>
          </cell>
        </row>
        <row r="14">
          <cell r="F14">
            <v>190.48964512875671</v>
          </cell>
          <cell r="G14">
            <v>190.47717269139918</v>
          </cell>
          <cell r="H14">
            <v>126.80362514190954</v>
          </cell>
        </row>
        <row r="15">
          <cell r="F15">
            <v>71.021496214535105</v>
          </cell>
          <cell r="G15">
            <v>73.932876845571727</v>
          </cell>
          <cell r="H15">
            <v>74.836059234919531</v>
          </cell>
        </row>
        <row r="16">
          <cell r="F16">
            <v>65.464910300261678</v>
          </cell>
          <cell r="G16">
            <v>64.381742663864941</v>
          </cell>
          <cell r="H16">
            <v>67.134923061831486</v>
          </cell>
        </row>
        <row r="18">
          <cell r="F18">
            <v>1.6172999445526959E-2</v>
          </cell>
          <cell r="G18">
            <v>1.9021565174668957E-2</v>
          </cell>
          <cell r="H18">
            <v>1.5207021744875017E-4</v>
          </cell>
        </row>
        <row r="19">
          <cell r="F19">
            <v>20.958784198136431</v>
          </cell>
          <cell r="G19">
            <v>15.28085426648048</v>
          </cell>
          <cell r="H19">
            <v>7.150878968866908E-3</v>
          </cell>
        </row>
        <row r="20">
          <cell r="F20">
            <v>0</v>
          </cell>
          <cell r="G20">
            <v>8.4394023027255365</v>
          </cell>
          <cell r="H20">
            <v>27.330562011110704</v>
          </cell>
        </row>
        <row r="21">
          <cell r="F21">
            <v>0</v>
          </cell>
          <cell r="G21">
            <v>2.562626864666452E-5</v>
          </cell>
          <cell r="H21">
            <v>6.0863140050583225E-3</v>
          </cell>
        </row>
        <row r="22">
          <cell r="F22">
            <v>0</v>
          </cell>
          <cell r="G22">
            <v>2.1454001885275219E-5</v>
          </cell>
          <cell r="H22">
            <v>9.9538880308563255E-2</v>
          </cell>
          <cell r="P22">
            <v>0.4348107605770099</v>
          </cell>
          <cell r="Q22">
            <v>5.5054948950439893E-2</v>
          </cell>
          <cell r="R22">
            <v>0.35415020949968395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9.9737279343620006E-2</v>
          </cell>
          <cell r="Q23">
            <v>3.3657128712950353E-2</v>
          </cell>
          <cell r="R23">
            <v>0.61143593498038828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1.7306367911765985</v>
          </cell>
          <cell r="G25">
            <v>2.9645646205512759</v>
          </cell>
          <cell r="H25">
            <v>3.7353223123960255</v>
          </cell>
        </row>
        <row r="26">
          <cell r="F26">
            <v>40.473517837605897</v>
          </cell>
          <cell r="G26">
            <v>33.965762865238858</v>
          </cell>
          <cell r="H26">
            <v>16.935805533526118</v>
          </cell>
        </row>
        <row r="27">
          <cell r="F27">
            <v>0</v>
          </cell>
          <cell r="G27">
            <v>9.794301505395886</v>
          </cell>
          <cell r="H27">
            <v>27.673518183477995</v>
          </cell>
        </row>
        <row r="28">
          <cell r="F28">
            <v>1.0921048810994826E-2</v>
          </cell>
          <cell r="G28">
            <v>5.0732252040914449E-3</v>
          </cell>
          <cell r="H28">
            <v>1.0454628385331523E-4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0.19239680564460154</v>
          </cell>
          <cell r="H30">
            <v>0.3589351483539634</v>
          </cell>
        </row>
        <row r="31">
          <cell r="F31">
            <v>0</v>
          </cell>
          <cell r="G31">
            <v>6.9844831462968831E-3</v>
          </cell>
          <cell r="H31">
            <v>4.3691979282171793</v>
          </cell>
        </row>
        <row r="32">
          <cell r="F32">
            <v>0</v>
          </cell>
          <cell r="G32">
            <v>1.2600455751117883E-2</v>
          </cell>
          <cell r="H32">
            <v>7.9970302536984755E-2</v>
          </cell>
        </row>
        <row r="33">
          <cell r="F33">
            <v>0.88472525937884783</v>
          </cell>
          <cell r="G33">
            <v>0.88543850202095753</v>
          </cell>
          <cell r="H33">
            <v>0.88544979160450121</v>
          </cell>
        </row>
        <row r="34">
          <cell r="F34">
            <v>0.73428367781617099</v>
          </cell>
          <cell r="G34">
            <v>24.968177474101111</v>
          </cell>
          <cell r="H34">
            <v>36.310092655722123</v>
          </cell>
        </row>
        <row r="35">
          <cell r="F35">
            <v>20.470722599066789</v>
          </cell>
          <cell r="G35">
            <v>40.847640394945373</v>
          </cell>
          <cell r="H35">
            <v>45.1212184008496</v>
          </cell>
        </row>
        <row r="36">
          <cell r="F36">
            <v>11.802023711785514</v>
          </cell>
          <cell r="G36">
            <v>12.452225194604756</v>
          </cell>
          <cell r="H36">
            <v>13.863030780575556</v>
          </cell>
        </row>
        <row r="37">
          <cell r="F37">
            <v>4.8880153922203515</v>
          </cell>
          <cell r="G37">
            <v>5.1375630725455972</v>
          </cell>
          <cell r="H37">
            <v>5.6750717308289884</v>
          </cell>
        </row>
        <row r="38">
          <cell r="F38">
            <v>18.815559216908561</v>
          </cell>
          <cell r="G38">
            <v>36.724010724306837</v>
          </cell>
          <cell r="H38">
            <v>40.566158155271509</v>
          </cell>
        </row>
        <row r="39">
          <cell r="F39">
            <v>1.8528068245938423</v>
          </cell>
          <cell r="G39">
            <v>0.27716377765611877</v>
          </cell>
          <cell r="H39">
            <v>2.4659584514170194</v>
          </cell>
        </row>
        <row r="40">
          <cell r="F40">
            <v>0</v>
          </cell>
          <cell r="G40">
            <v>1.0370297324101852E-2</v>
          </cell>
          <cell r="H40">
            <v>1.0105419306574286</v>
          </cell>
        </row>
        <row r="41">
          <cell r="F41">
            <v>0.62977187281871416</v>
          </cell>
          <cell r="G41">
            <v>0</v>
          </cell>
          <cell r="H41">
            <v>0</v>
          </cell>
        </row>
        <row r="42">
          <cell r="F42">
            <v>7.8945944004719415</v>
          </cell>
          <cell r="G42">
            <v>6.8297545634737205</v>
          </cell>
          <cell r="H42">
            <v>6.2192889860256528</v>
          </cell>
        </row>
        <row r="43">
          <cell r="F43">
            <v>0</v>
          </cell>
          <cell r="G43">
            <v>1.4457676649552786</v>
          </cell>
          <cell r="H43">
            <v>3.7723932879411124</v>
          </cell>
        </row>
        <row r="44">
          <cell r="F44">
            <v>3.6207019920627879E-2</v>
          </cell>
          <cell r="G44">
            <v>1.2749857103383911E-2</v>
          </cell>
          <cell r="H44">
            <v>3.4532765476873663E-3</v>
          </cell>
        </row>
        <row r="45">
          <cell r="F45">
            <v>0</v>
          </cell>
          <cell r="G45">
            <v>2.9868319506199565</v>
          </cell>
          <cell r="H45">
            <v>5.7596631968684804</v>
          </cell>
        </row>
        <row r="46">
          <cell r="F46">
            <v>1.5406712872979575E-2</v>
          </cell>
          <cell r="G46">
            <v>0.39136172137867981</v>
          </cell>
          <cell r="H46">
            <v>0.29965945151848383</v>
          </cell>
        </row>
        <row r="47">
          <cell r="B47">
            <v>0</v>
          </cell>
        </row>
        <row r="48">
          <cell r="F48">
            <v>2.7099076189933614E-2</v>
          </cell>
          <cell r="G48">
            <v>8.5760283717533099E-3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1.9447677689100704E-2</v>
          </cell>
          <cell r="G50">
            <v>1.870373997564595E-2</v>
          </cell>
          <cell r="H50">
            <v>7.3564834744943479E-3</v>
          </cell>
        </row>
        <row r="51">
          <cell r="F51">
            <v>7.2097992039735173E-2</v>
          </cell>
          <cell r="G51">
            <v>2.457141635369009E-2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2.3565825411869308</v>
          </cell>
          <cell r="G53">
            <v>2.7051211183396258</v>
          </cell>
          <cell r="H53">
            <v>4.2431704583479481E-2</v>
          </cell>
        </row>
        <row r="54">
          <cell r="F54">
            <v>3.0776850952409966</v>
          </cell>
          <cell r="G54">
            <v>2.9497517160642732</v>
          </cell>
          <cell r="H54">
            <v>2.8718774847897137</v>
          </cell>
        </row>
        <row r="55">
          <cell r="F55">
            <v>1.8586101446715884E-2</v>
          </cell>
          <cell r="G55">
            <v>3.2893619944413038E-3</v>
          </cell>
          <cell r="H55">
            <v>0</v>
          </cell>
        </row>
        <row r="56">
          <cell r="F56">
            <v>9.1535506226910323E-3</v>
          </cell>
          <cell r="G56">
            <v>4.318396597178354E-3</v>
          </cell>
          <cell r="H56">
            <v>2.1899002685290105E-3</v>
          </cell>
        </row>
        <row r="57">
          <cell r="F57">
            <v>1.0213712582317689E-2</v>
          </cell>
          <cell r="G57">
            <v>3.9017518490383839E-2</v>
          </cell>
          <cell r="H57">
            <v>1.8310516646875139E-2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4.4936130815192585E-2</v>
          </cell>
          <cell r="G63">
            <v>2.8153299934809948E-2</v>
          </cell>
          <cell r="H63">
            <v>0.13499557266679754</v>
          </cell>
        </row>
        <row r="64">
          <cell r="F64">
            <v>5.6374723243034025E-2</v>
          </cell>
          <cell r="G64">
            <v>0.73071770584135132</v>
          </cell>
          <cell r="H64">
            <v>2.8612023666225617</v>
          </cell>
        </row>
        <row r="65">
          <cell r="F65">
            <v>4.6364980186064303E-2</v>
          </cell>
          <cell r="G65">
            <v>0.48543340747186065</v>
          </cell>
          <cell r="H65">
            <v>1.7251354402875847</v>
          </cell>
        </row>
        <row r="66">
          <cell r="F66">
            <v>0.26248991020368279</v>
          </cell>
          <cell r="G66">
            <v>0.34543070003025939</v>
          </cell>
          <cell r="H66">
            <v>0.49989036164059147</v>
          </cell>
        </row>
        <row r="67">
          <cell r="F67">
            <v>0.71462845431601796</v>
          </cell>
          <cell r="G67">
            <v>0.5158087711170376</v>
          </cell>
          <cell r="H67">
            <v>0.76598418883756192</v>
          </cell>
        </row>
        <row r="68">
          <cell r="F68">
            <v>0.11930883370125789</v>
          </cell>
          <cell r="G68">
            <v>8.8221027664004248E-2</v>
          </cell>
          <cell r="H68">
            <v>0.13422176420101375</v>
          </cell>
        </row>
        <row r="69">
          <cell r="F69">
            <v>0.46763205217692422</v>
          </cell>
          <cell r="G69">
            <v>0.67012669631822885</v>
          </cell>
          <cell r="H69">
            <v>0.98963316167096815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1.1866841948843967</v>
          </cell>
          <cell r="G91">
            <v>1.1866809114789876</v>
          </cell>
          <cell r="H91">
            <v>1.1866791373722272</v>
          </cell>
        </row>
        <row r="92">
          <cell r="F92">
            <v>0.8559203558184636</v>
          </cell>
          <cell r="G92">
            <v>0.84341943859280066</v>
          </cell>
          <cell r="H92">
            <v>0.26162715078690235</v>
          </cell>
        </row>
        <row r="93">
          <cell r="F93">
            <v>1.065758053834658E-4</v>
          </cell>
          <cell r="G93">
            <v>3.6749089637609623E-4</v>
          </cell>
          <cell r="H93">
            <v>7.0581142638657905E-6</v>
          </cell>
        </row>
        <row r="94">
          <cell r="F94">
            <v>3.9190978438275081</v>
          </cell>
          <cell r="G94">
            <v>3.050338746702757</v>
          </cell>
          <cell r="H94">
            <v>3.4574421210625164</v>
          </cell>
        </row>
        <row r="95">
          <cell r="F95">
            <v>1.8292646787779833E-4</v>
          </cell>
          <cell r="G95">
            <v>1.8265022140672821E-4</v>
          </cell>
          <cell r="H95">
            <v>1.8490641720145579E-4</v>
          </cell>
        </row>
        <row r="96">
          <cell r="F96">
            <v>0</v>
          </cell>
          <cell r="G96">
            <v>2.1848780524012082E-4</v>
          </cell>
          <cell r="H96">
            <v>2.2017689582348219E-4</v>
          </cell>
        </row>
        <row r="97">
          <cell r="F97">
            <v>3.4014423549007931</v>
          </cell>
          <cell r="G97">
            <v>3.5749527921593285</v>
          </cell>
          <cell r="H97">
            <v>3.9489715213506846</v>
          </cell>
        </row>
      </sheetData>
      <sheetData sheetId="60">
        <row r="14">
          <cell r="F14">
            <v>2.3633379759628834</v>
          </cell>
          <cell r="G14">
            <v>2.3633380128136547</v>
          </cell>
          <cell r="H14">
            <v>1.6883825577277167</v>
          </cell>
        </row>
        <row r="15">
          <cell r="F15">
            <v>7.4594064341064863</v>
          </cell>
          <cell r="G15">
            <v>7.5971787361811067</v>
          </cell>
          <cell r="H15">
            <v>7.6884282559608215</v>
          </cell>
        </row>
        <row r="16">
          <cell r="F16">
            <v>5.0168572705046808</v>
          </cell>
          <cell r="G16">
            <v>5.0168596084993862</v>
          </cell>
          <cell r="H16">
            <v>5.3663577061719643</v>
          </cell>
        </row>
        <row r="17">
          <cell r="F17">
            <v>4.3597820033831454</v>
          </cell>
          <cell r="G17">
            <v>4.3597820903577924</v>
          </cell>
          <cell r="H17">
            <v>4.3597824727710854</v>
          </cell>
        </row>
        <row r="18">
          <cell r="F18">
            <v>4.8085188280807899E-2</v>
          </cell>
          <cell r="G18">
            <v>4.805603548453509E-2</v>
          </cell>
          <cell r="H18">
            <v>1.2620648227057996E-3</v>
          </cell>
        </row>
        <row r="19">
          <cell r="F19">
            <v>0.27948885925981187</v>
          </cell>
          <cell r="G19">
            <v>0.2177846760961859</v>
          </cell>
          <cell r="H19">
            <v>1.576116429677088E-4</v>
          </cell>
        </row>
        <row r="20">
          <cell r="F20">
            <v>0</v>
          </cell>
          <cell r="G20">
            <v>0.136193289653328</v>
          </cell>
          <cell r="H20">
            <v>0.34808885918047988</v>
          </cell>
        </row>
        <row r="21">
          <cell r="F21">
            <v>0</v>
          </cell>
          <cell r="G21">
            <v>4.7822167191112297E-6</v>
          </cell>
          <cell r="H21">
            <v>4.4335545504897998E-4</v>
          </cell>
        </row>
        <row r="22">
          <cell r="F22">
            <v>2.6107963686323001E-4</v>
          </cell>
          <cell r="G22">
            <v>1.0872244647303095E-3</v>
          </cell>
          <cell r="H22">
            <v>6.6114080445435722E-2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-5.4880781095957218E-7</v>
          </cell>
          <cell r="G24">
            <v>0</v>
          </cell>
          <cell r="H24">
            <v>0</v>
          </cell>
        </row>
        <row r="25">
          <cell r="F25">
            <v>1.8779266621928088E-2</v>
          </cell>
          <cell r="G25">
            <v>5.5911564232885715E-2</v>
          </cell>
          <cell r="H25">
            <v>9.9703807453077511E-2</v>
          </cell>
        </row>
        <row r="26">
          <cell r="F26">
            <v>6.9925988427266314E-2</v>
          </cell>
          <cell r="G26">
            <v>4.9920175686591975E-2</v>
          </cell>
          <cell r="H26">
            <v>8.7835807588958897E-5</v>
          </cell>
        </row>
        <row r="27">
          <cell r="F27">
            <v>0</v>
          </cell>
          <cell r="G27">
            <v>5.03302278316781E-2</v>
          </cell>
          <cell r="H27">
            <v>8.1646046594920724E-2</v>
          </cell>
        </row>
        <row r="28">
          <cell r="F28">
            <v>6.7818321069007276E-4</v>
          </cell>
          <cell r="G28">
            <v>2.3524730230142403E-4</v>
          </cell>
          <cell r="H28">
            <v>1.0558981862596221E-4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1.2718124540834401E-2</v>
          </cell>
          <cell r="H30">
            <v>1.2725315058564416E-2</v>
          </cell>
        </row>
        <row r="31">
          <cell r="F31">
            <v>0</v>
          </cell>
          <cell r="G31">
            <v>2.20451198894736E-4</v>
          </cell>
          <cell r="H31">
            <v>0.12114429352539581</v>
          </cell>
        </row>
        <row r="32">
          <cell r="F32">
            <v>0</v>
          </cell>
          <cell r="G32">
            <v>7.5023089232544195E-5</v>
          </cell>
          <cell r="H32">
            <v>4.7645658421043274E-4</v>
          </cell>
        </row>
        <row r="33">
          <cell r="F33">
            <v>0.1470947784595818</v>
          </cell>
          <cell r="G33">
            <v>0.14721372425212867</v>
          </cell>
          <cell r="H33">
            <v>0.147215459479068</v>
          </cell>
        </row>
        <row r="34">
          <cell r="F34">
            <v>0.14615162314125807</v>
          </cell>
          <cell r="G34">
            <v>7.1320770323957152</v>
          </cell>
          <cell r="H34">
            <v>9.4795559880592499</v>
          </cell>
        </row>
        <row r="35">
          <cell r="F35">
            <v>5.9011149541323906</v>
          </cell>
          <cell r="G35">
            <v>11.775187071310036</v>
          </cell>
          <cell r="H35">
            <v>13.007134517401299</v>
          </cell>
        </row>
        <row r="36">
          <cell r="F36">
            <v>3.4021829605417517</v>
          </cell>
          <cell r="G36">
            <v>3.5896180969576892</v>
          </cell>
          <cell r="H36">
            <v>3.99631057329549</v>
          </cell>
        </row>
        <row r="37">
          <cell r="F37">
            <v>1.4090759633057881</v>
          </cell>
          <cell r="G37">
            <v>1.48101547554694</v>
          </cell>
          <cell r="H37">
            <v>1.635963090720701</v>
          </cell>
        </row>
        <row r="38">
          <cell r="F38">
            <v>5.4239794493480984</v>
          </cell>
          <cell r="G38">
            <v>10.586464810380889</v>
          </cell>
          <cell r="H38">
            <v>11.6940434935509</v>
          </cell>
        </row>
        <row r="39">
          <cell r="F39">
            <v>2.4958627566987471E-2</v>
          </cell>
          <cell r="G39">
            <v>2.2730748105181851E-2</v>
          </cell>
          <cell r="H39">
            <v>4.6572036616048161E-2</v>
          </cell>
        </row>
        <row r="40">
          <cell r="F40">
            <v>0</v>
          </cell>
          <cell r="G40">
            <v>7.4337956790490698E-4</v>
          </cell>
          <cell r="H40">
            <v>3.6587665164691481E-2</v>
          </cell>
        </row>
        <row r="41">
          <cell r="F41">
            <v>1.0182352996744635E-2</v>
          </cell>
          <cell r="G41">
            <v>0</v>
          </cell>
          <cell r="H41">
            <v>0</v>
          </cell>
        </row>
        <row r="42">
          <cell r="F42">
            <v>0.1431447149918425</v>
          </cell>
          <cell r="G42">
            <v>0.11662024529200503</v>
          </cell>
          <cell r="H42">
            <v>0.11444439257389502</v>
          </cell>
        </row>
        <row r="43">
          <cell r="F43">
            <v>0</v>
          </cell>
          <cell r="G43">
            <v>3.5680988956945901E-2</v>
          </cell>
          <cell r="H43">
            <v>4.9089484390911299E-2</v>
          </cell>
        </row>
        <row r="44">
          <cell r="F44">
            <v>5.5303122155594096E-4</v>
          </cell>
          <cell r="G44">
            <v>2.5015671605026386E-4</v>
          </cell>
          <cell r="H44">
            <v>1.0228193080582008E-4</v>
          </cell>
        </row>
        <row r="45">
          <cell r="F45">
            <v>0</v>
          </cell>
          <cell r="G45">
            <v>1.6362037653124498E-2</v>
          </cell>
          <cell r="H45">
            <v>3.2185374111562907E-2</v>
          </cell>
        </row>
        <row r="46">
          <cell r="F46">
            <v>6.38884001034666E-4</v>
          </cell>
          <cell r="G46">
            <v>2.3952347354426893E-2</v>
          </cell>
          <cell r="H46">
            <v>1.7400806312949848E-2</v>
          </cell>
        </row>
        <row r="47">
          <cell r="F47">
            <v>2.5465362598920598E-4</v>
          </cell>
          <cell r="G47">
            <v>2.5609987115729813E-4</v>
          </cell>
          <cell r="H47">
            <v>1.2533917836748181E-4</v>
          </cell>
        </row>
        <row r="48">
          <cell r="F48">
            <v>5.4386141649269513E-4</v>
          </cell>
          <cell r="G48">
            <v>2.0360985482747657E-4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3.6935322226621113E-4</v>
          </cell>
          <cell r="G50">
            <v>3.9645453581155064E-4</v>
          </cell>
          <cell r="H50">
            <v>1.452637822970043E-4</v>
          </cell>
        </row>
        <row r="51">
          <cell r="F51">
            <v>1.4973346117100022E-3</v>
          </cell>
          <cell r="G51">
            <v>5.8871331446196107E-4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4.6872002857259912E-2</v>
          </cell>
          <cell r="G53">
            <v>5.4971058854940524E-2</v>
          </cell>
          <cell r="H53">
            <v>8.7406037619299978E-4</v>
          </cell>
        </row>
        <row r="54">
          <cell r="F54">
            <v>8.4748178945846422E-2</v>
          </cell>
          <cell r="G54">
            <v>8.4747287884364225E-2</v>
          </cell>
          <cell r="H54">
            <v>8.4747299964041969E-2</v>
          </cell>
        </row>
        <row r="55">
          <cell r="F55">
            <v>3.3874997631213807E-4</v>
          </cell>
          <cell r="G55">
            <v>1.7492768542590013E-4</v>
          </cell>
          <cell r="H55">
            <v>0</v>
          </cell>
        </row>
        <row r="56">
          <cell r="F56">
            <v>2.0094384338026968E-4</v>
          </cell>
          <cell r="G56">
            <v>1.6096683143598613E-4</v>
          </cell>
          <cell r="H56">
            <v>7.2239553161517376E-5</v>
          </cell>
        </row>
        <row r="57">
          <cell r="F57">
            <v>3.0530394653364914E-4</v>
          </cell>
          <cell r="G57">
            <v>1.2360920063028075E-3</v>
          </cell>
          <cell r="H57">
            <v>7.8913689908115335E-4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9.9997890626540908E-2</v>
          </cell>
          <cell r="G63">
            <v>9.9998406323088804E-2</v>
          </cell>
          <cell r="H63">
            <v>9.9998745777208034E-2</v>
          </cell>
        </row>
        <row r="64">
          <cell r="F64">
            <v>1.2660144489774377E-2</v>
          </cell>
          <cell r="G64">
            <v>0.48782876871667097</v>
          </cell>
          <cell r="H64">
            <v>0.78406756162370306</v>
          </cell>
        </row>
        <row r="65">
          <cell r="F65">
            <v>9.9563681195915955E-3</v>
          </cell>
          <cell r="G65">
            <v>0.24119729573063201</v>
          </cell>
          <cell r="H65">
            <v>0.35096030067690814</v>
          </cell>
        </row>
        <row r="66">
          <cell r="F66">
            <v>0.1228181251046488</v>
          </cell>
          <cell r="G66">
            <v>0.25393654295304136</v>
          </cell>
          <cell r="H66">
            <v>0.30777051911666353</v>
          </cell>
        </row>
        <row r="67">
          <cell r="F67">
            <v>0.36055007731626543</v>
          </cell>
          <cell r="G67">
            <v>0.39311604911046139</v>
          </cell>
          <cell r="H67">
            <v>0.48115427881921136</v>
          </cell>
        </row>
        <row r="68">
          <cell r="F68">
            <v>5.1714293426022226E-2</v>
          </cell>
          <cell r="G68">
            <v>5.7297482298933104E-2</v>
          </cell>
          <cell r="H68">
            <v>6.9470632440307933E-2</v>
          </cell>
        </row>
        <row r="69">
          <cell r="F69">
            <v>0.2257707668465844</v>
          </cell>
          <cell r="G69">
            <v>0.47324152810698483</v>
          </cell>
          <cell r="H69">
            <v>0.5739370614564997</v>
          </cell>
        </row>
      </sheetData>
      <sheetData sheetId="61">
        <row r="14">
          <cell r="F14">
            <v>0</v>
          </cell>
          <cell r="G14">
            <v>0.24897553939517197</v>
          </cell>
          <cell r="H14">
            <v>0.85934699610186172</v>
          </cell>
        </row>
        <row r="15">
          <cell r="F15">
            <v>7.7862501282273405E-7</v>
          </cell>
          <cell r="G15">
            <v>1.223836669882188E-6</v>
          </cell>
          <cell r="H15">
            <v>0.44914224837156264</v>
          </cell>
        </row>
        <row r="16">
          <cell r="F16">
            <v>1.036195086004522E-6</v>
          </cell>
          <cell r="G16">
            <v>2.7135675513836291E-6</v>
          </cell>
          <cell r="H16">
            <v>0.60410456541436031</v>
          </cell>
        </row>
        <row r="17">
          <cell r="F17">
            <v>9.5838970032047901E-8</v>
          </cell>
          <cell r="G17">
            <v>1.83641055159619E-7</v>
          </cell>
          <cell r="H17">
            <v>8.16355543991357E-7</v>
          </cell>
        </row>
        <row r="18">
          <cell r="F18">
            <v>1.27169905450341E-5</v>
          </cell>
          <cell r="G18">
            <v>2.8012468871089499E-6</v>
          </cell>
          <cell r="H18">
            <v>3.2742183812894299E-6</v>
          </cell>
        </row>
        <row r="19">
          <cell r="F19">
            <v>7.6090234114611605E-2</v>
          </cell>
          <cell r="G19">
            <v>7.3239350054763404E-8</v>
          </cell>
          <cell r="H19">
            <v>5.4027971944295199E-8</v>
          </cell>
        </row>
        <row r="20">
          <cell r="F20">
            <v>0</v>
          </cell>
          <cell r="G20">
            <v>0.136193289653328</v>
          </cell>
          <cell r="H20">
            <v>0.211895609438049</v>
          </cell>
        </row>
        <row r="21">
          <cell r="F21">
            <v>0</v>
          </cell>
          <cell r="G21">
            <v>9.9321410871788093E-6</v>
          </cell>
          <cell r="H21">
            <v>5.8611485428167003E-4</v>
          </cell>
        </row>
        <row r="22">
          <cell r="F22">
            <v>1.0841372795732699E-3</v>
          </cell>
          <cell r="G22">
            <v>8.9257812317926597E-6</v>
          </cell>
          <cell r="H22">
            <v>8.7873495378406899E-2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1.7856132707955601E-2</v>
          </cell>
          <cell r="G25">
            <v>3.71709693818362E-2</v>
          </cell>
          <cell r="H25">
            <v>4.8090950762766101E-2</v>
          </cell>
        </row>
        <row r="26">
          <cell r="F26">
            <v>2.54847945212309E-3</v>
          </cell>
          <cell r="G26">
            <v>7.0441222088806505E-5</v>
          </cell>
          <cell r="H26">
            <v>5.6663904967450698E-8</v>
          </cell>
        </row>
        <row r="27">
          <cell r="F27">
            <v>0</v>
          </cell>
          <cell r="G27">
            <v>5.03302278316781E-2</v>
          </cell>
          <cell r="H27">
            <v>3.1315858686224399E-2</v>
          </cell>
        </row>
        <row r="28">
          <cell r="F28">
            <v>1.19182806062854E-5</v>
          </cell>
          <cell r="G28">
            <v>4.0056168911823199E-5</v>
          </cell>
          <cell r="H28">
            <v>5.7246461950175798E-5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1.2718124540834401E-2</v>
          </cell>
          <cell r="H30">
            <v>7.3082156232997702E-6</v>
          </cell>
        </row>
        <row r="31">
          <cell r="F31">
            <v>0</v>
          </cell>
          <cell r="G31">
            <v>4.57853029016879E-4</v>
          </cell>
          <cell r="H31">
            <v>0.16309779694719601</v>
          </cell>
        </row>
        <row r="32">
          <cell r="F32">
            <v>0</v>
          </cell>
          <cell r="G32">
            <v>4.7922774656977398E-4</v>
          </cell>
          <cell r="H32">
            <v>1.4325747763407299E-7</v>
          </cell>
        </row>
        <row r="33">
          <cell r="F33">
            <v>2.2990162421806001E-2</v>
          </cell>
          <cell r="G33">
            <v>3.4984349917911798E-6</v>
          </cell>
          <cell r="H33">
            <v>8.75106312390872E-2</v>
          </cell>
        </row>
        <row r="34">
          <cell r="F34">
            <v>1.7684574973488645E-3</v>
          </cell>
          <cell r="G34">
            <v>6.9859208810564093</v>
          </cell>
          <cell r="H34">
            <v>3.2183357745879251</v>
          </cell>
        </row>
        <row r="35">
          <cell r="F35">
            <v>0.79881048023579304</v>
          </cell>
          <cell r="G35">
            <v>6.58650241945013</v>
          </cell>
          <cell r="H35">
            <v>5.2321860411825902</v>
          </cell>
        </row>
        <row r="36">
          <cell r="F36">
            <v>0.40045639334907701</v>
          </cell>
          <cell r="G36">
            <v>0.77054948380663402</v>
          </cell>
          <cell r="H36">
            <v>2.393907573693939</v>
          </cell>
        </row>
        <row r="37">
          <cell r="F37">
            <v>0.15684403114273701</v>
          </cell>
          <cell r="G37">
            <v>0.29693647684581009</v>
          </cell>
          <cell r="H37">
            <v>1.1518537703200129</v>
          </cell>
        </row>
        <row r="38">
          <cell r="F38">
            <v>0.730083089260948</v>
          </cell>
          <cell r="G38">
            <v>5.5699357196277903</v>
          </cell>
          <cell r="H38">
            <v>5.0052664886233202</v>
          </cell>
        </row>
        <row r="39">
          <cell r="F39">
            <v>2.2919799763209799E-2</v>
          </cell>
          <cell r="G39">
            <v>6.4520530446111283E-7</v>
          </cell>
          <cell r="H39">
            <v>2.8463070806567105E-2</v>
          </cell>
        </row>
        <row r="40">
          <cell r="F40">
            <v>0</v>
          </cell>
          <cell r="G40">
            <v>7.4337956790490698E-4</v>
          </cell>
          <cell r="H40">
            <v>3.5844464287603899E-2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6.33954755388524E-2</v>
          </cell>
          <cell r="G42">
            <v>1.89030341990215E-2</v>
          </cell>
          <cell r="H42">
            <v>7.3910131637790394E-2</v>
          </cell>
        </row>
        <row r="43">
          <cell r="F43">
            <v>0</v>
          </cell>
          <cell r="G43">
            <v>3.5680988956945901E-2</v>
          </cell>
          <cell r="H43">
            <v>2.3194594539815799E-2</v>
          </cell>
        </row>
        <row r="44">
          <cell r="F44">
            <v>9.1079960810807895E-7</v>
          </cell>
          <cell r="G44">
            <v>2.26031670593289E-7</v>
          </cell>
          <cell r="H44">
            <v>8.3918136654175802E-8</v>
          </cell>
        </row>
        <row r="45">
          <cell r="F45">
            <v>0</v>
          </cell>
          <cell r="G45">
            <v>1.6362037653124498E-2</v>
          </cell>
          <cell r="H45">
            <v>1.5823382553871598E-2</v>
          </cell>
        </row>
        <row r="46">
          <cell r="F46">
            <v>6.38884001034666E-4</v>
          </cell>
          <cell r="G46">
            <v>2.3313543925237799E-2</v>
          </cell>
          <cell r="H46">
            <v>2.11363661883042E-4</v>
          </cell>
        </row>
        <row r="47">
          <cell r="F47">
            <v>2.5465362598920598E-4</v>
          </cell>
          <cell r="G47">
            <v>1.59466488662041E-6</v>
          </cell>
          <cell r="H47">
            <v>1.6649308120721001E-5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1.8840827780357468E-4</v>
          </cell>
          <cell r="G50">
            <v>8.4586943867470001E-5</v>
          </cell>
          <cell r="H50">
            <v>4.3042889493582933E-6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4.6142571807339994E-2</v>
          </cell>
          <cell r="G53">
            <v>8.3305120495165697E-3</v>
          </cell>
          <cell r="H53">
            <v>1.0113299390140801E-6</v>
          </cell>
        </row>
        <row r="54">
          <cell r="F54">
            <v>4.40800729439009E-2</v>
          </cell>
          <cell r="G54">
            <v>3.1155277400544301E-2</v>
          </cell>
          <cell r="H54">
            <v>4.34914533104526E-2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7.1523049696979306E-5</v>
          </cell>
          <cell r="G56">
            <v>1.3342098636549701E-6</v>
          </cell>
          <cell r="H56">
            <v>4.1180451916278503E-5</v>
          </cell>
        </row>
        <row r="57">
          <cell r="F57">
            <v>1.12812176675694E-4</v>
          </cell>
          <cell r="G57">
            <v>9.9188739617833894E-4</v>
          </cell>
          <cell r="H57">
            <v>2.17811265716058E-5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7.1086860325311396E-7</v>
          </cell>
          <cell r="G63">
            <v>1.0531149195532899E-6</v>
          </cell>
          <cell r="H63">
            <v>7.8356671837448097E-7</v>
          </cell>
        </row>
        <row r="64">
          <cell r="F64">
            <v>7.9178265102388401E-3</v>
          </cell>
          <cell r="G64">
            <v>0.47957345997532203</v>
          </cell>
          <cell r="H64">
            <v>0.54217031573006802</v>
          </cell>
        </row>
        <row r="65">
          <cell r="F65">
            <v>4.9781748769872902E-3</v>
          </cell>
          <cell r="G65">
            <v>0.23565625153870601</v>
          </cell>
          <cell r="H65">
            <v>0.23190449884820399</v>
          </cell>
        </row>
        <row r="66">
          <cell r="F66">
            <v>4.3664361100697699E-2</v>
          </cell>
          <cell r="G66">
            <v>0.20249124564187501</v>
          </cell>
          <cell r="H66">
            <v>0.19855789803784701</v>
          </cell>
        </row>
        <row r="67">
          <cell r="F67">
            <v>9.2312317145553602E-2</v>
          </cell>
          <cell r="G67">
            <v>0.26478682225476902</v>
          </cell>
          <cell r="H67">
            <v>0.33216334126561298</v>
          </cell>
        </row>
        <row r="68">
          <cell r="F68">
            <v>2.3138721042008398E-2</v>
          </cell>
          <cell r="G68">
            <v>3.2441875553133E-2</v>
          </cell>
          <cell r="H68">
            <v>4.91410947304547E-2</v>
          </cell>
        </row>
        <row r="69">
          <cell r="F69">
            <v>7.83519802846709E-2</v>
          </cell>
          <cell r="G69">
            <v>0.379970921130379</v>
          </cell>
          <cell r="H69">
            <v>0.369630161422982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2.1787223420514498E-3</v>
          </cell>
        </row>
      </sheetData>
      <sheetData sheetId="67">
        <row r="5">
          <cell r="F5">
            <v>2.6997227854073267E-3</v>
          </cell>
          <cell r="G5">
            <v>2.4630688937248893E-3</v>
          </cell>
          <cell r="H5">
            <v>2.1434968003549802E-3</v>
          </cell>
        </row>
        <row r="12">
          <cell r="F12">
            <v>2.1224061345519659E-4</v>
          </cell>
          <cell r="G12">
            <v>2.064059131263786E-4</v>
          </cell>
          <cell r="H12">
            <v>2.6338497092467228E-4</v>
          </cell>
        </row>
        <row r="19">
          <cell r="F19">
            <v>4.3847673342000011</v>
          </cell>
          <cell r="G19">
            <v>5.1168262311842687</v>
          </cell>
          <cell r="H19">
            <v>5.1168309939563583</v>
          </cell>
        </row>
        <row r="20">
          <cell r="F20">
            <v>7.6459374282293204</v>
          </cell>
          <cell r="G20">
            <v>8.5092773382489817</v>
          </cell>
          <cell r="H20">
            <v>9.9632267554683089</v>
          </cell>
        </row>
        <row r="21">
          <cell r="F21">
            <v>4.8537858756385761E-4</v>
          </cell>
          <cell r="G21">
            <v>1.5341803046114843E-3</v>
          </cell>
          <cell r="H21">
            <v>1.5482331789762852E-3</v>
          </cell>
        </row>
        <row r="28">
          <cell r="F28">
            <v>9.2653544116239086</v>
          </cell>
          <cell r="G28">
            <v>35.652921524173152</v>
          </cell>
          <cell r="H28">
            <v>41.273434246155489</v>
          </cell>
        </row>
        <row r="29">
          <cell r="F29">
            <v>0</v>
          </cell>
          <cell r="G29">
            <v>0</v>
          </cell>
          <cell r="H29">
            <v>1.2269134170998757E-3</v>
          </cell>
        </row>
        <row r="30">
          <cell r="F30">
            <v>0</v>
          </cell>
          <cell r="G30">
            <v>0</v>
          </cell>
          <cell r="H30">
            <v>3.8941018206956041E-4</v>
          </cell>
        </row>
        <row r="31">
          <cell r="F31">
            <v>0.77058677147311561</v>
          </cell>
          <cell r="G31">
            <v>1.4332096262824339</v>
          </cell>
          <cell r="H31">
            <v>1.2383277255553271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6.2663972684813807</v>
          </cell>
          <cell r="G38">
            <v>7.1264049141398047</v>
          </cell>
          <cell r="H38">
            <v>6.8381555793829589</v>
          </cell>
        </row>
        <row r="39">
          <cell r="F39">
            <v>5.7190309055723967</v>
          </cell>
          <cell r="G39">
            <v>6.5039173552853127</v>
          </cell>
          <cell r="H39">
            <v>6.2408464417515148</v>
          </cell>
        </row>
      </sheetData>
      <sheetData sheetId="68">
        <row r="3">
          <cell r="F3">
            <v>54.43448586659273</v>
          </cell>
          <cell r="G3">
            <v>54.970580979262358</v>
          </cell>
          <cell r="H3">
            <v>56.378441325094094</v>
          </cell>
        </row>
        <row r="6">
          <cell r="F6">
            <v>2.1029162961644281</v>
          </cell>
          <cell r="G6">
            <v>3.5236029497641153</v>
          </cell>
          <cell r="H6">
            <v>3.5246707532928694</v>
          </cell>
        </row>
        <row r="11">
          <cell r="F11">
            <v>76.385733924059821</v>
          </cell>
          <cell r="G11">
            <v>78.044881564417011</v>
          </cell>
          <cell r="H11">
            <v>81.423620521797673</v>
          </cell>
        </row>
        <row r="18">
          <cell r="F18">
            <v>4.7033616135004497E-3</v>
          </cell>
          <cell r="G18">
            <v>4.8860443967901294E-4</v>
          </cell>
          <cell r="H18">
            <v>0</v>
          </cell>
        </row>
        <row r="19">
          <cell r="F19">
            <v>15.29144833521951</v>
          </cell>
          <cell r="G19">
            <v>14.767045767005358</v>
          </cell>
          <cell r="H19">
            <v>19.822703341650403</v>
          </cell>
        </row>
        <row r="21">
          <cell r="F21">
            <v>10.758729134825327</v>
          </cell>
          <cell r="G21">
            <v>8.5715364397569669</v>
          </cell>
          <cell r="H21">
            <v>5.9487947280020101</v>
          </cell>
        </row>
        <row r="22">
          <cell r="F22">
            <v>1.4614958725286258</v>
          </cell>
          <cell r="G22">
            <v>1.2834846489588163</v>
          </cell>
          <cell r="H22">
            <v>1.511375058387596</v>
          </cell>
        </row>
        <row r="23">
          <cell r="F23">
            <v>10.284425056811878</v>
          </cell>
          <cell r="G23">
            <v>12.009849729731041</v>
          </cell>
          <cell r="H23">
            <v>11.835789486285192</v>
          </cell>
        </row>
        <row r="24">
          <cell r="F24">
            <v>4.267912387557792</v>
          </cell>
          <cell r="G24">
            <v>7.6480869118484209</v>
          </cell>
          <cell r="H24">
            <v>7.7654906076046331</v>
          </cell>
        </row>
        <row r="33">
          <cell r="F33">
            <v>22.317213557703951</v>
          </cell>
          <cell r="G33">
            <v>23.693691947751208</v>
          </cell>
          <cell r="H33">
            <v>23.523520185890337</v>
          </cell>
        </row>
        <row r="34">
          <cell r="F34">
            <v>5.5146818573401122</v>
          </cell>
          <cell r="G34">
            <v>3.4000088646508102</v>
          </cell>
          <cell r="H34">
            <v>7.3422525201545917E-6</v>
          </cell>
        </row>
        <row r="35">
          <cell r="F35">
            <v>6.4982147298313225E-3</v>
          </cell>
          <cell r="G35">
            <v>4.8972777674663893E-4</v>
          </cell>
          <cell r="H35">
            <v>0</v>
          </cell>
        </row>
        <row r="36">
          <cell r="F36">
            <v>4.0211701648039486E-2</v>
          </cell>
          <cell r="G36">
            <v>4.477245449839648E-2</v>
          </cell>
          <cell r="H36">
            <v>0.2621622890426672</v>
          </cell>
        </row>
        <row r="37">
          <cell r="F37">
            <v>8.0389301204194243</v>
          </cell>
          <cell r="G37">
            <v>3.0948425909403481</v>
          </cell>
          <cell r="H37">
            <v>0.4898860812564762</v>
          </cell>
        </row>
        <row r="38">
          <cell r="F38">
            <v>1.9374400427855303</v>
          </cell>
          <cell r="G38">
            <v>2.1714576261902958</v>
          </cell>
          <cell r="H38">
            <v>0.80633495083004336</v>
          </cell>
        </row>
        <row r="39">
          <cell r="F39">
            <v>2.6601921377869875</v>
          </cell>
          <cell r="G39">
            <v>2.6601994510599067</v>
          </cell>
          <cell r="H39">
            <v>5.4553533771495308</v>
          </cell>
        </row>
        <row r="55">
          <cell r="F55">
            <v>17.286565030190136</v>
          </cell>
          <cell r="G55">
            <v>17.286564211866381</v>
          </cell>
          <cell r="H55">
            <v>17.286574482063557</v>
          </cell>
        </row>
        <row r="56">
          <cell r="F56">
            <v>6.1487378319195765</v>
          </cell>
          <cell r="G56">
            <v>10.932943174692712</v>
          </cell>
          <cell r="H56">
            <v>10.934676230270721</v>
          </cell>
        </row>
        <row r="57">
          <cell r="F57">
            <v>4.3711195379477621</v>
          </cell>
          <cell r="G57">
            <v>2.7215138838589019</v>
          </cell>
          <cell r="H57">
            <v>0.20877313175572815</v>
          </cell>
        </row>
        <row r="58">
          <cell r="F58">
            <v>4.5361600198428756E-3</v>
          </cell>
          <cell r="G58">
            <v>3.4544173052266009E-4</v>
          </cell>
          <cell r="H58">
            <v>0</v>
          </cell>
        </row>
        <row r="59">
          <cell r="F59">
            <v>8.3160376467838617</v>
          </cell>
          <cell r="G59">
            <v>4.4072517189765756</v>
          </cell>
          <cell r="H59">
            <v>1.0891580063509627</v>
          </cell>
        </row>
        <row r="60">
          <cell r="F60">
            <v>4.7182056382281982E-3</v>
          </cell>
          <cell r="G60">
            <v>3.4305234331728036E-3</v>
          </cell>
          <cell r="H60">
            <v>1.7270312500273239E-3</v>
          </cell>
        </row>
        <row r="61">
          <cell r="F61">
            <v>3.1630106850790538E-3</v>
          </cell>
          <cell r="G61">
            <v>3.2980799678333366E-4</v>
          </cell>
          <cell r="H61">
            <v>0</v>
          </cell>
        </row>
        <row r="62">
          <cell r="F62">
            <v>7.1976264064727591</v>
          </cell>
          <cell r="G62">
            <v>6.7721891883828098</v>
          </cell>
          <cell r="H62">
            <v>9.0604408174193676</v>
          </cell>
        </row>
        <row r="63">
          <cell r="F63">
            <v>7.166044275130516</v>
          </cell>
          <cell r="G63">
            <v>7.2037075954410907</v>
          </cell>
          <cell r="H63">
            <v>9.0034108357218194</v>
          </cell>
        </row>
        <row r="64">
          <cell r="F64">
            <v>7.3673209120730103</v>
          </cell>
          <cell r="G64">
            <v>7.9189588334105387</v>
          </cell>
          <cell r="H64">
            <v>9.5630232287788228</v>
          </cell>
        </row>
        <row r="65">
          <cell r="F65">
            <v>0.54539781122951048</v>
          </cell>
          <cell r="G65">
            <v>0.54540565546103881</v>
          </cell>
          <cell r="H65">
            <v>0.5454275148583555</v>
          </cell>
        </row>
        <row r="66">
          <cell r="F66">
            <v>5.6806089831877733</v>
          </cell>
          <cell r="G66">
            <v>4.5257712401916841</v>
          </cell>
          <cell r="H66">
            <v>3.2361443320330894</v>
          </cell>
        </row>
        <row r="67">
          <cell r="F67">
            <v>1.4614958725286258</v>
          </cell>
          <cell r="G67">
            <v>1.2834846489588163</v>
          </cell>
          <cell r="H67">
            <v>1.511375058387596</v>
          </cell>
        </row>
        <row r="68">
          <cell r="F68">
            <v>1.8913966099665482</v>
          </cell>
          <cell r="G68">
            <v>1.8914018097035954</v>
          </cell>
          <cell r="H68">
            <v>3.9278544315476647</v>
          </cell>
        </row>
        <row r="69">
          <cell r="F69">
            <v>8.0638756079623981</v>
          </cell>
          <cell r="G69">
            <v>9.5787038962642495</v>
          </cell>
          <cell r="H69">
            <v>9.5787127966209056</v>
          </cell>
        </row>
        <row r="70">
          <cell r="F70">
            <v>1.7370180823492478</v>
          </cell>
          <cell r="G70">
            <v>2.9040107720653565</v>
          </cell>
          <cell r="H70">
            <v>2.9046271403436958</v>
          </cell>
        </row>
        <row r="71">
          <cell r="F71">
            <v>77.24566198408489</v>
          </cell>
          <cell r="G71">
            <v>77.976012402434236</v>
          </cell>
          <cell r="H71">
            <v>78.85192503740231</v>
          </cell>
        </row>
      </sheetData>
      <sheetData sheetId="69">
        <row r="3">
          <cell r="F3">
            <v>53.975177439336449</v>
          </cell>
          <cell r="G3">
            <v>52.172429840069114</v>
          </cell>
          <cell r="H3">
            <v>48.260730636559089</v>
          </cell>
        </row>
        <row r="6">
          <cell r="F6">
            <v>6.9857906139026529</v>
          </cell>
          <cell r="G6">
            <v>9.1856264959835467</v>
          </cell>
          <cell r="H6">
            <v>13.8608602609761</v>
          </cell>
        </row>
        <row r="11">
          <cell r="F11">
            <v>57.942707983225176</v>
          </cell>
          <cell r="G11">
            <v>57.038150727055466</v>
          </cell>
          <cell r="H11">
            <v>53.355914297876225</v>
          </cell>
        </row>
        <row r="12">
          <cell r="F12">
            <v>11.150155429522037</v>
          </cell>
          <cell r="G12">
            <v>5.434088060674573</v>
          </cell>
          <cell r="H12">
            <v>7.3533613586271893E-6</v>
          </cell>
        </row>
        <row r="13">
          <cell r="F13">
            <v>9.4914488098117361E-4</v>
          </cell>
          <cell r="G13">
            <v>6.5757265810469133E-4</v>
          </cell>
          <cell r="H13">
            <v>0.42234361364328438</v>
          </cell>
        </row>
        <row r="14">
          <cell r="F14">
            <v>14.14911738601943</v>
          </cell>
          <cell r="G14">
            <v>9.7694394457549354</v>
          </cell>
          <cell r="H14">
            <v>5.5642123024853074</v>
          </cell>
        </row>
        <row r="15">
          <cell r="F15">
            <v>1.3106524064257397</v>
          </cell>
          <cell r="G15">
            <v>1.4632908062041781</v>
          </cell>
          <cell r="H15">
            <v>1.638496912951662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8.330514014434808</v>
          </cell>
          <cell r="G17">
            <v>9.2532932880410623</v>
          </cell>
          <cell r="H17">
            <v>8.9440173309107056</v>
          </cell>
        </row>
        <row r="19">
          <cell r="F19">
            <v>0.66055183574465315</v>
          </cell>
          <cell r="G19">
            <v>0.73653557477131526</v>
          </cell>
          <cell r="H19">
            <v>0.77782125202687369</v>
          </cell>
        </row>
        <row r="20">
          <cell r="F20">
            <v>2.8927531977544422E-3</v>
          </cell>
          <cell r="G20">
            <v>9.1502753983945424E-3</v>
          </cell>
          <cell r="H20">
            <v>3.6566106323792091E-3</v>
          </cell>
        </row>
        <row r="21">
          <cell r="F21">
            <v>12.579586834834288</v>
          </cell>
          <cell r="G21">
            <v>17.233091188086561</v>
          </cell>
          <cell r="H21">
            <v>20.113439721074851</v>
          </cell>
        </row>
        <row r="28">
          <cell r="F28">
            <v>3.9675305438887243</v>
          </cell>
          <cell r="G28">
            <v>4.8657208869863542</v>
          </cell>
          <cell r="H28">
            <v>5.0951836613171482</v>
          </cell>
        </row>
        <row r="47">
          <cell r="F47">
            <v>11.580827781180391</v>
          </cell>
          <cell r="G47">
            <v>15.846864814832955</v>
          </cell>
          <cell r="H47">
            <v>18.489079140609462</v>
          </cell>
        </row>
        <row r="48">
          <cell r="F48">
            <v>9.1300432124772328</v>
          </cell>
          <cell r="G48">
            <v>4.4497351943994001</v>
          </cell>
          <cell r="H48">
            <v>0.34580274571502456</v>
          </cell>
        </row>
        <row r="49">
          <cell r="F49">
            <v>9.7648038093698251</v>
          </cell>
          <cell r="G49">
            <v>5.1984349538834405</v>
          </cell>
          <cell r="H49">
            <v>1.9491709673527928</v>
          </cell>
        </row>
        <row r="50">
          <cell r="F50">
            <v>8.6335297136089224</v>
          </cell>
          <cell r="G50">
            <v>11.067668270777373</v>
          </cell>
          <cell r="H50">
            <v>11.379145887324517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6.8699780049153647</v>
          </cell>
          <cell r="G52">
            <v>7.6309722607418324</v>
          </cell>
          <cell r="H52">
            <v>7.3759196890454017</v>
          </cell>
        </row>
        <row r="53">
          <cell r="F53">
            <v>5.7276309169079607</v>
          </cell>
          <cell r="G53">
            <v>4.8630183192076952</v>
          </cell>
          <cell r="H53">
            <v>3.347530755772913</v>
          </cell>
        </row>
        <row r="54">
          <cell r="F54">
            <v>0.5506465328921154</v>
          </cell>
          <cell r="G54">
            <v>0.71173589346460875</v>
          </cell>
          <cell r="H54">
            <v>0.73428410814602263</v>
          </cell>
        </row>
        <row r="55">
          <cell r="F55">
            <v>0.66055183574465315</v>
          </cell>
          <cell r="G55">
            <v>0.73653557477131526</v>
          </cell>
          <cell r="H55">
            <v>0.77782125202687369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6.9857906139026529</v>
          </cell>
          <cell r="G58">
            <v>9.1856264959835467</v>
          </cell>
          <cell r="H58">
            <v>13.8608602609761</v>
          </cell>
        </row>
        <row r="59">
          <cell r="F59">
            <v>60.169607171427984</v>
          </cell>
          <cell r="G59">
            <v>59.908889368433158</v>
          </cell>
          <cell r="H59">
            <v>58.417783058372166</v>
          </cell>
        </row>
      </sheetData>
      <sheetData sheetId="70">
        <row r="3">
          <cell r="F3">
            <v>45.902998564898212</v>
          </cell>
          <cell r="G3">
            <v>44.394970124905804</v>
          </cell>
          <cell r="H3">
            <v>40.795409861212335</v>
          </cell>
        </row>
        <row r="10">
          <cell r="F10">
            <v>15.517380950434497</v>
          </cell>
          <cell r="G10">
            <v>20.11703792987991</v>
          </cell>
          <cell r="H10">
            <v>29.846242837411211</v>
          </cell>
        </row>
        <row r="15">
          <cell r="F15">
            <v>67.873447679627219</v>
          </cell>
          <cell r="G15">
            <v>67.905786107191119</v>
          </cell>
          <cell r="H15">
            <v>62.866211070838517</v>
          </cell>
        </row>
        <row r="16">
          <cell r="F16">
            <v>15.604974076871725</v>
          </cell>
          <cell r="G16">
            <v>5.9867251387228819</v>
          </cell>
          <cell r="H16">
            <v>9.5780893874992475E-6</v>
          </cell>
        </row>
        <row r="17">
          <cell r="F17">
            <v>9.5021205405202715E-4</v>
          </cell>
          <cell r="G17">
            <v>6.6040969798932155E-4</v>
          </cell>
          <cell r="H17">
            <v>0.57740597207595445</v>
          </cell>
        </row>
        <row r="18">
          <cell r="F18">
            <v>28.269856755896974</v>
          </cell>
          <cell r="G18">
            <v>19.122616393151315</v>
          </cell>
          <cell r="H18">
            <v>12.719020083516835</v>
          </cell>
        </row>
        <row r="19">
          <cell r="F19">
            <v>2.0249484776667237</v>
          </cell>
          <cell r="G19">
            <v>2.6549209692784332</v>
          </cell>
          <cell r="H19">
            <v>2.1058687461460206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11.840013551493746</v>
          </cell>
          <cell r="G21">
            <v>12.813317065919019</v>
          </cell>
          <cell r="H21">
            <v>12.475322988445004</v>
          </cell>
        </row>
        <row r="22">
          <cell r="F22">
            <v>13.524159306159239</v>
          </cell>
          <cell r="G22">
            <v>11.462828438877514</v>
          </cell>
          <cell r="H22">
            <v>6.9216928338082786</v>
          </cell>
        </row>
        <row r="23">
          <cell r="F23">
            <v>1.1577243991421731</v>
          </cell>
          <cell r="G23">
            <v>1.2422197233327636</v>
          </cell>
          <cell r="H23">
            <v>1.2294321971075988</v>
          </cell>
        </row>
        <row r="24">
          <cell r="F24">
            <v>6.4152737030837006E-3</v>
          </cell>
          <cell r="G24">
            <v>2.8980875401206932E-2</v>
          </cell>
          <cell r="H24">
            <v>1.4018971235477807E-2</v>
          </cell>
        </row>
        <row r="25">
          <cell r="F25">
            <v>50.369828507882119</v>
          </cell>
          <cell r="G25">
            <v>60.672790770672911</v>
          </cell>
          <cell r="H25">
            <v>65.317828486607169</v>
          </cell>
        </row>
        <row r="26">
          <cell r="F26">
            <v>190.67231824049708</v>
          </cell>
          <cell r="G26">
            <v>181.89084589224515</v>
          </cell>
          <cell r="H26">
            <v>164.22681092787025</v>
          </cell>
        </row>
        <row r="102">
          <cell r="F102">
            <v>3.0138088188013747E-2</v>
          </cell>
          <cell r="G102">
            <v>1.9740596489188827E-2</v>
          </cell>
          <cell r="H102">
            <v>1.6781164875198411E-2</v>
          </cell>
        </row>
        <row r="104">
          <cell r="F104">
            <v>47.763746898835677</v>
          </cell>
          <cell r="G104">
            <v>54.466940134076054</v>
          </cell>
          <cell r="H104">
            <v>54.640952241305051</v>
          </cell>
        </row>
        <row r="105">
          <cell r="F105">
            <v>11.280640686721632</v>
          </cell>
          <cell r="G105">
            <v>4.073006865817872</v>
          </cell>
          <cell r="H105">
            <v>0.41648250289379407</v>
          </cell>
        </row>
        <row r="106">
          <cell r="F106">
            <v>14.564597780583295</v>
          </cell>
          <cell r="G106">
            <v>6.3349216354991533</v>
          </cell>
          <cell r="H106">
            <v>2.4178141556212105</v>
          </cell>
        </row>
        <row r="107">
          <cell r="F107">
            <v>16.884888241586665</v>
          </cell>
          <cell r="G107">
            <v>20.27010070919691</v>
          </cell>
          <cell r="H107">
            <v>18.961426151609285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7.91813912321925</v>
          </cell>
          <cell r="G110">
            <v>8.396091496514094</v>
          </cell>
          <cell r="H110">
            <v>7.8586777318469929</v>
          </cell>
        </row>
        <row r="111">
          <cell r="F111">
            <v>7.5548169475028004</v>
          </cell>
          <cell r="G111">
            <v>6.1772528579431496</v>
          </cell>
          <cell r="H111">
            <v>3.5318606184179799</v>
          </cell>
        </row>
        <row r="112">
          <cell r="F112">
            <v>0.41288601362700605</v>
          </cell>
          <cell r="G112">
            <v>0.44134747229112897</v>
          </cell>
          <cell r="H112">
            <v>0.36632973979417721</v>
          </cell>
        </row>
        <row r="113">
          <cell r="F113">
            <v>3.4401399521663739E-2</v>
          </cell>
          <cell r="G113">
            <v>3.3155068185607858E-2</v>
          </cell>
          <cell r="H113">
            <v>2.9424962199127169E-2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121.9616361302205</v>
          </cell>
          <cell r="G116">
            <v>120.32959476589306</v>
          </cell>
          <cell r="H116">
            <v>118.08599210597403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24.081552212157824</v>
          </cell>
          <cell r="G224">
            <v>26.685371463663841</v>
          </cell>
          <cell r="H224">
            <v>28.40685440236706</v>
          </cell>
        </row>
        <row r="231">
          <cell r="F231">
            <v>1.8900894444033765</v>
          </cell>
          <cell r="G231">
            <v>1.7412025714670578</v>
          </cell>
          <cell r="H231">
            <v>1.5718388499318261</v>
          </cell>
        </row>
        <row r="233">
          <cell r="F233">
            <v>57.575413985723138</v>
          </cell>
          <cell r="G233">
            <v>66.992264922992405</v>
          </cell>
          <cell r="H233">
            <v>69.909772372842895</v>
          </cell>
        </row>
        <row r="234">
          <cell r="F234">
            <v>12.737988971612072</v>
          </cell>
          <cell r="G234">
            <v>4.8064499567665093</v>
          </cell>
          <cell r="H234">
            <v>0.47454242975882582</v>
          </cell>
        </row>
        <row r="235">
          <cell r="F235">
            <v>16.943102832740539</v>
          </cell>
          <cell r="G235">
            <v>7.7614019446372353</v>
          </cell>
          <cell r="H235">
            <v>3.0546069657617463</v>
          </cell>
        </row>
        <row r="236">
          <cell r="F236">
            <v>21.454670828570901</v>
          </cell>
          <cell r="G236">
            <v>26.236201085751041</v>
          </cell>
          <cell r="H236">
            <v>25.607426124577476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9.6093965474038399</v>
          </cell>
          <cell r="G239">
            <v>10.363913905858253</v>
          </cell>
          <cell r="H239">
            <v>10.032604561652363</v>
          </cell>
        </row>
        <row r="240">
          <cell r="F240">
            <v>8.6296029911091097</v>
          </cell>
          <cell r="G240">
            <v>7.1795690126857172</v>
          </cell>
          <cell r="H240">
            <v>4.266279868478124</v>
          </cell>
        </row>
        <row r="241">
          <cell r="F241">
            <v>0.52781739123868288</v>
          </cell>
          <cell r="G241">
            <v>0.57470517618602812</v>
          </cell>
          <cell r="H241">
            <v>0.50010030081902412</v>
          </cell>
        </row>
        <row r="242">
          <cell r="F242">
            <v>1.1577243991421731</v>
          </cell>
          <cell r="G242">
            <v>1.2422197233327636</v>
          </cell>
          <cell r="H242">
            <v>1.2294321971075988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15.517380950434497</v>
          </cell>
          <cell r="G244">
            <v>20.11703792987991</v>
          </cell>
          <cell r="H244">
            <v>29.846242837411211</v>
          </cell>
        </row>
        <row r="245">
          <cell r="F245">
            <v>146.04318834237833</v>
          </cell>
          <cell r="G245">
            <v>147.01496622955693</v>
          </cell>
          <cell r="H245">
            <v>146.49284650834107</v>
          </cell>
        </row>
      </sheetData>
      <sheetData sheetId="71">
        <row r="21">
          <cell r="F21">
            <v>17.136340974789338</v>
          </cell>
          <cell r="G21">
            <v>3.6756505099617414</v>
          </cell>
          <cell r="H21">
            <v>1.1338219348513086</v>
          </cell>
        </row>
        <row r="22">
          <cell r="F22">
            <v>32.078020786328899</v>
          </cell>
          <cell r="G22">
            <v>14.51943273364718</v>
          </cell>
          <cell r="H22">
            <v>1.3021090335240288</v>
          </cell>
        </row>
        <row r="23">
          <cell r="F23">
            <v>2.5477274835227801</v>
          </cell>
          <cell r="G23">
            <v>2.1185939466931401</v>
          </cell>
          <cell r="H23">
            <v>-3.6922614998768921E-6</v>
          </cell>
        </row>
        <row r="24">
          <cell r="F24">
            <v>5.6075942014576288E-3</v>
          </cell>
          <cell r="G24">
            <v>2.9594632725145295E-3</v>
          </cell>
          <cell r="H24">
            <v>1.2899753635106859E-4</v>
          </cell>
        </row>
        <row r="25">
          <cell r="F25">
            <v>1.4408957658121104</v>
          </cell>
          <cell r="G25">
            <v>2.353700160054454</v>
          </cell>
          <cell r="H25">
            <v>0.18804715959738358</v>
          </cell>
        </row>
        <row r="26">
          <cell r="F26">
            <v>2.9727495064316964</v>
          </cell>
          <cell r="G26">
            <v>2.972897883942851</v>
          </cell>
          <cell r="H26">
            <v>1.324272352567667</v>
          </cell>
        </row>
        <row r="27">
          <cell r="F27">
            <v>1.6166784587285084E-3</v>
          </cell>
          <cell r="G27">
            <v>1.1275482189028209E-3</v>
          </cell>
          <cell r="H27">
            <v>1.2418281620474506E-4</v>
          </cell>
        </row>
        <row r="28">
          <cell r="F28">
            <v>2.7641173665500199E-3</v>
          </cell>
          <cell r="G28">
            <v>2.03944760807991E-3</v>
          </cell>
          <cell r="H28">
            <v>1.6907788799746</v>
          </cell>
        </row>
        <row r="32">
          <cell r="F32">
            <v>9.1669440924757026E-2</v>
          </cell>
          <cell r="G32">
            <v>0.95933778977667983</v>
          </cell>
          <cell r="H32">
            <v>0.94604364793586138</v>
          </cell>
        </row>
      </sheetData>
      <sheetData sheetId="72">
        <row r="11">
          <cell r="F11">
            <v>65.874803700472455</v>
          </cell>
          <cell r="G11">
            <v>52.509649506225102</v>
          </cell>
          <cell r="H11">
            <v>0</v>
          </cell>
        </row>
        <row r="12">
          <cell r="F12">
            <v>16.468701014232174</v>
          </cell>
          <cell r="G12">
            <v>27.050416138040564</v>
          </cell>
          <cell r="H12">
            <v>74.087054954433498</v>
          </cell>
        </row>
        <row r="13">
          <cell r="F13">
            <v>1.03849444012772E-4</v>
          </cell>
          <cell r="G13">
            <v>4.7513407045105691E-2</v>
          </cell>
          <cell r="H13">
            <v>4.7418409184795236E-2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2.2424917405530711</v>
          </cell>
          <cell r="G53">
            <v>2.4621094668382706</v>
          </cell>
          <cell r="H53">
            <v>2.5529328235940443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4.1012667801362594</v>
          </cell>
          <cell r="G55">
            <v>3.5960262622347345</v>
          </cell>
          <cell r="H55">
            <v>3.2319472150731863</v>
          </cell>
        </row>
        <row r="56">
          <cell r="F56">
            <v>1.6373957383650308</v>
          </cell>
          <cell r="G56">
            <v>0.96066467410054501</v>
          </cell>
          <cell r="H56">
            <v>0.314992797567266</v>
          </cell>
        </row>
        <row r="57">
          <cell r="F57">
            <v>2.7747023933455104</v>
          </cell>
          <cell r="G57">
            <v>1.5337622465969909</v>
          </cell>
          <cell r="H57">
            <v>0.72033234993576967</v>
          </cell>
        </row>
        <row r="58">
          <cell r="F58">
            <v>3.8584858739763828</v>
          </cell>
          <cell r="G58">
            <v>1.5121770407742245</v>
          </cell>
          <cell r="H58">
            <v>0.18180362326195179</v>
          </cell>
        </row>
        <row r="59">
          <cell r="F59">
            <v>0</v>
          </cell>
          <cell r="G59">
            <v>-1.5348091952158343</v>
          </cell>
          <cell r="H59">
            <v>-5.1894015737559984</v>
          </cell>
        </row>
        <row r="60">
          <cell r="F60">
            <v>0</v>
          </cell>
          <cell r="G60">
            <v>-0.35411515224008661</v>
          </cell>
          <cell r="H60">
            <v>-1.812551854001716</v>
          </cell>
        </row>
        <row r="61">
          <cell r="F61">
            <v>0</v>
          </cell>
          <cell r="G61">
            <v>0</v>
          </cell>
          <cell r="H61">
            <v>-2.8328744201686458E-5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-6.4423100307138407E-6</v>
          </cell>
          <cell r="H63">
            <v>-2.6106487159160157E-5</v>
          </cell>
        </row>
        <row r="77">
          <cell r="B77">
            <v>0</v>
          </cell>
          <cell r="C77">
            <v>3.4702381144341139</v>
          </cell>
        </row>
        <row r="78">
          <cell r="B78">
            <v>0</v>
          </cell>
          <cell r="C78">
            <v>1.3023341790452552</v>
          </cell>
        </row>
        <row r="79">
          <cell r="B79">
            <v>0</v>
          </cell>
          <cell r="C79">
            <v>2.2293969680775265</v>
          </cell>
        </row>
      </sheetData>
      <sheetData sheetId="75">
        <row r="99">
          <cell r="J99">
            <v>13.325235811344342</v>
          </cell>
          <cell r="K99">
            <v>7.4089673470791038</v>
          </cell>
          <cell r="L99">
            <v>2.0428411294485418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418.94115991605702</v>
      </c>
      <c r="K2" s="3">
        <f t="shared" si="0"/>
        <v>512.14576682556969</v>
      </c>
      <c r="L2" s="3">
        <f t="shared" ref="L2" si="1">L3+L8+L11+L12+L16+L17+L18+L19</f>
        <v>550.10519642781571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53.589483185223628</v>
      </c>
      <c r="K3" s="1">
        <f t="shared" si="4"/>
        <v>53.589502407610304</v>
      </c>
      <c r="L3" s="1">
        <f t="shared" ref="L3" si="5">SUM(L4:L7)</f>
        <v>53.589508590550388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16.424569897975129</v>
      </c>
      <c r="K4" s="1" cm="1">
        <f t="array" ref="K4">SUMPRODUCT(("RNWWOD1"=[2]OUT_PrimaryEnergyCons!$A$1:$A$1000)*1,[2]OUT_PrimaryEnergyCons!I$1:I$1000)</f>
        <v>17.113642943688614</v>
      </c>
      <c r="L4" s="1" cm="1">
        <f t="array" ref="L4">SUMPRODUCT(("RNWWOD1"=[2]OUT_PrimaryEnergyCons!$A$1:$A$1000)*1,[2]OUT_PrimaryEnergyCons!J$1:J$1000)</f>
        <v>18.429672498613701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7.6690268840097424</v>
      </c>
      <c r="K5" s="1" cm="1">
        <f t="array" ref="K5">SUMPRODUCT(("RNWWOD2"=[2]OUT_PrimaryEnergyCons!$A$1:$A$1000)*1,[2]OUT_PrimaryEnergyCons!I$1:I$1000)</f>
        <v>7.6690272354692235</v>
      </c>
      <c r="L5" s="1" cm="1">
        <f t="array" ref="L5">SUMPRODUCT(("RNWWOD2"=[2]OUT_PrimaryEnergyCons!$A$1:$A$1000)*1,[2]OUT_PrimaryEnergyCons!J$1:J$1000)</f>
        <v>7.6690280658172298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4.8053857867222325</v>
      </c>
      <c r="K6" s="1" cm="1">
        <f t="array" ref="K6">SUMPRODUCT(("RNWWOD3"=[2]OUT_PrimaryEnergyCons!$A$1:$A$1000)*1,[2]OUT_PrimaryEnergyCons!I$1:I$1000)</f>
        <v>4.8053860244004456</v>
      </c>
      <c r="L6" s="1" cm="1">
        <f t="array" ref="L6">SUMPRODUCT(("RNWWOD3"=[2]OUT_PrimaryEnergyCons!$A$1:$A$1000)*1,[2]OUT_PrimaryEnergyCons!J$1:J$1000)</f>
        <v>4.8053857956811266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24.690500616516523</v>
      </c>
      <c r="K7" s="1" cm="1">
        <f t="array" ref="K7">SUMPRODUCT(("RNWWOD4"=[2]OUT_PrimaryEnergyCons!$A$1:$A$1000)*1+("RNWWOD5"=[2]OUT_PrimaryEnergyCons!$A$1:$A$1000)*1,[2]OUT_PrimaryEnergyCons!I$1:I$1000)</f>
        <v>24.001446204052023</v>
      </c>
      <c r="L7" s="1" cm="1">
        <f t="array" ref="L7">SUMPRODUCT(("RNWWOD4"=[2]OUT_PrimaryEnergyCons!$A$1:$A$1000)*1+("RNWWOD5"=[2]OUT_PrimaryEnergyCons!$A$1:$A$1000)*1,[2]OUT_PrimaryEnergyCons!J$1:J$1000)</f>
        <v>22.685422230438331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72.227044777354649</v>
      </c>
      <c r="K8" s="1">
        <f t="shared" si="9"/>
        <v>79.195697417541396</v>
      </c>
      <c r="L8" s="1">
        <f t="shared" ref="L8" si="10">SUM(L9:L10)</f>
        <v>83.827975916420115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34.937590540999302</v>
      </c>
      <c r="K9" s="1" cm="1">
        <f t="array" ref="K9">SUMPRODUCT(("RNNWWST1"=[2]OUT_PrimaryEnergyCons!$A$1:$A$1000)*1,[2]OUT_PrimaryEnergyCons!I$1:I$1000)</f>
        <v>38.082489273757304</v>
      </c>
      <c r="L9" s="1" cm="1">
        <f t="array" ref="L9">SUMPRODUCT(("RNNWWST1"=[2]OUT_PrimaryEnergyCons!$A$1:$A$1000)*1,[2]OUT_PrimaryEnergyCons!J$1:J$1000)</f>
        <v>39.221629252583433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37.289454236355354</v>
      </c>
      <c r="K10" s="1" cm="1">
        <f t="array" ref="K10">SUMPRODUCT(("RNWWST1"=[2]OUT_PrimaryEnergyCons!$A$1:$A$1000)*1,[2]OUT_PrimaryEnergyCons!I$1:I$1000)</f>
        <v>41.113208143784092</v>
      </c>
      <c r="L10" s="1" cm="1">
        <f t="array" ref="L10">SUMPRODUCT(("RNWWST1"=[2]OUT_PrimaryEnergyCons!$A$1:$A$1000)*1,[2]OUT_PrimaryEnergyCons!J$1:J$1000)</f>
        <v>44.606346663836682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12.540434575812002</v>
      </c>
      <c r="K11" s="1" cm="1">
        <f t="array" ref="K11">SUMPRODUCT(("mnr"=[2]OUT_PrimaryEnergyCons!$C$1:$C$1000)*1,[2]OUT_PrimaryEnergyCons!I$1:I$1000)</f>
        <v>14.634123021186999</v>
      </c>
      <c r="L11" s="1" cm="1">
        <f t="array" ref="L11">SUMPRODUCT(("mnr"=[2]OUT_PrimaryEnergyCons!$C$1:$C$1000)*1,[2]OUT_PrimaryEnergyCons!J$1:J$1000)</f>
        <v>14.634136642715157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152.49165526419489</v>
      </c>
      <c r="K12" s="1">
        <f t="shared" si="11"/>
        <v>154.88224802703428</v>
      </c>
      <c r="L12" s="1">
        <f t="shared" ref="L12" si="12">SUM(L13:L15)</f>
        <v>158.83687089225086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71.021496214535105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73.932876845571727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74.836059234919531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65.464910300261678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64.381742663864941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67.134923061831486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16.00524874939812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16.567628517597601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16.865888595499861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59.990444077122618</v>
      </c>
      <c r="K16" s="1" cm="1">
        <f t="array" ref="K16">SUMPRODUCT(ISNUMBER(SEARCH("SOL",[2]OUT_PrimaryEnergyCons!$C$1:$C$1000))*1,[2]OUT_PrimaryEnergyCons!I$1:I$1000)</f>
        <v>123.39194094728948</v>
      </c>
      <c r="L16" s="1" cm="1">
        <f t="array" ref="L16">SUMPRODUCT(ISNUMBER(SEARCH("SOL",[2]OUT_PrimaryEnergyCons!$C$1:$C$1000))*1,[2]OUT_PrimaryEnergyCons!J$1:J$1000)</f>
        <v>145.05428143635226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0.88477030607500795</v>
      </c>
      <c r="K17" s="1" cm="1">
        <f t="array" ref="K17">SUMPRODUCT(ISNUMBER(SEARCH("wnd",[2]OUT_PrimaryEnergyCons!$C$1:$C$1000))*1,[2]OUT_PrimaryEnergyCons!I$1:I$1000)</f>
        <v>0.88546719074306268</v>
      </c>
      <c r="L17" s="1" cm="1">
        <f t="array" ref="L17">SUMPRODUCT(ISNUMBER(SEARCH("wnd",[2]OUT_PrimaryEnergyCons!$C$1:$C$1000))*1,[2]OUT_PrimaryEnergyCons!J$1:J$1000)</f>
        <v>0.88547365480753637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67.217327730274206</v>
      </c>
      <c r="K18" s="1">
        <f>[2]Overview!G$9-K19</f>
        <v>85.553968870607889</v>
      </c>
      <c r="L18" s="1">
        <f>[2]Overview!H$9-L19</f>
        <v>93.196758815286657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1.2818943556358004E-2</v>
      </c>
      <c r="L19" s="1">
        <f>+[2]Overview!H$28</f>
        <v>8.0190479432808243E-2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405.00251165438942</v>
      </c>
      <c r="K20" s="3">
        <f t="shared" si="13"/>
        <v>298.12960342206742</v>
      </c>
      <c r="L20" s="3">
        <f t="shared" ref="L20" si="14">SUM(L21:L22,L41,L50:L51,L56)</f>
        <v>225.04177324801469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4.7033616135004497E-3</v>
      </c>
      <c r="K21" s="1" cm="1">
        <f t="array" ref="K21">SUMPRODUCT(("COA"=[2]OUT_PrimaryEnergyCons!$C$4:$C$10000)*1,[2]OUT_PrimaryEnergyCons!I$4:I$10000)</f>
        <v>4.8860443967901294E-4</v>
      </c>
      <c r="L21" s="1" cm="1">
        <f t="array" ref="L21">SUMPRODUCT(("COA"=[2]OUT_PrimaryEnergyCons!$C$4:$C$10000)*1,[2]OUT_PrimaryEnergyCons!J$4:J$10000)</f>
        <v>0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107.02120679912682</v>
      </c>
      <c r="K22" s="1">
        <f t="shared" si="15"/>
        <v>66.616378991093086</v>
      </c>
      <c r="L22" s="1">
        <f t="shared" ref="L22" si="16">L23+L29</f>
        <v>78.618845398392267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86.02569213574607</v>
      </c>
      <c r="K23" s="1">
        <f t="shared" si="20"/>
        <v>34.113661955487125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33.484945805526429</v>
      </c>
      <c r="K24" s="1" cm="1">
        <f t="array" ref="K24">SUMPRODUCT(("LFO"=[2]OUT_PrimaryEnergyCons!$C$4:$C$10000)*1,[2]OUT_PrimaryEnergyCons!I$4:I$10000)</f>
        <v>15.097295577602839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6.6085858145498869E-3</v>
      </c>
      <c r="K25" s="1" cm="1">
        <f t="array" ref="K25">SUMPRODUCT(("HFO"=[2]OUT_PrimaryEnergyCons!$C$4:$C$10000)*1,[2]OUT_PrimaryEnergyCons!I$4:I$10000)</f>
        <v>4.9804572070256947E-4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32.556474139922429</v>
      </c>
      <c r="K26" s="1" cm="1">
        <f t="array" ref="K26">SUMPRODUCT(("DSL"=[2]OUT_PrimaryEnergyCons!$C$4:$C$10000)*1,[2]OUT_PrimaryEnergyCons!I$4:I$10000)</f>
        <v>14.675985259094745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17.391934668126066</v>
      </c>
      <c r="K27" s="1" cm="1">
        <f t="array" ref="K27">SUMPRODUCT(("GSL"=[2]OUT_PrimaryEnergyCons!$C$4:$C$10000)*1,[2]OUT_PrimaryEnergyCons!I$4:I$10000)</f>
        <v>2.197482656380354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2.5857289363565883</v>
      </c>
      <c r="K28" s="1" cm="1">
        <f t="array" ref="K28">SUMPRODUCT(("KER"=[2]OUT_PrimaryEnergyCons!$C$4:$C$10000)*1,[2]OUT_PrimaryEnergyCons!I$4:I$10000)</f>
        <v>2.1424004166884867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20.995514663380742</v>
      </c>
      <c r="K29" s="1">
        <f t="shared" si="25"/>
        <v>32.502717035605954</v>
      </c>
      <c r="L29" s="1">
        <f t="shared" ref="L29" si="26">SUM(L30:L32)</f>
        <v>78.618845398392267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3.0618746117144724</v>
      </c>
      <c r="K30" s="1" cm="1">
        <f t="array" ref="K30">SUMPRODUCT(ISNUMBER(SEARCH("IMPBDS",[2]OUT_SyntheticFuels!$C$4:$C$1000))*1,("Var_Fout"=[2]OUT_SyntheticFuels!$B$4:$B$1000)*1,[2]OUT_SyntheticFuels!J$4:J$1000)-K32</f>
        <v>3.0616603159168747</v>
      </c>
      <c r="L30" s="1" cm="1">
        <f t="array" ref="L30">SUMPRODUCT(ISNUMBER(SEARCH("IMPBDS",[2]OUT_SyntheticFuels!$C$4:$C$1000))*1,("Var_Fout"=[2]OUT_SyntheticFuels!$B$4:$B$1000)*1,[2]OUT_SyntheticFuels!K$4:K$1000)-L32</f>
        <v>2.6504227006156356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1.4621749200675467</v>
      </c>
      <c r="K31" s="1" cm="1">
        <f t="array" ref="K31">SUMPRODUCT(ISNUMBER(SEARCH("IMPeth",[2]OUT_SyntheticFuels!$C$4:$C$1000))*1,("Var_Fout"=[2]OUT_SyntheticFuels!$B$4:$B$1000)*1,[2]OUT_SyntheticFuels!J$4:J$1000)</f>
        <v>2.3886011340404369</v>
      </c>
      <c r="L31" s="1" cm="1">
        <f t="array" ref="L31">SUMPRODUCT(ISNUMBER(SEARCH("IMPeth",[2]OUT_SyntheticFuels!$C$4:$C$1000))*1,("Var_Fout"=[2]OUT_SyntheticFuels!$B$4:$B$1000)*1,[2]OUT_SyntheticFuels!K$4:K$1000)</f>
        <v>0.19058886336853201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16.471465131598723</v>
      </c>
      <c r="K32" s="1">
        <f>SUM([2]Transport_Aviation_Intl!G$12,[2]Transport!G$28)</f>
        <v>27.052455585648644</v>
      </c>
      <c r="L32" s="1">
        <f>SUM([2]Transport_Aviation_Intl!H$12,[2]Transport!H$28)</f>
        <v>75.777833834408099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9.6758532407996896</v>
      </c>
      <c r="K33" s="1">
        <f>SUM(K34:K36)</f>
        <v>21.921726581556037</v>
      </c>
      <c r="L33" s="1">
        <f>SUM(L34:L36)</f>
        <v>29.893467149632812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3.0618746117144724</v>
      </c>
      <c r="K34" s="1">
        <f>IF(K30-MAX(F30:J30)&lt;0,K30,MAX(F30:J30))</f>
        <v>3.0616603159168747</v>
      </c>
      <c r="L34" s="1">
        <f>IF(L30-MAX(G30:K30)&lt;0,L30,MAX(G30:K30))</f>
        <v>2.6504227006156356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1.4621749200675467</v>
      </c>
      <c r="K35" s="1">
        <f>IF(K31-MAX(F31:J31)&lt;0,K31,MAX(F31:J31))</f>
        <v>2.3886011340404369</v>
      </c>
      <c r="L35" s="1">
        <f>IF(L31-MAX(G31:K31)&lt;0,L31,MAX(G31:K31))</f>
        <v>0.19058886336853201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16.471465131598723</v>
      </c>
      <c r="L36" s="1">
        <f>IF(L32-MAX(H32:K32)&lt;0,L32,MAX(H32:K32))</f>
        <v>27.052455585648644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11.319661422581053</v>
      </c>
      <c r="K37" s="1">
        <f t="shared" si="29"/>
        <v>10.580990454049921</v>
      </c>
      <c r="L37" s="1">
        <f t="shared" ref="L37" si="30">SUM(L38:L40)</f>
        <v>48.725378248759455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11.319661422581053</v>
      </c>
      <c r="K40" s="1">
        <f t="shared" si="31"/>
        <v>10.580990454049921</v>
      </c>
      <c r="L40" s="1">
        <f t="shared" ref="L40" si="34">L32-L36</f>
        <v>48.725378248759455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53.75977100497623</v>
      </c>
      <c r="K41" s="1">
        <f t="shared" si="36"/>
        <v>15.838603377403521</v>
      </c>
      <c r="L41" s="1">
        <f t="shared" ref="L41" si="37">L42+L45</f>
        <v>1.2705727299778484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52.482574506209446</v>
      </c>
      <c r="K42" s="1">
        <f t="shared" si="38"/>
        <v>15.487740811150738</v>
      </c>
      <c r="L42" s="1">
        <f t="shared" ref="L42" si="39">L43+L44</f>
        <v>3.1368001581125606E-6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52.478267787207109</v>
      </c>
      <c r="K43" s="1" cm="1">
        <f t="array" ref="K43">SUMPRODUCT(("NGA"=[2]OUT_PrimaryEnergyCons!$C$4:$C$10000)*1,[2]OUT_PrimaryEnergyCons!I$4:I$10000)</f>
        <v>15.484699588984117</v>
      </c>
      <c r="L43" s="1" cm="1">
        <f t="array" ref="L43">SUMPRODUCT(("NGA"=[2]OUT_PrimaryEnergyCons!$C$4:$C$10000)*1,[2]OUT_PrimaryEnergyCons!J$4:J$10000)</f>
        <v>0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4.3067190023375343E-3</v>
      </c>
      <c r="K44" s="1" cm="1">
        <f t="array" ref="K44">SUMPRODUCT(("LNGA"=[2]OUT_PrimaryEnergyCons!$C$4:$C$10000)*1,[2]OUT_PrimaryEnergyCons!I$4:I$10000)</f>
        <v>3.0412221666212451E-3</v>
      </c>
      <c r="L44" s="1" cm="1">
        <f t="array" ref="L44">SUMPRODUCT(("LNGA"=[2]OUT_PrimaryEnergyCons!$C$4:$C$10000)*1,[2]OUT_PrimaryEnergyCons!J$4:J$10000)</f>
        <v>3.1368001581125606E-6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1.2771964987667879</v>
      </c>
      <c r="K45" s="1" cm="1">
        <f t="array" ref="K45">SUMPRODUCT(("BIO"=[2]OUT_PrimaryEnergyCons!$C$4:$C$10000)*1+("LBIO"=[2]OUT_PrimaryEnergyCons!$C$4:$C$10000)*1,[2]OUT_PrimaryEnergyCons!I$4:I$10000)</f>
        <v>0.35086256625278223</v>
      </c>
      <c r="L45" s="1" cm="1">
        <f t="array" ref="L45">SUMPRODUCT(("BIO"=[2]OUT_PrimaryEnergyCons!$C$4:$C$10000)*1+("LBIO"=[2]OUT_PrimaryEnergyCons!$C$4:$C$10000)*1,[2]OUT_PrimaryEnergyCons!J$4:J$10000)</f>
        <v>1.2705695931776904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0.35086256625278223</v>
      </c>
      <c r="L46" s="1">
        <f t="shared" si="41"/>
        <v>1.2705695931776904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0.35086256625278223</v>
      </c>
      <c r="L47" s="1">
        <f>IF(L45-MAX(H45:K45)&lt;0,L45,MAX(H45:K45))</f>
        <v>1.2705695931776904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0.74997360406971547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0.74997360406971547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190.48964512875682</v>
      </c>
      <c r="K50" s="1" cm="1">
        <f t="array" ref="K50">SUMPRODUCT(("urn"=[2]OUT_PrimaryEnergyCons!$C$4:$C$10000)*1,[2]OUT_PrimaryEnergyCons!I$4:I$10000)</f>
        <v>190.47717269139923</v>
      </c>
      <c r="L50" s="1" cm="1">
        <f t="array" ref="L50">SUMPRODUCT(("urn"=[2]OUT_PrimaryEnergyCons!$C$4:$C$10000)*1,[2]OUT_PrimaryEnergyCons!J$4:J$10000)</f>
        <v>126.803688973487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53.727185359916092</v>
      </c>
      <c r="K51" s="1">
        <f t="shared" si="46"/>
        <v>25.196956436897768</v>
      </c>
      <c r="L51" s="1">
        <f t="shared" ref="L51" si="47">SUM(L52:L55)</f>
        <v>18.348666146157601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0.81691556380549113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0.4034280982203981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3.4765219646494394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17.921579910194794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9.0070893644935381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6.7486012242959834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34.988331141078888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15.786185864923109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8.123334947078007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3.5874483691512643E-4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2.5310926072297083E-4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2.0801013416810825E-4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3.3208341670283104E-6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36.680229510434422</v>
      </c>
      <c r="K57" s="3">
        <f t="shared" si="51"/>
        <v>27.196955251539851</v>
      </c>
      <c r="L57" s="3">
        <f t="shared" si="51"/>
        <v>20.348666688615328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36.680229510434422</v>
      </c>
      <c r="K58" s="1">
        <f t="shared" si="52"/>
        <v>27.196955251539851</v>
      </c>
      <c r="L58" s="1">
        <f t="shared" ref="L58" si="53">SUM(L59:L62)</f>
        <v>20.348666688615328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3.0150684512738989E-4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3.2237456937897236E-4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2.0249173388059151E-4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8.3185356317446791E-4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2.8129579689150476E-3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2.1315447058955195E-3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1.0477325491719651E-3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2.1670895891541557E-3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5.7512870476627263E-4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36.678048417476951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27.191652829412401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20.345757523470784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286.09040424620395</v>
      </c>
      <c r="K63" s="3">
        <f t="shared" si="58"/>
        <v>354.10866068252869</v>
      </c>
      <c r="L63" s="3">
        <f t="shared" ref="L63" si="59">SUM(L64,L66,L74,L82,L130,L151,L159,L161,L169,L173,L167)</f>
        <v>363.84685992432185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62.878623788264306</v>
      </c>
      <c r="K64" s="1">
        <f t="shared" si="60"/>
        <v>62.87863323159992</v>
      </c>
      <c r="L64" s="1">
        <f t="shared" si="60"/>
        <v>40.275509391194497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62.878623788264306</v>
      </c>
      <c r="K65" s="1">
        <f>'[2]Electricity and CHPs'!G14</f>
        <v>62.87863323159992</v>
      </c>
      <c r="L65" s="1">
        <f>'[2]Electricity and CHPs'!H14</f>
        <v>40.275509391194497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149.29060843512383</v>
      </c>
      <c r="K66" s="1">
        <f t="shared" si="64"/>
        <v>151.56872467341512</v>
      </c>
      <c r="L66" s="1">
        <f t="shared" ref="L66" si="65">SUM(L67:L69)</f>
        <v>155.46369553248016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71.021496214535105</v>
      </c>
      <c r="K67" s="1">
        <f>'[2]Electricity and CHPs'!G15</f>
        <v>73.932876845571727</v>
      </c>
      <c r="L67" s="1">
        <f>'[2]Electricity and CHPs'!H15</f>
        <v>74.836059234919531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65.464910300261678</v>
      </c>
      <c r="K68" s="1">
        <f>'[2]Electricity and CHPs'!G16</f>
        <v>64.381742663864941</v>
      </c>
      <c r="L68" s="1">
        <f>'[2]Electricity and CHPs'!H16</f>
        <v>67.134923061831486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12.804201920327042</v>
      </c>
      <c r="K69" s="1">
        <f>'[2]Electricity and CHPs'!G17</f>
        <v>13.254105163978426</v>
      </c>
      <c r="L69" s="1">
        <f>'[2]Electricity and CHPs'!H17</f>
        <v>13.492713235729157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0.1715418498266775</v>
      </c>
      <c r="K70" s="1">
        <f t="shared" ref="K70:L70" si="71">SUM(K71:K73)</f>
        <v>6.5479018055298079E-3</v>
      </c>
      <c r="L70" s="1">
        <f t="shared" si="71"/>
        <v>5.4048546636766202E-5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4.8758107468018039E-3</v>
      </c>
      <c r="K71" s="1">
        <f>'[2]Electricity and CHPs'!G18</f>
        <v>6.0063361293338233E-3</v>
      </c>
      <c r="L71" s="1">
        <f>'[2]Electricity and CHPs'!H18</f>
        <v>4.4352322555899963E-5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1.0404981583056383E-3</v>
      </c>
      <c r="K72" s="1">
        <f>'[2]Electricity and CHPs'!G28</f>
        <v>5.4156567619598455E-4</v>
      </c>
      <c r="L72" s="1">
        <f>'[2]Electricity and CHPs'!H28</f>
        <v>9.6962240808662366E-6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0.16562554092157006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0.1715418498266775</v>
      </c>
      <c r="K74" s="1">
        <f t="shared" si="75"/>
        <v>6.5479018055298079E-3</v>
      </c>
      <c r="L74" s="1">
        <f t="shared" ref="L74" si="76">SUM(L75:L77)</f>
        <v>5.4048546636766202E-5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4.8758107468018039E-3</v>
      </c>
      <c r="K75" s="1">
        <f t="shared" si="77"/>
        <v>6.0063361293338233E-3</v>
      </c>
      <c r="L75" s="1">
        <f t="shared" ref="L75" si="78">L71</f>
        <v>4.4352322555899963E-5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1.0404981583056383E-3</v>
      </c>
      <c r="K76" s="1">
        <f>'[2]Electricity and CHPs'!G28</f>
        <v>5.4156567619598455E-4</v>
      </c>
      <c r="L76" s="1">
        <f>'[2]Electricity and CHPs'!H28</f>
        <v>9.6962240808662366E-6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0.16562554092157006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1.8080382358530918</v>
      </c>
      <c r="K82" s="1">
        <f t="shared" si="82"/>
        <v>1.2177091631148409</v>
      </c>
      <c r="L82" s="1">
        <f t="shared" ref="L82" si="83">SUM(L83:L97)</f>
        <v>1.8213088097298935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1.1173463836200557E-5</v>
      </c>
      <c r="L83" s="1">
        <f>'[2]Electricity and CHPs'!H21</f>
        <v>3.4672935056736282E-3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6.2650531879319879E-6</v>
      </c>
      <c r="L84" s="1">
        <f>'[2]Electricity and CHPs'!H22</f>
        <v>4.1830072391515205E-2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0.66669288793873538</v>
      </c>
      <c r="K88" s="1">
        <f>'[2]Electricity and CHPs'!G39</f>
        <v>9.5573152304553086E-2</v>
      </c>
      <c r="L88" s="1">
        <f>'[2]Electricity and CHPs'!H39</f>
        <v>0.42410732633901749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3.1484373909654809E-3</v>
      </c>
      <c r="L89" s="1">
        <f>'[2]Electricity and CHPs'!H40</f>
        <v>0.2452321489756272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3.2805945545802502E-3</v>
      </c>
      <c r="K90" s="1">
        <f>'[2]Electricity and CHPs'!G47</f>
        <v>2.2579167703431092E-3</v>
      </c>
      <c r="L90" s="1">
        <f>'[2]Electricity and CHPs'!H47</f>
        <v>6.9424630378976194E-4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6.1246294508340701E-3</v>
      </c>
      <c r="K91" s="1">
        <f>'[2]Electricity and CHPs'!G48</f>
        <v>2.2948366952809628E-3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2.0186648910602577E-2</v>
      </c>
      <c r="K93" s="1">
        <f>'[2]Electricity and CHPs'!G51</f>
        <v>7.3588040962981154E-3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1.1059795480118346</v>
      </c>
      <c r="K95" s="1">
        <f>'[2]Electricity and CHPs'!G54</f>
        <v>1.105977382138424</v>
      </c>
      <c r="L95" s="1">
        <f>'[2]Electricity and CHPs'!H54</f>
        <v>1.1059777222142702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5.7739269865047221E-3</v>
      </c>
      <c r="K96" s="1">
        <f>'[2]Electricity and CHPs'!G55</f>
        <v>1.0811952019520118E-3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0.5710668625317199</v>
      </c>
      <c r="K98" s="1">
        <f t="shared" si="88"/>
        <v>6.9341037430542762E-2</v>
      </c>
      <c r="L98" s="1">
        <f t="shared" ref="L98" si="89">L82-L114</f>
        <v>0.2623635974413292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6.9342810731561786E-6</v>
      </c>
      <c r="L99" s="1">
        <f t="shared" ref="L99" si="91">L83-L115</f>
        <v>1.2717070646165959E-3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3.88810850245399E-6</v>
      </c>
      <c r="L100" s="1">
        <f t="shared" ref="L100" si="93">L84-L116</f>
        <v>1.5342110059811228E-2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0.54229969998387262</v>
      </c>
      <c r="K104" s="1">
        <f t="shared" si="100"/>
        <v>5.9312949935916327E-2</v>
      </c>
      <c r="L104" s="1">
        <f t="shared" ref="L104" si="101">L88-L120</f>
        <v>0.15555080127437937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1.9539285337332769E-3</v>
      </c>
      <c r="L105" s="1">
        <f t="shared" ref="L105" si="103">L89-L121</f>
        <v>8.9944348758795256E-2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2.6684932071467968E-3</v>
      </c>
      <c r="K106" s="1">
        <f t="shared" si="104"/>
        <v>1.4012690920988551E-3</v>
      </c>
      <c r="L106" s="1">
        <f t="shared" ref="L106" si="105">L90-L122</f>
        <v>2.5463028372669404E-4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4.9818811236590245E-3</v>
      </c>
      <c r="K107" s="1">
        <f t="shared" si="106"/>
        <v>1.4241816947144789E-3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1.642017463504954E-2</v>
      </c>
      <c r="K109" s="1">
        <f t="shared" si="110"/>
        <v>4.5668931957071448E-3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4.696613581991642E-3</v>
      </c>
      <c r="K112" s="1">
        <f t="shared" si="116"/>
        <v>6.7099258879711071E-4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1.2369713733213719</v>
      </c>
      <c r="K114" s="1">
        <f t="shared" si="120"/>
        <v>1.1483681256842981</v>
      </c>
      <c r="L114" s="1">
        <f t="shared" ref="L114" si="121">SUM(L115:L129)</f>
        <v>1.5589452122885643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4.2391827630443789E-6</v>
      </c>
      <c r="L115" s="1">
        <f>'[2]Electricity and CHPs_IN'!R$23/SUM('[2]Electricity and CHPs_IN'!R$22:R$23)*L83</f>
        <v>2.1955864410570323E-3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2.3769446854779979E-6</v>
      </c>
      <c r="L116" s="1">
        <f>'[2]Electricity and CHPs_IN'!R$23/SUM('[2]Electricity and CHPs_IN'!R$22:R$23)*L84</f>
        <v>2.6487962331703977E-2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0.12439318795486275</v>
      </c>
      <c r="K120" s="1">
        <f>'[2]Electricity and CHPs_IN'!Q$23/SUM('[2]Electricity and CHPs_IN'!Q$22:Q$23)*K88</f>
        <v>3.6260202368636758E-2</v>
      </c>
      <c r="L120" s="1">
        <f>'[2]Electricity and CHPs_IN'!R$23/SUM('[2]Electricity and CHPs_IN'!R$22:R$23)*L88</f>
        <v>0.26855652506463812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1.1945088572322038E-3</v>
      </c>
      <c r="L121" s="1">
        <f>'[2]Electricity and CHPs_IN'!R$23/SUM('[2]Electricity and CHPs_IN'!R$22:R$23)*L89</f>
        <v>0.15528780021683194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6.1210134743345341E-4</v>
      </c>
      <c r="K122" s="1">
        <f>'[2]Electricity and CHPs_IN'!Q$23/SUM('[2]Electricity and CHPs_IN'!Q$22:Q$23)*K90</f>
        <v>8.5664767824425393E-4</v>
      </c>
      <c r="L122" s="1">
        <f>'[2]Electricity and CHPs_IN'!R$23/SUM('[2]Electricity and CHPs_IN'!R$22:R$23)*L90</f>
        <v>4.3961602006306789E-4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1.142748327175046E-3</v>
      </c>
      <c r="K123" s="1">
        <f>'[2]Electricity and CHPs_IN'!Q$23/SUM('[2]Electricity and CHPs_IN'!Q$22:Q$23)*K91</f>
        <v>8.7065500056648384E-4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3.7664742755530388E-3</v>
      </c>
      <c r="K125" s="1">
        <f>'[2]Electricity and CHPs_IN'!Q$23/SUM('[2]Electricity and CHPs_IN'!Q$22:Q$23)*K93</f>
        <v>2.7919109005909706E-3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1.1059795480118346</v>
      </c>
      <c r="K127" s="1">
        <f t="shared" si="123"/>
        <v>1.105977382138424</v>
      </c>
      <c r="L127" s="1">
        <f t="shared" ref="L127" si="124">L95</f>
        <v>1.1059777222142702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1.0773134045130798E-3</v>
      </c>
      <c r="K128" s="1">
        <f>'[2]Electricity and CHPs_IN'!Q$23/SUM('[2]Electricity and CHPs_IN'!Q$22:Q$23)*K96</f>
        <v>4.1020261315490112E-4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8.9268839760579901</v>
      </c>
      <c r="K130" s="1">
        <f t="shared" si="125"/>
        <v>10.008727678842638</v>
      </c>
      <c r="L130" s="1">
        <f t="shared" ref="L130" si="126">SUM(L131:L136)</f>
        <v>11.34640394283733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7.4918631539825533</v>
      </c>
      <c r="K131" s="1">
        <f>'[2]Electricity and CHPs'!G19</f>
        <v>5.4622476169491501</v>
      </c>
      <c r="L131" s="1">
        <f>'[2]Electricity and CHPs'!H19</f>
        <v>2.5561314129188008E-3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2.8247387845066458</v>
      </c>
      <c r="L132" s="1">
        <f>'[2]Electricity and CHPs'!H20</f>
        <v>9.3307238665491692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1.4327769770818102</v>
      </c>
      <c r="K133" s="1">
        <f>'[2]Electricity and CHPs'!G26</f>
        <v>1.0818544142105715</v>
      </c>
      <c r="L133" s="1">
        <f>'[2]Electricity and CHPs'!H26</f>
        <v>0.1972925190499612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0.47250501723595401</v>
      </c>
      <c r="L134" s="1">
        <f>'[2]Electricity and CHPs'!H27</f>
        <v>1.4943699819078125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2.2438449936263414E-3</v>
      </c>
      <c r="K135" s="1">
        <f>'[2]Electricity and CHPs'!G44</f>
        <v>7.9014243905172442E-4</v>
      </c>
      <c r="L135" s="1">
        <f>'[2]Electricity and CHPs'!H44</f>
        <v>2.1400870080227221E-4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0.16659170350126429</v>
      </c>
      <c r="L136" s="1">
        <f>'[2]Electricity and CHPs'!H45</f>
        <v>0.32124743521666799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4.4623200655321815</v>
      </c>
      <c r="K137" s="1">
        <f t="shared" si="128"/>
        <v>4.9206729164511609</v>
      </c>
      <c r="L137" s="1">
        <f t="shared" ref="L137" si="129">SUM(L138:L141)</f>
        <v>5.5124712494599306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3.7459315769912767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2.7311238084745746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1.2780657064594004E-3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1.4123693922533227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4.6653619332745846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0.71638848854090509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0.54092720710528575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9.8646259524980601E-2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0.236252508617977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0.74718499095390623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4.4645639105258077</v>
      </c>
      <c r="K144" s="1">
        <f t="shared" si="130"/>
        <v>5.0880547623914776</v>
      </c>
      <c r="L144" s="1">
        <f t="shared" ref="L144" si="131">SUM(L145:L150)</f>
        <v>5.8339326933774007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3.7459315769912767</v>
      </c>
      <c r="K145" s="1">
        <f t="shared" si="132"/>
        <v>2.7311238084745755</v>
      </c>
      <c r="L145" s="1">
        <f t="shared" ref="L145" si="133">L131-L138</f>
        <v>1.2780657064594004E-3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1.4123693922533231</v>
      </c>
      <c r="L146" s="1">
        <f t="shared" ref="L146" si="135">L132-L139</f>
        <v>4.6653619332745846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0.71638848854090509</v>
      </c>
      <c r="K147" s="1">
        <f t="shared" si="136"/>
        <v>0.54092720710528575</v>
      </c>
      <c r="L147" s="1">
        <f t="shared" ref="L147" si="137">L133-L140</f>
        <v>9.8646259524980601E-2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0.236252508617977</v>
      </c>
      <c r="L148" s="1">
        <f t="shared" ref="L148" si="139">L134-L141</f>
        <v>0.74718499095390623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2.2438449936263414E-3</v>
      </c>
      <c r="K149" s="1">
        <f t="shared" si="140"/>
        <v>7.9014243905172442E-4</v>
      </c>
      <c r="L149" s="1">
        <f t="shared" ref="L149" si="141">L135-L142</f>
        <v>2.1400870080227221E-4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0.16659170350126429</v>
      </c>
      <c r="L150" s="1">
        <f t="shared" ref="L150" si="146">L136-L143</f>
        <v>0.32124743521666799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3.870031940776832</v>
      </c>
      <c r="K151" s="1">
        <f t="shared" si="147"/>
        <v>4.5423386293148775</v>
      </c>
      <c r="L151" s="1">
        <f t="shared" ref="L151" si="148">SUM(L152:L158)</f>
        <v>5.8868343133482197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0.50274405983114179</v>
      </c>
      <c r="K152" s="1">
        <f>'[2]Electricity and CHPs'!G25</f>
        <v>0.90777540925053213</v>
      </c>
      <c r="L152" s="1">
        <f>'[2]Electricity and CHPs'!H25</f>
        <v>1.143765860249075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1.5320137475187052E-3</v>
      </c>
      <c r="L153" s="1">
        <f>'[2]Electricity and CHPs'!H31</f>
        <v>1.1266573732324852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2.7288395307241009</v>
      </c>
      <c r="K154" s="1">
        <f>'[2]Electricity and CHPs'!G42</f>
        <v>2.4096055076581235</v>
      </c>
      <c r="L154" s="1">
        <f>'[2]Electricity and CHPs'!H42</f>
        <v>2.2859621918386019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0.47689572208383213</v>
      </c>
      <c r="L155" s="1">
        <f>'[2]Electricity and CHPs'!H43</f>
        <v>1.316462075347951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4.153699286418535E-3</v>
      </c>
      <c r="K156" s="1">
        <f>'[2]Electricity and CHPs'!G50</f>
        <v>4.460085895989948E-3</v>
      </c>
      <c r="L156" s="1">
        <f>'[2]Electricity and CHPs'!H50</f>
        <v>1.6344993158134312E-3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0.63166038668238789</v>
      </c>
      <c r="K157" s="1">
        <f>'[2]Electricity and CHPs'!G53</f>
        <v>0.7408068738023621</v>
      </c>
      <c r="L157" s="1">
        <f>'[2]Electricity and CHPs'!H53</f>
        <v>1.1772837014116362E-2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2.6342642527826025E-3</v>
      </c>
      <c r="K158" s="1">
        <f>'[2]Electricity and CHPs'!G56</f>
        <v>1.2630168765188992E-3</v>
      </c>
      <c r="L158" s="1">
        <f>'[2]Electricity and CHPs'!H56</f>
        <v>5.7947635017612615E-4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0.88472525937884783</v>
      </c>
      <c r="K159" s="1">
        <f t="shared" si="149"/>
        <v>0.88543850202095753</v>
      </c>
      <c r="L159" s="1">
        <f t="shared" si="149"/>
        <v>0.88544979160450121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0.88472525937884783</v>
      </c>
      <c r="K160" s="1">
        <f>'[2]Electricity and CHPs'!G33</f>
        <v>0.88543850202095753</v>
      </c>
      <c r="L160" s="1">
        <f>'[2]Electricity and CHPs'!H33</f>
        <v>0.88544979160450121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56.710604597797392</v>
      </c>
      <c r="K161" s="1">
        <f t="shared" si="150"/>
        <v>120.12961686050367</v>
      </c>
      <c r="L161" s="1">
        <f t="shared" ref="L161" si="151">SUM(L162:L166)</f>
        <v>141.53557172324778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0.73428367781617099</v>
      </c>
      <c r="K162" s="1">
        <f>'[2]Electricity and CHPs'!G34</f>
        <v>24.968177474101111</v>
      </c>
      <c r="L162" s="1">
        <f>'[2]Electricity and CHPs'!H34</f>
        <v>36.310092655722123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20.470722599066789</v>
      </c>
      <c r="K163" s="1">
        <f>'[2]Electricity and CHPs'!G35</f>
        <v>40.847640394945373</v>
      </c>
      <c r="L163" s="1">
        <f>'[2]Electricity and CHPs'!H35</f>
        <v>45.1212184008496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11.802023711785514</v>
      </c>
      <c r="K164" s="1">
        <f>'[2]Electricity and CHPs'!G36</f>
        <v>12.452225194604756</v>
      </c>
      <c r="L164" s="1">
        <f>'[2]Electricity and CHPs'!H36</f>
        <v>13.863030780575556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4.8880153922203515</v>
      </c>
      <c r="K165" s="1">
        <f>'[2]Electricity and CHPs'!G37</f>
        <v>5.1375630725455972</v>
      </c>
      <c r="L165" s="1">
        <f>'[2]Electricity and CHPs'!H37</f>
        <v>5.6750717308289884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18.815559216908561</v>
      </c>
      <c r="K166" s="1">
        <f>'[2]Electricity and CHPs'!G38</f>
        <v>36.724010724306837</v>
      </c>
      <c r="L166" s="1">
        <f>'[2]Electricity and CHPs'!H38</f>
        <v>40.566158155271509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1.8900683626676827E-3</v>
      </c>
      <c r="L167" s="1">
        <f>'[2]Electricity and CHPs'!H32</f>
        <v>1.1995545380547704E-2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1.8900683626676827E-3</v>
      </c>
      <c r="L168" s="1">
        <f t="shared" ref="L168" si="156">L167</f>
        <v>1.1995545380547704E-2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1.3233466611658057E-2</v>
      </c>
      <c r="K169" s="1">
        <f t="shared" si="157"/>
        <v>0.31712506511381405</v>
      </c>
      <c r="L169" s="1">
        <f t="shared" ref="L169" si="158">SUM(L170:L172)</f>
        <v>0.3410769802917083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8.0806658370732684E-2</v>
      </c>
      <c r="L170" s="1">
        <f>'[2]Electricity and CHPs'!H30</f>
        <v>0.15075276230866452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8.0500074761318229E-3</v>
      </c>
      <c r="K171" s="1">
        <f>'[2]Electricity and CHPs'!G46</f>
        <v>0.21524894675827408</v>
      </c>
      <c r="L171" s="1">
        <f>'[2]Electricity and CHPs'!H46</f>
        <v>0.17979567091109055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5.1834591355262331E-3</v>
      </c>
      <c r="K172" s="1">
        <f>'[2]Electricity and CHPs'!G57</f>
        <v>2.1069459984807283E-2</v>
      </c>
      <c r="L172" s="1">
        <f>'[2]Electricity and CHPs'!H57</f>
        <v>1.0528547071953196E-2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1.5361126965133343</v>
      </c>
      <c r="K173" s="1">
        <f t="shared" si="160"/>
        <v>2.5519089084345787</v>
      </c>
      <c r="L173" s="1">
        <f t="shared" ref="L173" si="161">SUM(L174:L180)</f>
        <v>6.2789598456605518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3.1452270600619496E-2</v>
      </c>
      <c r="K174" s="1">
        <f>'[2]Electricity and CHPs'!G70</f>
        <v>1.9703984711557217E-2</v>
      </c>
      <c r="L174" s="1">
        <f>'[2]Electricity and CHPs'!H70</f>
        <v>9.4494680483546103E-2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4.8876595985109982E-2</v>
      </c>
      <c r="K175" s="1">
        <f>'[2]Electricity and CHPs'!G71</f>
        <v>0.63355848115340319</v>
      </c>
      <c r="L175" s="1">
        <f>'[2]Electricity and CHPs'!H71</f>
        <v>2.4807742745496175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4.1459896554417681E-2</v>
      </c>
      <c r="K176" s="1">
        <f>'[2]Electricity and CHPs'!G72</f>
        <v>0.43410779784764503</v>
      </c>
      <c r="L176" s="1">
        <f>'[2]Electricity and CHPs'!H72</f>
        <v>1.5427359355624388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0.23736042967985385</v>
      </c>
      <c r="K177" s="1">
        <f>'[2]Electricity and CHPs'!G73</f>
        <v>0.31236168320941493</v>
      </c>
      <c r="L177" s="1">
        <f>'[2]Electricity and CHPs'!H73</f>
        <v>0.45203487121437763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0.64621436790848086</v>
      </c>
      <c r="K178" s="1">
        <f>'[2]Electricity and CHPs'!G74</f>
        <v>0.46642858253614072</v>
      </c>
      <c r="L178" s="1">
        <f>'[2]Electricity and CHPs'!H74</f>
        <v>0.69265462621125207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0.10788488805404807</v>
      </c>
      <c r="K179" s="1">
        <f>'[2]Electricity and CHPs'!G75</f>
        <v>7.9773952729878472E-2</v>
      </c>
      <c r="L179" s="1">
        <f>'[2]Electricity and CHPs'!H75</f>
        <v>0.12137102380796069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0.42286424773080422</v>
      </c>
      <c r="K180" s="1">
        <f>'[2]Electricity and CHPs'!G76</f>
        <v>0.6059744262465393</v>
      </c>
      <c r="L180" s="1">
        <f>'[2]Electricity and CHPs'!H76</f>
        <v>0.89489443383135914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39.85387140001135</v>
      </c>
      <c r="K181" s="3">
        <f t="shared" si="162"/>
        <v>41.15426195409816</v>
      </c>
      <c r="L181" s="3">
        <f t="shared" ref="L181" si="163">SUM(L182,L233)</f>
        <v>45.259915373119341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29.227714047342495</v>
      </c>
      <c r="K182" s="1">
        <f t="shared" si="164"/>
        <v>30.933512364662342</v>
      </c>
      <c r="L182" s="1">
        <f t="shared" ref="L182" si="165">L183+L210</f>
        <v>34.67082768599721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13.664138413864814</v>
      </c>
      <c r="K183" s="1">
        <f t="shared" si="166"/>
        <v>15.482132605987326</v>
      </c>
      <c r="L183" s="1">
        <f t="shared" ref="L183" si="167">SUM(L185,L189,L190,L198,L199,L207,L209)</f>
        <v>16.42594800297001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5.3511333855718532E-3</v>
      </c>
      <c r="K184" s="1">
        <f t="shared" si="168"/>
        <v>2.7851949061507759E-3</v>
      </c>
      <c r="L184" s="1">
        <f t="shared" si="168"/>
        <v>4.9866295273026346E-5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5.3511333855718532E-3</v>
      </c>
      <c r="K185" s="1">
        <f>'[2]Electricity and CHPs'!G$94</f>
        <v>2.7851949061507759E-3</v>
      </c>
      <c r="L185" s="1">
        <f>'[2]Electricity and CHPs'!H$94</f>
        <v>4.9866295273026346E-5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5.3511333855718532E-3</v>
      </c>
      <c r="K186" s="1">
        <f t="shared" si="169"/>
        <v>2.7851949061507759E-3</v>
      </c>
      <c r="L186" s="1">
        <f t="shared" ref="L186" si="170">L185-L187</f>
        <v>4.9866295273026346E-5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12.342958326226519</v>
      </c>
      <c r="K197" s="1">
        <f t="shared" si="186"/>
        <v>13.006240434779254</v>
      </c>
      <c r="L197" s="1">
        <f t="shared" ref="L197" si="187">SUM(L198:L199)</f>
        <v>13.243643694259905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12.342958326226519</v>
      </c>
      <c r="K198" s="1">
        <f>'[2]Electricity and CHPs'!G$93-K199</f>
        <v>8.5728819887180983</v>
      </c>
      <c r="L198" s="1">
        <f>'[2]Electricity and CHPs'!H$93-L199</f>
        <v>3.5256545566806352E-3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4.4333584460611553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13.240118039703225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6.1714791631132595</v>
      </c>
      <c r="K200" s="1">
        <f t="shared" si="188"/>
        <v>6.5031202173896272</v>
      </c>
      <c r="L200" s="1">
        <f t="shared" ref="L200" si="189">SUM(L201:L202)</f>
        <v>6.6218218471299526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6.1714791631132595</v>
      </c>
      <c r="K201" s="1">
        <f t="shared" si="190"/>
        <v>4.2864409943590491</v>
      </c>
      <c r="L201" s="1">
        <f t="shared" ref="L201" si="191">L198*L140/L133</f>
        <v>1.7628272783403174E-3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2.2166792230305776</v>
      </c>
      <c r="L202" s="1">
        <f t="shared" ref="L202" si="193">L199*IFERROR(L141/L134,0)</f>
        <v>6.6200590198516123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6.1714791631132595</v>
      </c>
      <c r="K203" s="1">
        <f t="shared" si="194"/>
        <v>6.5031202173896272</v>
      </c>
      <c r="L203" s="1">
        <f t="shared" ref="L203" si="195">SUM(L204:L205)</f>
        <v>6.6218218471299526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6.1714791631132595</v>
      </c>
      <c r="K204" s="1">
        <f t="shared" si="196"/>
        <v>4.2864409943590491</v>
      </c>
      <c r="L204" s="1">
        <f t="shared" ref="L204" si="197">L198-L201</f>
        <v>1.7628272783403178E-3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2.2166792230305776</v>
      </c>
      <c r="L205" s="1">
        <f t="shared" ref="L205" si="198">L199-L202</f>
        <v>6.6200590198516123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1.3158289542527231</v>
      </c>
      <c r="K206" s="1">
        <f t="shared" si="199"/>
        <v>2.3749846054231756</v>
      </c>
      <c r="L206" s="1">
        <f t="shared" si="199"/>
        <v>2.9920188137872303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1.3158289542527231</v>
      </c>
      <c r="K207" s="1">
        <f>'[2]Electricity and CHPs'!G$92</f>
        <v>2.3749846054231756</v>
      </c>
      <c r="L207" s="1">
        <f>'[2]Electricity and CHPs'!H$92</f>
        <v>2.9920188137872303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9.8122370878746451E-2</v>
      </c>
      <c r="L208" s="1">
        <f t="shared" si="200"/>
        <v>0.1902356286276001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9.8122370878746451E-2</v>
      </c>
      <c r="L209" s="1">
        <f>'[2]Electricity and CHPs'!H$96</f>
        <v>0.1902356286276001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15.563575633477679</v>
      </c>
      <c r="K210" s="1">
        <f t="shared" si="201"/>
        <v>15.451379758675017</v>
      </c>
      <c r="L210" s="1">
        <f t="shared" ref="L210" si="202">SUM(L211,L217,L219,L225,L227,L229,L231)</f>
        <v>18.2448796830272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0.90385683899421321</v>
      </c>
      <c r="K211" s="1">
        <f t="shared" si="203"/>
        <v>0.90385433813640514</v>
      </c>
      <c r="L211" s="1">
        <f t="shared" si="203"/>
        <v>0.90385298685985327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0.90385683899421321</v>
      </c>
      <c r="K212" s="1">
        <f>'[2]Electricity and CHPs'!G$97+K216</f>
        <v>0.90385433813640514</v>
      </c>
      <c r="L212" s="1">
        <f>'[2]Electricity and CHPs'!H$97+L216</f>
        <v>0.90385298685985327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0.90385683899421321</v>
      </c>
      <c r="K215" s="1">
        <f t="shared" si="207"/>
        <v>0.90385433813640514</v>
      </c>
      <c r="L215" s="1">
        <f t="shared" si="207"/>
        <v>0.90385298685985327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0.90385683899421321</v>
      </c>
      <c r="K216" s="1">
        <f>'[2]Electricity and CHPs'!G$98</f>
        <v>0.90385433813640514</v>
      </c>
      <c r="L216" s="1">
        <f>'[2]Electricity and CHPs'!H$98</f>
        <v>0.90385298685985327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1.7118407116369272</v>
      </c>
      <c r="K217" s="1">
        <f t="shared" si="208"/>
        <v>1.6868388771856013</v>
      </c>
      <c r="L217" s="1">
        <f t="shared" si="208"/>
        <v>3.073617012960379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1.7118407116369272</v>
      </c>
      <c r="K218" s="1">
        <f>'[2]Electricity and CHPs'!G$99</f>
        <v>1.6868388771856013</v>
      </c>
      <c r="L218" s="1">
        <f>'[2]Electricity and CHPs'!H$99</f>
        <v>3.073617012960379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9.1064230973127662E-5</v>
      </c>
      <c r="K219" s="1">
        <f t="shared" si="209"/>
        <v>3.140044379463477E-4</v>
      </c>
      <c r="L219" s="1">
        <f t="shared" si="209"/>
        <v>6.0308411017564392E-6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9.1064230973127662E-5</v>
      </c>
      <c r="K220" s="1">
        <f>'[2]Electricity and CHPs'!G$100</f>
        <v>3.140044379463477E-4</v>
      </c>
      <c r="L220" s="1">
        <f>'[2]Electricity and CHPs'!H$100</f>
        <v>6.0308411017564392E-6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9.1064230973127662E-5</v>
      </c>
      <c r="K221" s="1">
        <f t="shared" si="210"/>
        <v>3.140044379463477E-4</v>
      </c>
      <c r="L221" s="1">
        <f t="shared" si="210"/>
        <v>6.0308411017564392E-6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9.1064230973127662E-5</v>
      </c>
      <c r="K222" s="1">
        <f t="shared" si="211"/>
        <v>3.140044379463477E-4</v>
      </c>
      <c r="L222" s="1">
        <f t="shared" ref="L222" si="212">L220-L224</f>
        <v>6.0308411017564392E-6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2.7433684906792566</v>
      </c>
      <c r="K225" s="1">
        <f t="shared" si="214"/>
        <v>2.1352371226919304</v>
      </c>
      <c r="L225" s="1">
        <f t="shared" si="214"/>
        <v>2.4202094847437596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2.7433684906792566</v>
      </c>
      <c r="K226" s="1">
        <f>'[2]Electricity and CHPs'!G$101</f>
        <v>2.1352371226919304</v>
      </c>
      <c r="L226" s="1">
        <f>'[2]Electricity and CHPs'!H$101</f>
        <v>2.4202094847437596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9.1463233938899233E-5</v>
      </c>
      <c r="K227" s="1">
        <f t="shared" si="215"/>
        <v>9.1325110703364116E-5</v>
      </c>
      <c r="L227" s="1">
        <f t="shared" si="215"/>
        <v>9.2453208600727895E-5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9.1463233938899233E-5</v>
      </c>
      <c r="K228" s="1">
        <f>'[2]Electricity and CHPs'!G$102</f>
        <v>9.1325110703364116E-5</v>
      </c>
      <c r="L228" s="1">
        <f>'[2]Electricity and CHPs'!H$102</f>
        <v>9.2453208600727895E-5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1.8571463445410255E-4</v>
      </c>
      <c r="L229" s="1">
        <f t="shared" si="216"/>
        <v>1.8715036144995999E-4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1.8571463445410255E-4</v>
      </c>
      <c r="L230" s="1">
        <f>'[2]Electricity and CHPs'!H$90</f>
        <v>1.8715036144995999E-4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10.204327064702369</v>
      </c>
      <c r="K231" s="1">
        <f t="shared" si="217"/>
        <v>10.724858376477977</v>
      </c>
      <c r="L231" s="1">
        <f t="shared" si="217"/>
        <v>11.846914564052057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10.204327064702369</v>
      </c>
      <c r="K232" s="1">
        <f>'[2]Electricity and CHPs'!G$123</f>
        <v>10.724858376477977</v>
      </c>
      <c r="L232" s="1">
        <f>'[2]Electricity and CHPs'!H$123</f>
        <v>11.846914564052057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10.626157352668857</v>
      </c>
      <c r="K233" s="1">
        <f t="shared" si="218"/>
        <v>10.220749589435822</v>
      </c>
      <c r="L233" s="1">
        <f t="shared" ref="L233" si="219">SUM(L234,L240,L273,L282,L288)</f>
        <v>10.589087687122127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0.8211705239078162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0.8211705239078162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0.8211705239078162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0.8211705239078162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2.3148130670838563</v>
      </c>
      <c r="K240" s="1">
        <f t="shared" si="227"/>
        <v>1.1403838614964761</v>
      </c>
      <c r="L240" s="1">
        <f t="shared" ref="L240" si="228">SUM(L241:L250)</f>
        <v>1.7460193142195113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1.0850369367577897</v>
      </c>
      <c r="K241" s="1">
        <f>'[2]Electricity and CHPs'!G$103-K242</f>
        <v>0.10824692615040589</v>
      </c>
      <c r="L241" s="1">
        <f>'[2]Electricity and CHPs'!H$103-L242</f>
        <v>0.46875020279575741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3.5659456817223895E-3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0.27104605939411541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1.5575299834819098E-3</v>
      </c>
      <c r="K243" s="1">
        <f>'[2]Electricity and CHPs'!G$107</f>
        <v>1.0150268050166287E-3</v>
      </c>
      <c r="L243" s="1">
        <f>'[2]Electricity and CHPs'!H$107</f>
        <v>2.8013447345902684E-4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1.3876353442491253E-2</v>
      </c>
      <c r="K244" s="1">
        <f>'[2]Electricity and CHPs'!G$109</f>
        <v>5.1533174911572478E-3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4.1211650453558089E-2</v>
      </c>
      <c r="K246" s="1">
        <f>'[2]Electricity and CHPs'!G$112</f>
        <v>1.4838244325322426E-2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1.1649530228627523</v>
      </c>
      <c r="K248" s="1">
        <f>'[2]Electricity and CHPs'!G$115</f>
        <v>1.0059426082399234</v>
      </c>
      <c r="L248" s="1">
        <f>'[2]Electricity and CHPs'!H$115</f>
        <v>1.0059429175561794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8.1775735837831837E-3</v>
      </c>
      <c r="K249" s="1">
        <f>'[2]Electricity and CHPs'!G$116</f>
        <v>1.6217928029280187E-3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0.93531634773018468</v>
      </c>
      <c r="K251" s="1">
        <f t="shared" si="229"/>
        <v>8.3434595714887469E-2</v>
      </c>
      <c r="L251" s="1">
        <f t="shared" ref="L251" si="230">SUM(L252:L261)</f>
        <v>0.27143949032659237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0.88258809403894667</v>
      </c>
      <c r="K252" s="1">
        <f t="shared" si="231"/>
        <v>6.7178327350933126E-2</v>
      </c>
      <c r="L252" s="1">
        <f t="shared" ref="L252" si="232">L241-L263</f>
        <v>0.17192456982957766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2.2130352781522828E-3</v>
      </c>
      <c r="L253" s="1">
        <f t="shared" ref="L253" si="233">L242-L264</f>
        <v>9.9412174943932008E-2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1.2669222336683203E-3</v>
      </c>
      <c r="K254" s="1">
        <f t="shared" si="231"/>
        <v>6.2992830745728454E-4</v>
      </c>
      <c r="L254" s="1">
        <f t="shared" ref="L254" si="234">L243-L265</f>
        <v>1.0274555308270115E-4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1.1287269513252547E-2</v>
      </c>
      <c r="K255" s="1">
        <f t="shared" si="235"/>
        <v>3.1981624021658463E-3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3.352228001997002E-2</v>
      </c>
      <c r="K257" s="1">
        <f t="shared" si="239"/>
        <v>9.2086534929832573E-3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6.6517819243471239E-3</v>
      </c>
      <c r="K260" s="1">
        <f t="shared" si="245"/>
        <v>1.0064888831956666E-3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1.3794967193536716</v>
      </c>
      <c r="K262" s="1">
        <f t="shared" si="249"/>
        <v>1.0569492657815884</v>
      </c>
      <c r="L262" s="1">
        <f t="shared" ref="L262" si="250">SUM(L263:L272)</f>
        <v>1.4745798238929189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0.202448842718843</v>
      </c>
      <c r="K263" s="1">
        <f t="shared" si="251"/>
        <v>4.1068598799472757E-2</v>
      </c>
      <c r="L263" s="1">
        <f t="shared" ref="L263" si="252">L241*IFERROR(L120/L88,0)</f>
        <v>0.29682563296617975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1.3529104035701069E-3</v>
      </c>
      <c r="L264" s="1">
        <f t="shared" ref="L264" si="253">L242*IFERROR(L121/L89,0)</f>
        <v>0.1716338844501834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2.9060774981358949E-4</v>
      </c>
      <c r="K265" s="1">
        <f t="shared" si="251"/>
        <v>3.850984975593441E-4</v>
      </c>
      <c r="L265" s="1">
        <f t="shared" ref="L265" si="254">L243*IFERROR(L122/L90,0)</f>
        <v>1.7738892037632569E-4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2.5890839292387058E-3</v>
      </c>
      <c r="K266" s="1">
        <f t="shared" si="251"/>
        <v>1.9551550889914016E-3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7.68937043358807E-3</v>
      </c>
      <c r="K268" s="1">
        <f t="shared" si="251"/>
        <v>5.6295908323391684E-3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1.1649530228627523</v>
      </c>
      <c r="K270" s="1">
        <f t="shared" si="251"/>
        <v>1.0059426082399234</v>
      </c>
      <c r="L270" s="1">
        <f t="shared" ref="L270" si="259">L248*IFERROR(L127/L95,0)</f>
        <v>1.0059429175561794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1.5257916594360601E-3</v>
      </c>
      <c r="K271" s="1">
        <f t="shared" si="251"/>
        <v>6.1530391973235211E-4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1.3241904823841312E-2</v>
      </c>
      <c r="K273" s="1">
        <f t="shared" si="262"/>
        <v>0.84779556633401976</v>
      </c>
      <c r="L273" s="1">
        <f t="shared" ref="L273" si="263">SUM(L274:L275)</f>
        <v>1.0904767132953936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1.3241904823841312E-2</v>
      </c>
      <c r="K274" s="1">
        <f>'[2]Electricity and CHPs'!G$106-K275</f>
        <v>4.0021022162658459E-3</v>
      </c>
      <c r="L274" s="1">
        <f>'[2]Electricity and CHPs'!H$106-L275</f>
        <v>7.2597043621636104E-4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0.84379346411775391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1.0897507428591773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1.3241904823841312E-2</v>
      </c>
      <c r="K279" s="1">
        <f t="shared" si="266"/>
        <v>0.84779556633401976</v>
      </c>
      <c r="L279" s="1">
        <f t="shared" ref="L279" si="267">SUM(L280:L281)</f>
        <v>1.0904767132953936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1.3241904823841312E-2</v>
      </c>
      <c r="K280" s="1">
        <f t="shared" si="268"/>
        <v>4.0021022162658459E-3</v>
      </c>
      <c r="L280" s="1">
        <f t="shared" ref="L280" si="269">L274</f>
        <v>7.2597043621636104E-4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0.84379346411775391</v>
      </c>
      <c r="L281" s="1">
        <f t="shared" ref="L281" si="271">L275</f>
        <v>1.0897507428591773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7.4679258187131659</v>
      </c>
      <c r="K282" s="1">
        <f t="shared" si="272"/>
        <v>8.0901548372636327</v>
      </c>
      <c r="L282" s="1">
        <f t="shared" ref="L282" si="273">SUM(L283:L287)</f>
        <v>7.6567430539296515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5.7725451611471499</v>
      </c>
      <c r="K283" s="1">
        <f>'[2]Electricity and CHPs'!G$105-K284</f>
        <v>5.0972424200460456</v>
      </c>
      <c r="L283" s="1">
        <f>'[2]Electricity and CHPs'!H$105-L284</f>
        <v>4.8356892519662882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1.0088178736388775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2.7848236209283654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1.0981515396653999E-2</v>
      </c>
      <c r="K285" s="1">
        <f>'[2]Electricity and CHPs'!G$110</f>
        <v>1.1542771130627464E-2</v>
      </c>
      <c r="L285" s="1">
        <f>'[2]Electricity and CHPs'!H$110</f>
        <v>4.0622479680149058E-3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1.6802788611255641</v>
      </c>
      <c r="K286" s="1">
        <f>'[2]Electricity and CHPs'!G$113</f>
        <v>1.9706192702131824</v>
      </c>
      <c r="L286" s="1">
        <f>'[2]Electricity and CHPs'!H$113</f>
        <v>3.1316906342969658E-2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4.1202810437974214E-3</v>
      </c>
      <c r="K287" s="1">
        <f>'[2]Electricity and CHPs'!G$117</f>
        <v>1.9325022349009741E-3</v>
      </c>
      <c r="L287" s="1">
        <f>'[2]Electricity and CHPs'!H$117</f>
        <v>8.5102672401236173E-4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9.0060381401762656E-3</v>
      </c>
      <c r="K288" s="1">
        <f t="shared" si="274"/>
        <v>0.1424153243416949</v>
      </c>
      <c r="L288" s="1">
        <f t="shared" ref="L288" si="275">SUM(L289:L290)</f>
        <v>9.5848605677570975E-2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5.4235908955352847E-3</v>
      </c>
      <c r="K289" s="1">
        <f>'[2]Electricity and CHPs'!G$108</f>
        <v>0.12914936805496441</v>
      </c>
      <c r="L289" s="1">
        <f>'[2]Electricity and CHPs'!H$108</f>
        <v>8.9897835455545305E-2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3.5824472446409814E-3</v>
      </c>
      <c r="K290" s="1">
        <f>'[2]Electricity and CHPs'!G$119</f>
        <v>1.3265956286730505E-2</v>
      </c>
      <c r="L290" s="1">
        <f>'[2]Electricity and CHPs'!H$119</f>
        <v>5.9507702220256654E-3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433.50983776387505</v>
      </c>
      <c r="K291" s="3">
        <f t="shared" ref="K291" si="279">SUM(K292,K294,K302,K310,K358,K379,K387,K389,K397,K401,K395)</f>
        <v>504.49864264953618</v>
      </c>
      <c r="L291" s="3">
        <f>IFERROR(SUM(L292,L294,L302,L310,L358,L379,L387,L389,L397,L401,L395),0)</f>
        <v>495.5227791791429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190.48964512875671</v>
      </c>
      <c r="K292" s="1">
        <f t="shared" si="280"/>
        <v>190.47717269139918</v>
      </c>
      <c r="L292" s="1">
        <f t="shared" si="280"/>
        <v>126.80362514190954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190.48964512875671</v>
      </c>
      <c r="K293" s="1">
        <f>'[2]Electricity and CHPs_IN'!G$14</f>
        <v>190.47717269139918</v>
      </c>
      <c r="L293" s="1">
        <f>'[2]Electricity and CHPs_IN'!H$14</f>
        <v>126.80362514190954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152.49165526419489</v>
      </c>
      <c r="K294" s="1">
        <f t="shared" si="282"/>
        <v>154.88224802703428</v>
      </c>
      <c r="L294" s="1">
        <f t="shared" ref="L294" si="283">SUM(L295:L297)</f>
        <v>158.83687089225086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71.021496214535105</v>
      </c>
      <c r="K295" s="1">
        <f>'[2]Electricity and CHPs_IN'!G$15</f>
        <v>73.932876845571727</v>
      </c>
      <c r="L295" s="1">
        <f>'[2]Electricity and CHPs_IN'!H$15</f>
        <v>74.836059234919531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65.464910300261678</v>
      </c>
      <c r="K296" s="1">
        <f>'[2]Electricity and CHPs_IN'!G$16</f>
        <v>64.381742663864941</v>
      </c>
      <c r="L296" s="1">
        <f>'[2]Electricity and CHPs_IN'!H$16</f>
        <v>67.134923061831486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16.00524874939812</v>
      </c>
      <c r="K297" s="1">
        <f>'[2]Electricity and CHPs_IN'!G$13</f>
        <v>16.567628517597601</v>
      </c>
      <c r="L297" s="1">
        <f>'[2]Electricity and CHPs_IN'!H$13</f>
        <v>16.865888595499861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0.12365283390780953</v>
      </c>
      <c r="K298" s="1">
        <f t="shared" si="284"/>
        <v>1.9847439045102448E-2</v>
      </c>
      <c r="L298" s="1">
        <f t="shared" ref="L298" si="285">SUM(L299:L301)</f>
        <v>1.6908937993649915E-4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1.6172999445526959E-2</v>
      </c>
      <c r="K299" s="1">
        <f>'[2]Electricity and CHPs_IN'!G$18</f>
        <v>1.9021565174668957E-2</v>
      </c>
      <c r="L299" s="1">
        <f>'[2]Electricity and CHPs_IN'!H$18</f>
        <v>1.5207021744875017E-4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1.7778451552782277E-3</v>
      </c>
      <c r="K300" s="1">
        <f>IFERROR(K72/SUM(K72,K185),0)*'[2]Electricity and CHPs_IN'!G$28</f>
        <v>8.2587387043349153E-4</v>
      </c>
      <c r="L300" s="1">
        <f>IFERROR(L72/SUM(L72,L185),0)*'[2]Electricity and CHPs_IN'!H$28</f>
        <v>1.7019162487748995E-5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0.10570198930700433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0.12365283390780953</v>
      </c>
      <c r="K302" s="1">
        <f t="shared" si="286"/>
        <v>1.9847439045102448E-2</v>
      </c>
      <c r="L302" s="1">
        <f t="shared" ref="L302" si="287">L298</f>
        <v>1.6908937993649915E-4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1.6172999445526959E-2</v>
      </c>
      <c r="K303" s="1">
        <f t="shared" si="288"/>
        <v>1.9021565174668957E-2</v>
      </c>
      <c r="L303" s="1">
        <f t="shared" ref="L303" si="289">L299</f>
        <v>1.5207021744875017E-4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1.7778451552782277E-3</v>
      </c>
      <c r="K304" s="1">
        <f t="shared" si="290"/>
        <v>8.2587387043349153E-4</v>
      </c>
      <c r="L304" s="1">
        <f t="shared" ref="L304" si="291">L300</f>
        <v>1.7019162487748995E-5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0.10570198930700433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2.2437371845612866</v>
      </c>
      <c r="K310" s="1">
        <f t="shared" si="294"/>
        <v>1.691714485961624</v>
      </c>
      <c r="L310" s="1">
        <f>IFERROR(SUM(L311:L325),0)</f>
        <v>3.260917361253231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2.562626864666452E-5</v>
      </c>
      <c r="L311" s="1">
        <f>'[2]Electricity and CHPs_IN'!H$21</f>
        <v>6.0863140050583225E-3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2.1454001885275219E-5</v>
      </c>
      <c r="L312" s="1">
        <f>'[2]Electricity and CHPs_IN'!H$22</f>
        <v>9.9538880308563255E-2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0.70516190069154394</v>
      </c>
      <c r="K316" s="1">
        <f>K88/SUM(K88,K241)*'[2]Electricity and CHPs_IN'!G$39</f>
        <v>0.12996470286948333</v>
      </c>
      <c r="L316" s="1">
        <f>L88/SUM(L88,L241)*'[2]Electricity and CHPs_IN'!H$39</f>
        <v>1.1713302644230827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4.8627299778952228E-3</v>
      </c>
      <c r="L317" s="1">
        <f>IFERROR(L89/SUM(L89,L242),0)*'[2]Electricity and CHPs_IN'!H$40</f>
        <v>0.48000741706227756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8.2981821947686087E-3</v>
      </c>
      <c r="K319" s="1">
        <f>K91/SUM(K91,K244)*'[2]Electricity and CHPs_IN'!G$48</f>
        <v>2.6423438767023718E-3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2.3704514091396924E-2</v>
      </c>
      <c r="K321" s="1">
        <f>IFERROR(K93/SUM(K93,K246),0)*'[2]Electricity and CHPs_IN'!G$51</f>
        <v>8.1459586824733452E-3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1.4988805983114226</v>
      </c>
      <c r="K323" s="1">
        <f>IFERROR(K95/SUM(K95,K248),0)*'[2]Electricity and CHPs_IN'!G$54</f>
        <v>1.5447359254867612</v>
      </c>
      <c r="L323" s="1">
        <f>IFERROR(L95/SUM(L95,L248),0)*'[2]Electricity and CHPs_IN'!H$54</f>
        <v>1.503954485454249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7.6919892721541662E-3</v>
      </c>
      <c r="K324" s="1">
        <f>IFERROR(K96/SUM(K96,K249),0)*'[2]Electricity and CHPs_IN'!G$55</f>
        <v>1.3157447977765213E-3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0.60587942448762377</v>
      </c>
      <c r="K326" s="1">
        <f t="shared" si="295"/>
        <v>9.1215281581575436E-2</v>
      </c>
      <c r="L326" s="1">
        <f>IFERROR(L310-L342,0)</f>
        <v>0.64440523935067517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1.5903729788470564E-5</v>
      </c>
      <c r="L327" s="1">
        <f t="shared" ref="L327" si="297">IFERROR(L99/L83,0)*L311</f>
        <v>2.2322911241988621E-3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1.331441005201376E-5</v>
      </c>
      <c r="L328" s="1">
        <f t="shared" ref="L328" si="299">IFERROR(L100/L84,0)*L312</f>
        <v>3.6508099785983586E-2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0.57359107034635493</v>
      </c>
      <c r="K332" s="1">
        <f t="shared" si="306"/>
        <v>8.0656436759245304E-2</v>
      </c>
      <c r="L332" s="1">
        <f t="shared" ref="L332" si="307">IFERROR(L104/L88,0)*L316</f>
        <v>0.429611444727308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3.0178230264048581E-3</v>
      </c>
      <c r="L333" s="1">
        <f t="shared" ref="L333" si="309">IFERROR(L105/L89,0)*L317</f>
        <v>0.17605340371318484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6.749887086013223E-3</v>
      </c>
      <c r="K335" s="1">
        <f t="shared" si="312"/>
        <v>1.6398455663877533E-3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1.9281667935250751E-2</v>
      </c>
      <c r="K337" s="1">
        <f t="shared" si="315"/>
        <v>5.055403404231616E-3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6.2567991200045492E-3</v>
      </c>
      <c r="K340" s="1">
        <f t="shared" si="321"/>
        <v>8.1655468546519127E-4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1.6378577600736628</v>
      </c>
      <c r="K342" s="1">
        <f t="shared" si="325"/>
        <v>1.6004992043800486</v>
      </c>
      <c r="L342" s="1">
        <f>IFERROR(SUM(L343:L357),0)</f>
        <v>2.6165121219025558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9.7225388581939559E-6</v>
      </c>
      <c r="L343" s="1">
        <f t="shared" ref="L343" si="327">L311-L327</f>
        <v>3.8540228808594604E-3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8.1395918332614582E-6</v>
      </c>
      <c r="L344" s="1">
        <f t="shared" ref="L344" si="329">L312-L328</f>
        <v>6.3030780522579669E-2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0.13157083034518902</v>
      </c>
      <c r="K348" s="1">
        <f t="shared" si="336"/>
        <v>4.930826611023803E-2</v>
      </c>
      <c r="L348" s="1">
        <f t="shared" ref="L348" si="337">L316-L332</f>
        <v>0.74171881969577469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1.8449069514903647E-3</v>
      </c>
      <c r="L349" s="1">
        <f t="shared" ref="L349" si="339">L317-L333</f>
        <v>0.30395401334909272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1.5482951087553857E-3</v>
      </c>
      <c r="K351" s="1">
        <f t="shared" si="342"/>
        <v>1.0024983103146185E-3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4.4228461561461735E-3</v>
      </c>
      <c r="K353" s="1">
        <f t="shared" si="345"/>
        <v>3.0905552782417292E-3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1.4988805983114226</v>
      </c>
      <c r="K355" s="1">
        <f t="shared" si="349"/>
        <v>1.5447359254867612</v>
      </c>
      <c r="L355" s="1">
        <f t="shared" ref="L355" si="350">L323-L339</f>
        <v>1.503954485454249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1.4351901521496169E-3</v>
      </c>
      <c r="K356" s="1">
        <f t="shared" si="351"/>
        <v>4.9919011231132999E-4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25.17357164479133</v>
      </c>
      <c r="K358" s="1">
        <f t="shared" si="356"/>
        <v>28.964166217452807</v>
      </c>
      <c r="L358" s="1">
        <f t="shared" ref="L358" si="357">SUM(L359:L364)</f>
        <v>48.094941728896558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20.958784198136431</v>
      </c>
      <c r="K359" s="1">
        <f>'[2]Electricity and CHPs_IN'!G$19</f>
        <v>15.28085426648048</v>
      </c>
      <c r="L359" s="1">
        <f>'[2]Electricity and CHPs_IN'!H$19</f>
        <v>7.150878968866908E-3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8.4394023027255365</v>
      </c>
      <c r="L360" s="1">
        <f>'[2]Electricity and CHPs_IN'!H$20</f>
        <v>27.330562011110704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4.2095411433540795</v>
      </c>
      <c r="K361" s="1">
        <f>IFERROR(K133/SUM(K133,K198),0)*'[2]Electricity and CHPs_IN'!G$26</f>
        <v>3.8060086732809841</v>
      </c>
      <c r="L361" s="1">
        <f>IFERROR(L133/SUM(L133,L198),0)*'[2]Electricity and CHPs_IN'!H$26</f>
        <v>16.63847288241212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0.94333171647442171</v>
      </c>
      <c r="L362" s="1">
        <f>IFERROR(L134/SUM(L134,L199),0)*'[2]Electricity and CHPs_IN'!H$27</f>
        <v>2.8066448461945215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5.2463033008185028E-3</v>
      </c>
      <c r="K363" s="1">
        <f>IFERROR(K135/SUM(K135,K274),0)*'[2]Electricity and CHPs_IN'!G$44</f>
        <v>2.1021888308749388E-3</v>
      </c>
      <c r="L363" s="1">
        <f>IFERROR(L135/SUM(L135,L274),0)*'[2]Electricity and CHPs_IN'!H$44</f>
        <v>7.8622088339698893E-4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0.49246706966051157</v>
      </c>
      <c r="L364" s="1">
        <f>IFERROR(L136/SUM(L136,L275),0)*'[2]Electricity and CHPs_IN'!H$45</f>
        <v>1.3113248893269485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12.584162670745256</v>
      </c>
      <c r="K365" s="1">
        <f t="shared" si="358"/>
        <v>14.234798479480711</v>
      </c>
      <c r="L365" s="1">
        <f t="shared" ref="L365" si="359">SUM(L366:L369)</f>
        <v>23.391415309343106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10.479392099068216</v>
      </c>
      <c r="K366" s="1">
        <f t="shared" si="360"/>
        <v>7.6404271332402391</v>
      </c>
      <c r="L366" s="1">
        <f t="shared" ref="L366" si="361">L359*IFERROR(L138/L131,0)</f>
        <v>3.575439484433454E-3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4.2197011513627674</v>
      </c>
      <c r="L367" s="1">
        <f t="shared" ref="L367" si="363">L360*IFERROR(L139/L132,0)</f>
        <v>13.665281005555352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2.1047705716770397</v>
      </c>
      <c r="K368" s="1">
        <f t="shared" si="364"/>
        <v>1.9030043366404921</v>
      </c>
      <c r="L368" s="1">
        <f t="shared" ref="L368" si="365">L361*IFERROR(L140/L133,0)</f>
        <v>8.3192364412060602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0.47166585823721086</v>
      </c>
      <c r="L369" s="1">
        <f t="shared" ref="L369" si="367">L362*IFERROR(L141/L134,0)</f>
        <v>1.4033224230972607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12.589408974046075</v>
      </c>
      <c r="K372" s="1">
        <f t="shared" si="372"/>
        <v>14.729367737972099</v>
      </c>
      <c r="L372" s="1">
        <f t="shared" ref="L372" si="373">SUM(L373:L378)</f>
        <v>24.703526419553452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10.479392099068216</v>
      </c>
      <c r="K373" s="1">
        <f t="shared" si="374"/>
        <v>7.6404271332402409</v>
      </c>
      <c r="L373" s="1">
        <f t="shared" ref="L373" si="375">L366*IFERROR(L145/L138,0)</f>
        <v>3.575439484433454E-3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4.2197011513627682</v>
      </c>
      <c r="L374" s="1">
        <f t="shared" ref="L374" si="377">L367*IFERROR(L146/L139,0)</f>
        <v>13.665281005555352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2.1047705716770397</v>
      </c>
      <c r="K375" s="1">
        <f t="shared" si="378"/>
        <v>1.9030043366404921</v>
      </c>
      <c r="L375" s="1">
        <f t="shared" ref="L375" si="379">L368*IFERROR(L147/L140,0)</f>
        <v>8.3192364412060602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0.47166585823721086</v>
      </c>
      <c r="L376" s="1">
        <f t="shared" ref="L376" si="381">L369*IFERROR(L148/L141,0)</f>
        <v>1.4033224230972607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5.2463033008185028E-3</v>
      </c>
      <c r="K377" s="1">
        <f t="shared" si="382"/>
        <v>2.1021888308749388E-3</v>
      </c>
      <c r="L377" s="1">
        <f t="shared" ref="L377" si="383">L363</f>
        <v>7.8622088339698893E-4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0.49246706966051157</v>
      </c>
      <c r="L378" s="1">
        <f t="shared" ref="L378" si="385">L364</f>
        <v>1.3113248893269485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3.6652662130791556</v>
      </c>
      <c r="K379" s="1">
        <f t="shared" si="386"/>
        <v>4.2291142937461714</v>
      </c>
      <c r="L379" s="1">
        <f t="shared" ref="L379" si="387">SUM(L380:L386)</f>
        <v>8.6240120182979112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0.47843411276372277</v>
      </c>
      <c r="K380" s="1">
        <f>IFERROR(K152/SUM(K152,K207),0)*'[2]Electricity and CHPs_IN'!G$25</f>
        <v>0.81978543958172112</v>
      </c>
      <c r="L380" s="1">
        <f>IFERROR(L152/SUM(L152,L207),0)*'[2]Electricity and CHPs_IN'!H$25</f>
        <v>1.0330165796024466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6.9844831462968831E-3</v>
      </c>
      <c r="L381" s="1">
        <f>'[2]Electricity and CHPs_IN'!H$31</f>
        <v>4.3691979282171793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2.5340673384230881</v>
      </c>
      <c r="K382" s="1">
        <f>IFERROR(K154/SUM(K154,K283),0)*'[2]Electricity and CHPs_IN'!G$42</f>
        <v>2.1922668969174861</v>
      </c>
      <c r="L382" s="1">
        <f>IFERROR(L154/SUM(L154,L283),0)*'[2]Electricity and CHPs_IN'!H$42</f>
        <v>1.9963149831687241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0.46407357146712591</v>
      </c>
      <c r="L383" s="1">
        <f>IFERROR(L155/SUM(L155,L284),0)*'[2]Electricity and CHPs_IN'!H$43</f>
        <v>1.2108916726724537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5.3372090605401639E-3</v>
      </c>
      <c r="K384" s="1">
        <f>IFERROR(K156/SUM(K285,K156),0)*'[2]Electricity and CHPs_IN'!G$50</f>
        <v>5.2128371033303388E-3</v>
      </c>
      <c r="L384" s="1">
        <f>IFERROR(L156/SUM(L285,L156),0)*'[2]Electricity and CHPs_IN'!H$50</f>
        <v>2.1107074979414085E-3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0.6438576794898343</v>
      </c>
      <c r="K385" s="1">
        <f>IFERROR(K157/SUM(K286,K157),0)*'[2]Electricity and CHPs_IN'!G$53</f>
        <v>0.73908423556250813</v>
      </c>
      <c r="L385" s="1">
        <f>IFERROR(L157/SUM(L286,L157),0)*'[2]Electricity and CHPs_IN'!H$53</f>
        <v>1.1593049839093312E-2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3.5698733419701548E-3</v>
      </c>
      <c r="K386" s="1">
        <f>IFERROR(K158/SUM(K287,K158),0)*'[2]Electricity and CHPs_IN'!G$56</f>
        <v>1.7068299677026702E-3</v>
      </c>
      <c r="L386" s="1">
        <f>IFERROR(L158/SUM(L287,L158),0)*'[2]Electricity and CHPs_IN'!H$56</f>
        <v>8.8709730007172462E-4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0.88472525937884783</v>
      </c>
      <c r="K387" s="1">
        <f t="shared" si="388"/>
        <v>0.88543850202095753</v>
      </c>
      <c r="L387" s="1">
        <f t="shared" si="388"/>
        <v>0.88544979160450121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0.88472525937884783</v>
      </c>
      <c r="K388" s="1">
        <f>'[2]Electricity and CHPs_IN'!G$33</f>
        <v>0.88543850202095753</v>
      </c>
      <c r="L388" s="1">
        <f>'[2]Electricity and CHPs_IN'!H$33</f>
        <v>0.88544979160450121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56.710604597797392</v>
      </c>
      <c r="K389" s="1">
        <f t="shared" si="389"/>
        <v>120.12961686050367</v>
      </c>
      <c r="L389" s="1">
        <f t="shared" ref="L389" si="390">SUM(L390:L394)</f>
        <v>141.53557172324778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0.73428367781617099</v>
      </c>
      <c r="K390" s="1">
        <f>'[2]Electricity and CHPs_IN'!G34</f>
        <v>24.968177474101111</v>
      </c>
      <c r="L390" s="1">
        <f>'[2]Electricity and CHPs_IN'!H34</f>
        <v>36.310092655722123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20.470722599066789</v>
      </c>
      <c r="K391" s="1">
        <f>'[2]Electricity and CHPs_IN'!G35</f>
        <v>40.847640394945373</v>
      </c>
      <c r="L391" s="1">
        <f>'[2]Electricity and CHPs_IN'!H35</f>
        <v>45.1212184008496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11.802023711785514</v>
      </c>
      <c r="K392" s="1">
        <f>'[2]Electricity and CHPs_IN'!G36</f>
        <v>12.452225194604756</v>
      </c>
      <c r="L392" s="1">
        <f>'[2]Electricity and CHPs_IN'!H36</f>
        <v>13.863030780575556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4.8880153922203515</v>
      </c>
      <c r="K393" s="1">
        <f>'[2]Electricity and CHPs_IN'!G37</f>
        <v>5.1375630725455972</v>
      </c>
      <c r="L393" s="1">
        <f>'[2]Electricity and CHPs_IN'!H37</f>
        <v>5.6750717308289884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18.815559216908561</v>
      </c>
      <c r="K394" s="1">
        <f>'[2]Electricity and CHPs_IN'!G38</f>
        <v>36.724010724306837</v>
      </c>
      <c r="L394" s="1">
        <f>'[2]Electricity and CHPs_IN'!H38</f>
        <v>40.566158155271509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1.2600455751117883E-2</v>
      </c>
      <c r="L396" s="1">
        <f>'[2]Electricity and CHPs_IN'!H$32</f>
        <v>7.9970302536984755E-2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1.5244552765518869E-2</v>
      </c>
      <c r="K397" s="1">
        <f t="shared" ref="K397:L397" si="396">SUM(K398:K400)</f>
        <v>0.35543252399475855</v>
      </c>
      <c r="L397" s="1">
        <f t="shared" si="396"/>
        <v>0.37015857637547456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8.6888879968529925E-2</v>
      </c>
      <c r="L398" s="1">
        <f>IFERROR(L170/SUM(L170,L209),0)*'[2]Electricity and CHPs_IN'!H$30</f>
        <v>0.15868711821964712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9.204976309142892E-3</v>
      </c>
      <c r="K399" s="1">
        <f>IFERROR(K171/SUM(K171,K289),0)*'[2]Electricity and CHPs_IN'!G$46</f>
        <v>0.24460107586167493</v>
      </c>
      <c r="L399" s="1">
        <f>IFERROR(L171/SUM(L171,L289),0)*'[2]Electricity and CHPs_IN'!H$46</f>
        <v>0.19977296767898922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6.0395764563759757E-3</v>
      </c>
      <c r="K400" s="1">
        <f>IFERROR(K172/SUM(K172,K290),0)*'[2]Electricity and CHPs_IN'!G$57</f>
        <v>2.3942568164553722E-2</v>
      </c>
      <c r="L400" s="1">
        <f>IFERROR(L172/SUM(L172,L290),0)*'[2]Electricity and CHPs_IN'!H$57</f>
        <v>1.1698490476838243E-2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1.7117350846421737</v>
      </c>
      <c r="K401" s="1">
        <f t="shared" si="397"/>
        <v>2.8638916083775516</v>
      </c>
      <c r="L401" s="1">
        <f t="shared" ref="L401" si="398">SUM(L402:L408)</f>
        <v>7.111062855927079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4.4936130815192585E-2</v>
      </c>
      <c r="K402" s="1">
        <f>'[2]Electricity and CHPs_IN'!G63</f>
        <v>2.8153299934809948E-2</v>
      </c>
      <c r="L402" s="1">
        <f>'[2]Electricity and CHPs_IN'!H63</f>
        <v>0.13499557266679754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5.6374723243034025E-2</v>
      </c>
      <c r="K403" s="1">
        <f>'[2]Electricity and CHPs_IN'!G64</f>
        <v>0.73071770584135132</v>
      </c>
      <c r="L403" s="1">
        <f>'[2]Electricity and CHPs_IN'!H64</f>
        <v>2.8612023666225617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4.6364980186064303E-2</v>
      </c>
      <c r="K404" s="1">
        <f>'[2]Electricity and CHPs_IN'!G65</f>
        <v>0.48543340747186065</v>
      </c>
      <c r="L404" s="1">
        <f>'[2]Electricity and CHPs_IN'!H65</f>
        <v>1.7251354402875847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0.26248991020368279</v>
      </c>
      <c r="K405" s="1">
        <f>'[2]Electricity and CHPs_IN'!G66</f>
        <v>0.34543070003025939</v>
      </c>
      <c r="L405" s="1">
        <f>'[2]Electricity and CHPs_IN'!H66</f>
        <v>0.49989036164059147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0.71462845431601796</v>
      </c>
      <c r="K406" s="1">
        <f>'[2]Electricity and CHPs_IN'!G67</f>
        <v>0.5158087711170376</v>
      </c>
      <c r="L406" s="1">
        <f>'[2]Electricity and CHPs_IN'!H67</f>
        <v>0.76598418883756192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0.11930883370125789</v>
      </c>
      <c r="K407" s="1">
        <f>'[2]Electricity and CHPs_IN'!G68</f>
        <v>8.8221027664004248E-2</v>
      </c>
      <c r="L407" s="1">
        <f>'[2]Electricity and CHPs_IN'!H68</f>
        <v>0.13422176420101375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0.46763205217692422</v>
      </c>
      <c r="K408" s="1">
        <f>'[2]Electricity and CHPs_IN'!G69</f>
        <v>0.67012669631822885</v>
      </c>
      <c r="L408" s="1">
        <f>'[2]Electricity and CHPs_IN'!H69</f>
        <v>0.98963316167096815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58.538331470335699</v>
      </c>
      <c r="K409" s="3">
        <f t="shared" si="400"/>
        <v>63.45079138732639</v>
      </c>
      <c r="L409" s="3">
        <f>IFERROR(L410+L463,0)</f>
        <v>53.99243580210041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48.075441022909231</v>
      </c>
      <c r="K410" s="1">
        <f t="shared" si="401"/>
        <v>51.108099868194508</v>
      </c>
      <c r="L410" s="1">
        <f t="shared" ref="L410" si="402">L411+L440</f>
        <v>38.108658487818573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37.525322576320413</v>
      </c>
      <c r="K411" s="1">
        <f t="shared" si="403"/>
        <v>41.265258438858623</v>
      </c>
      <c r="L411" s="1">
        <f t="shared" ref="L411" si="404">SUM(L412,L418,L427,L436,L438)</f>
        <v>28.06684727844673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9.1432036557165981E-3</v>
      </c>
      <c r="K412" s="1">
        <f t="shared" si="405"/>
        <v>4.2473513336579536E-3</v>
      </c>
      <c r="L412" s="1">
        <f t="shared" si="405"/>
        <v>8.7527121365566228E-5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9.1432036557165981E-3</v>
      </c>
      <c r="K413" s="1">
        <f>'[2]Electricity and CHPs_IN'!G$28-K300</f>
        <v>4.2473513336579536E-3</v>
      </c>
      <c r="L413" s="1">
        <f>'[2]Electricity and CHPs_IN'!H$28-L300</f>
        <v>8.7527121365566228E-5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9.1432036557165981E-3</v>
      </c>
      <c r="K414" s="1">
        <f t="shared" si="406"/>
        <v>4.2473513336579536E-3</v>
      </c>
      <c r="L414" s="1">
        <f t="shared" si="406"/>
        <v>8.7527121365566228E-5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9.1432036557165981E-3</v>
      </c>
      <c r="K415" s="1">
        <f t="shared" si="407"/>
        <v>4.2473513336579536E-3</v>
      </c>
      <c r="L415" s="1">
        <f t="shared" ref="L415" si="408">L413-L417</f>
        <v>8.7527121365566228E-5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36.263976694251816</v>
      </c>
      <c r="K427" s="1">
        <f t="shared" si="426"/>
        <v>39.010723980879334</v>
      </c>
      <c r="L427" s="1">
        <f t="shared" ref="L427" si="427">SUM(L428:L429)</f>
        <v>25.16420598839747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36.263976694251816</v>
      </c>
      <c r="K428" s="1">
        <f>'[2]Electricity and CHPs_IN'!G$26-K361</f>
        <v>30.159754191957873</v>
      </c>
      <c r="L428" s="1">
        <f>'[2]Electricity and CHPs_IN'!H$26-L361</f>
        <v>0.29733265111399731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8.8509697889214642</v>
      </c>
      <c r="L429" s="1">
        <f>'[2]Electricity and CHPs_IN'!H$27-L362</f>
        <v>24.866873337283472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18.131988347125908</v>
      </c>
      <c r="K430" s="1">
        <f t="shared" si="428"/>
        <v>19.505361990439667</v>
      </c>
      <c r="L430" s="1">
        <f t="shared" ref="L430" si="429">SUM(L431:L432)</f>
        <v>12.582102994198735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18.131988347125908</v>
      </c>
      <c r="K431" s="1">
        <f t="shared" si="430"/>
        <v>15.079877095978937</v>
      </c>
      <c r="L431" s="1">
        <f t="shared" ref="L431" si="431">IFERROR(L368/L361,0)*L428</f>
        <v>0.14866632555699866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4.4254848944607321</v>
      </c>
      <c r="L432" s="1">
        <f t="shared" ref="L432" si="433">IFERROR(L369/L362,0)*L429</f>
        <v>12.433436668641736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18.131988347125908</v>
      </c>
      <c r="K433" s="1">
        <f t="shared" si="434"/>
        <v>19.505361990439667</v>
      </c>
      <c r="L433" s="1">
        <f t="shared" ref="L433" si="435">SUM(L434:L435)</f>
        <v>12.582102994198735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18.131988347125908</v>
      </c>
      <c r="K434" s="1">
        <f t="shared" si="436"/>
        <v>15.079877095978937</v>
      </c>
      <c r="L434" s="1">
        <f t="shared" ref="L434" si="437">L428-L431</f>
        <v>0.14866632555699866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4.4254848944607321</v>
      </c>
      <c r="L435" s="1">
        <f t="shared" ref="L435" si="439">L429-L432</f>
        <v>12.433436668641736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1.2522026784128757</v>
      </c>
      <c r="K436" s="1">
        <f t="shared" si="440"/>
        <v>2.1447791809695547</v>
      </c>
      <c r="L436" s="1">
        <f t="shared" si="440"/>
        <v>2.7023057327935787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1.2522026784128757</v>
      </c>
      <c r="K437" s="1">
        <f>'[2]Electricity and CHPs_IN'!G$25-K380</f>
        <v>2.1447791809695547</v>
      </c>
      <c r="L437" s="1">
        <f>'[2]Electricity and CHPs_IN'!H$25-L380</f>
        <v>2.7023057327935787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0.10550792567607162</v>
      </c>
      <c r="L438" s="1">
        <f t="shared" si="441"/>
        <v>0.20024803013431627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0.10550792567607162</v>
      </c>
      <c r="L439" s="1">
        <f>'[2]Electricity and CHPs_IN'!H$30-L398</f>
        <v>0.20024803013431627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10.55011844658882</v>
      </c>
      <c r="K440" s="1">
        <f t="shared" si="442"/>
        <v>9.8428414293358841</v>
      </c>
      <c r="L440" s="1">
        <f t="shared" ref="L440" si="443">SUM(L441,L447,L449,L455,L457,L459,L461)</f>
        <v>10.041811209371847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2.3733683897687934</v>
      </c>
      <c r="K441" s="1">
        <f t="shared" si="444"/>
        <v>2.3733618229579752</v>
      </c>
      <c r="L441" s="1">
        <f t="shared" si="444"/>
        <v>2.3733582747444544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2.3733683897687934</v>
      </c>
      <c r="K442" s="1">
        <f t="shared" si="445"/>
        <v>2.3733618229579752</v>
      </c>
      <c r="L442" s="1">
        <f t="shared" ref="L442" si="446">SUM(L444:L446)</f>
        <v>2.3733582747444544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1.1866841948843967</v>
      </c>
      <c r="K445" s="1">
        <f t="shared" si="448"/>
        <v>1.1866809114789876</v>
      </c>
      <c r="L445" s="1">
        <f t="shared" si="448"/>
        <v>1.1866791373722272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1.1866841948843967</v>
      </c>
      <c r="K446" s="1">
        <f>'[2]Electricity and CHPs_IN'!G$91</f>
        <v>1.1866809114789876</v>
      </c>
      <c r="L446" s="1">
        <f>'[2]Electricity and CHPs_IN'!H$91</f>
        <v>1.1866791373722272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0.8559203558184636</v>
      </c>
      <c r="K447" s="1">
        <f t="shared" si="449"/>
        <v>0.84341943859280066</v>
      </c>
      <c r="L447" s="1">
        <f t="shared" si="449"/>
        <v>0.26162715078690235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0.8559203558184636</v>
      </c>
      <c r="K448" s="1">
        <f>'[2]Electricity and CHPs_IN'!G$92</f>
        <v>0.84341943859280066</v>
      </c>
      <c r="L448" s="1">
        <f>'[2]Electricity and CHPs_IN'!H$92</f>
        <v>0.26162715078690235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1.065758053834658E-4</v>
      </c>
      <c r="K449" s="1">
        <f t="shared" si="450"/>
        <v>3.6749089637609623E-4</v>
      </c>
      <c r="L449" s="1">
        <f t="shared" si="450"/>
        <v>7.0581142638657905E-6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1.065758053834658E-4</v>
      </c>
      <c r="K450" s="1">
        <f>'[2]Electricity and CHPs_IN'!G$93</f>
        <v>3.6749089637609623E-4</v>
      </c>
      <c r="L450" s="1">
        <f>'[2]Electricity and CHPs_IN'!H$93</f>
        <v>7.0581142638657905E-6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1.065758053834658E-4</v>
      </c>
      <c r="K451" s="1">
        <f t="shared" si="451"/>
        <v>3.6749089637609623E-4</v>
      </c>
      <c r="L451" s="1">
        <f t="shared" si="451"/>
        <v>7.0581142638657905E-6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1.065758053834658E-4</v>
      </c>
      <c r="K452" s="1">
        <f t="shared" si="452"/>
        <v>3.6749089637609623E-4</v>
      </c>
      <c r="L452" s="1">
        <f t="shared" ref="L452" si="453">L450</f>
        <v>7.0581142638657905E-6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3.9190978438275081</v>
      </c>
      <c r="K455" s="1">
        <f t="shared" si="455"/>
        <v>3.050338746702757</v>
      </c>
      <c r="L455" s="1">
        <f t="shared" si="455"/>
        <v>3.4574421210625164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3.9190978438275081</v>
      </c>
      <c r="K456" s="1">
        <f>'[2]Electricity and CHPs_IN'!G$94</f>
        <v>3.050338746702757</v>
      </c>
      <c r="L456" s="1">
        <f>'[2]Electricity and CHPs_IN'!H$94</f>
        <v>3.4574421210625164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1.8292646787779833E-4</v>
      </c>
      <c r="K457" s="1">
        <f t="shared" si="456"/>
        <v>1.8265022140672821E-4</v>
      </c>
      <c r="L457" s="1">
        <f t="shared" si="456"/>
        <v>1.8490641720145579E-4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1.8292646787779833E-4</v>
      </c>
      <c r="K458" s="1">
        <f>'[2]Electricity and CHPs_IN'!G$95</f>
        <v>1.8265022140672821E-4</v>
      </c>
      <c r="L458" s="1">
        <f>'[2]Electricity and CHPs_IN'!H$95</f>
        <v>1.8490641720145579E-4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2.1848780524012082E-4</v>
      </c>
      <c r="L459" s="1">
        <f t="shared" si="457"/>
        <v>2.2017689582348219E-4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2.1848780524012082E-4</v>
      </c>
      <c r="L460" s="1">
        <f>'[2]Electricity and CHPs_IN'!H$96</f>
        <v>2.2017689582348219E-4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3.4014423549007931</v>
      </c>
      <c r="K461" s="1">
        <f t="shared" ref="K461:L461" si="461">K462</f>
        <v>3.5749527921593285</v>
      </c>
      <c r="L461" s="1">
        <f t="shared" si="461"/>
        <v>3.9489715213506846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3.4014423549007931</v>
      </c>
      <c r="K462" s="1">
        <f>'[2]Electricity and CHPs_IN'!G$97</f>
        <v>3.5749527921593285</v>
      </c>
      <c r="L462" s="1">
        <f>'[2]Electricity and CHPs_IN'!H$97</f>
        <v>3.9489715213506846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10.462890447426465</v>
      </c>
      <c r="K463" s="1">
        <f t="shared" si="462"/>
        <v>12.342691519131883</v>
      </c>
      <c r="L463" s="1">
        <f>IFERROR(SUM(L464,L470,L503,L512,L518),0)</f>
        <v>15.883777314281838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0.5240698835117098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0.5240698835117098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0.5240698835117098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0.5240698835117098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2.804537904949937</v>
      </c>
      <c r="K470" s="1">
        <f t="shared" si="470"/>
        <v>1.5820551920732866</v>
      </c>
      <c r="L470" s="1">
        <f>IFERROR(SUM(L471:L480),0)</f>
        <v>3.1930856999245525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1.1476449239022983</v>
      </c>
      <c r="K471" s="1">
        <f>'[2]Electricity and CHPs_IN'!G$39-K316</f>
        <v>0.14719907478663544</v>
      </c>
      <c r="L471" s="1">
        <f>'[2]Electricity and CHPs_IN'!H$39-L316</f>
        <v>1.2946281869939367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5.507567346206629E-3</v>
      </c>
      <c r="L472" s="6">
        <f>'[2]Electricity and CHPs_IN'!H$40-L317</f>
        <v>0.53053451359515102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1.8800893995165005E-2</v>
      </c>
      <c r="K474" s="1">
        <f>'[2]Electricity and CHPs_IN'!G$48-K319</f>
        <v>5.9336844950509376E-3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4.8393477948338245E-2</v>
      </c>
      <c r="K476" s="1">
        <f>'[2]Electricity and CHPs_IN'!G$51-K321</f>
        <v>1.6425457671216746E-2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1.578804496929574</v>
      </c>
      <c r="K478" s="1">
        <f>'[2]Electricity and CHPs_IN'!G$54-K323</f>
        <v>1.405015790577512</v>
      </c>
      <c r="L478" s="1">
        <f>'[2]Electricity and CHPs_IN'!H$54-L323</f>
        <v>1.3679229993354647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1.0894112174561717E-2</v>
      </c>
      <c r="K479" s="1">
        <f>'[2]Electricity and CHPs_IN'!G$55-K324</f>
        <v>1.9736171966647825E-3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0.99703307393123963</v>
      </c>
      <c r="K481" s="1">
        <f t="shared" si="471"/>
        <v>0.10987111866041496</v>
      </c>
      <c r="L481" s="1">
        <f>IFERROR(SUM(L482:L491),0)</f>
        <v>0.66941904301317834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0.93351452997264039</v>
      </c>
      <c r="K482" s="1">
        <f t="shared" si="473"/>
        <v>9.1352133344010003E-2</v>
      </c>
      <c r="L482" s="1">
        <f t="shared" ref="L482" si="474">L471-L493</f>
        <v>0.4748337020670258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3.4180107948440955E-3</v>
      </c>
      <c r="L483" s="1">
        <f t="shared" ref="L483" si="476">L472-L494</f>
        <v>0.19458534094615249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1.5292977257533749E-2</v>
      </c>
      <c r="K485" s="1">
        <f t="shared" si="479"/>
        <v>3.6824602192567077E-3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3.9364104593495555E-2</v>
      </c>
      <c r="K487" s="1">
        <f t="shared" si="482"/>
        <v>1.0193682274106376E-2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8.8614621075699361E-3</v>
      </c>
      <c r="K490" s="1">
        <f t="shared" si="486"/>
        <v>1.2248320281977873E-3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1.8075048310186979</v>
      </c>
      <c r="K492" s="1">
        <f t="shared" si="490"/>
        <v>1.4721840734128717</v>
      </c>
      <c r="L492" s="1">
        <f>IFERROR(SUM(L493:L502),0)</f>
        <v>2.5236666569113742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0.21413039392965794</v>
      </c>
      <c r="K493" s="1">
        <f t="shared" si="492"/>
        <v>5.5846941442625433E-2</v>
      </c>
      <c r="L493" s="1">
        <f t="shared" ref="L493" si="493">IFERROR(L348/L316,0)*L471</f>
        <v>0.81979448492691087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2.0895565513625335E-3</v>
      </c>
      <c r="L494" s="1">
        <f t="shared" ref="L494" si="495">IFERROR(L349/L317,0)*L472</f>
        <v>0.33594917264899854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3.5079167376312567E-3</v>
      </c>
      <c r="K496" s="1">
        <f t="shared" si="498"/>
        <v>2.2512242757942299E-3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9.0293733548426885E-3</v>
      </c>
      <c r="K498" s="1">
        <f t="shared" si="501"/>
        <v>6.2317753971103717E-3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1.578804496929574</v>
      </c>
      <c r="K500" s="1">
        <f t="shared" si="505"/>
        <v>1.405015790577512</v>
      </c>
      <c r="L500" s="1">
        <f t="shared" ref="L500" si="506">L478</f>
        <v>1.3679229993354647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2.0326500669917806E-3</v>
      </c>
      <c r="K501" s="1">
        <f t="shared" si="507"/>
        <v>7.487851684669952E-4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3.0960716619809377E-2</v>
      </c>
      <c r="K503" s="1">
        <f t="shared" si="511"/>
        <v>2.9974796188924655</v>
      </c>
      <c r="L503" s="1">
        <f t="shared" ref="L503" si="512">SUM(L504:L505)</f>
        <v>5.7623302525327711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3.0960716619809377E-2</v>
      </c>
      <c r="K504" s="6">
        <f>'[2]Electricity and CHPs_IN'!G$44-K363</f>
        <v>1.0647668272508973E-2</v>
      </c>
      <c r="L504" s="6">
        <f>'[2]Electricity and CHPs_IN'!H$44-L363</f>
        <v>2.6670556642903773E-3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2.9868319506199565</v>
      </c>
      <c r="L505" s="1">
        <f>'[2]Electricity and CHPs_IN'!H$45</f>
        <v>5.7596631968684804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3.0960716619809377E-2</v>
      </c>
      <c r="K509" s="1">
        <f t="shared" si="515"/>
        <v>2.9974796188924655</v>
      </c>
      <c r="L509" s="1">
        <f t="shared" ref="L509" si="516">SUM(L510:L511)</f>
        <v>5.7623302525327711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3.0960716619809377E-2</v>
      </c>
      <c r="K510" s="1">
        <f t="shared" si="517"/>
        <v>1.0647668272508973E-2</v>
      </c>
      <c r="L510" s="1">
        <f t="shared" ref="L510" si="518">L504</f>
        <v>2.6670556642903773E-3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2.9868319506199565</v>
      </c>
      <c r="L511" s="1">
        <f t="shared" ref="L511" si="520">L505</f>
        <v>5.7596631968684804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7.0929460696552313</v>
      </c>
      <c r="K512" s="1">
        <f t="shared" si="521"/>
        <v>7.601321112323296</v>
      </c>
      <c r="L512" s="1">
        <f t="shared" ref="L512" si="522">SUM(L513:L517)</f>
        <v>6.8218628518149833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5.3605270620488534</v>
      </c>
      <c r="K513" s="6">
        <f>'[2]Electricity and CHPs_IN'!G$42-K382</f>
        <v>4.6374876665562343</v>
      </c>
      <c r="L513" s="6">
        <f>'[2]Electricity and CHPs_IN'!H$42-L382</f>
        <v>4.2229740028569287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0.98169409348815273</v>
      </c>
      <c r="L514" s="1">
        <f>'[2]Electricity and CHPs_IN'!H$43-L383</f>
        <v>2.5615016152686589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1.411046862856054E-2</v>
      </c>
      <c r="K515" s="1">
        <f>'[2]Electricity and CHPs_IN'!G$50-K384</f>
        <v>1.3490902872315611E-2</v>
      </c>
      <c r="L515" s="1">
        <f>'[2]Electricity and CHPs_IN'!H$50-L384</f>
        <v>5.2457759765529395E-3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1.7127248616970965</v>
      </c>
      <c r="K516" s="1">
        <f>'[2]Electricity and CHPs_IN'!G$53-K385</f>
        <v>1.9660368827771175</v>
      </c>
      <c r="L516" s="1">
        <f>'[2]Electricity and CHPs_IN'!H$53-L385</f>
        <v>3.0838654744386171E-2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5.5836772807208775E-3</v>
      </c>
      <c r="K517" s="1">
        <f>'[2]Electricity and CHPs_IN'!G$56-K386</f>
        <v>2.6115666294756839E-3</v>
      </c>
      <c r="L517" s="1">
        <f>'[2]Electricity and CHPs_IN'!H$56-L386</f>
        <v>1.3028029684572858E-3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1.0375872689778395E-2</v>
      </c>
      <c r="K518" s="1">
        <f t="shared" si="523"/>
        <v>0.16183559584283499</v>
      </c>
      <c r="L518" s="1">
        <f t="shared" ref="L518" si="524">SUM(L519:L520)</f>
        <v>0.10649851000953151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6.2017365638366833E-3</v>
      </c>
      <c r="K519" s="1">
        <f>'[2]Electricity and CHPs_IN'!G$46-K399</f>
        <v>0.14676064551700488</v>
      </c>
      <c r="L519" s="1">
        <f>'[2]Electricity and CHPs_IN'!H$46-L399</f>
        <v>9.9886483839494611E-2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4.174136125941713E-3</v>
      </c>
      <c r="K520" s="1">
        <f>'[2]Electricity and CHPs_IN'!G$57-K400</f>
        <v>1.5074950325830117E-2</v>
      </c>
      <c r="L520" s="1">
        <f>'[2]Electricity and CHPs_IN'!H$57-L400</f>
        <v>6.612026170036896E-3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0.33008945838375137</v>
      </c>
      <c r="K522" s="13">
        <f t="shared" si="525"/>
        <v>0.33011112220503441</v>
      </c>
      <c r="L522" s="13">
        <f t="shared" ref="L522" si="526">IFERROR(L65/L293,"-")</f>
        <v>0.31762111963377254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0.80000018249066862</v>
      </c>
      <c r="K525" s="13">
        <f t="shared" si="527"/>
        <v>0.8000001418368563</v>
      </c>
      <c r="L525" s="13">
        <f t="shared" ref="L525" si="530">IFERROR(L69/L297,"-")</f>
        <v>0.80000013988763508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0.30147844642079236</v>
      </c>
      <c r="K526" s="13">
        <f t="shared" si="531"/>
        <v>0.31576455849871221</v>
      </c>
      <c r="L526" s="13">
        <f t="shared" ref="L526" si="532">IFERROR(L71/L299,"-")</f>
        <v>0.29165686286236375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9.5274563488637748E-2</v>
      </c>
      <c r="K527" s="13">
        <f t="shared" si="533"/>
        <v>0.10674978034864759</v>
      </c>
      <c r="L527" s="13">
        <f t="shared" ref="L527" si="534">IFERROR(L72/(L300+L413),"-")</f>
        <v>9.2745755501655383E-2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0.26299291548266235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0.43601602676770818</v>
      </c>
      <c r="L529" s="13">
        <f t="shared" ref="L529" si="538">IFERROR(L83/L311,"-")</f>
        <v>0.56968692426844358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0.29202258960515692</v>
      </c>
      <c r="L530" s="13">
        <f t="shared" ref="L530" si="540">IFERROR(L84/L312,"-")</f>
        <v>0.42023852651190208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0.359828601173726</v>
      </c>
      <c r="K534" s="13">
        <f t="shared" si="547"/>
        <v>0.34482555084500299</v>
      </c>
      <c r="L534" s="13">
        <f t="shared" ref="L534" si="548">IFERROR(L88/SUM(L316,L471),"-'")</f>
        <v>0.17198478185847443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0.30360145833505886</v>
      </c>
      <c r="L535" s="13">
        <f t="shared" ref="L535" si="551">IFERROR(L89/SUM(L317,L472),"-")</f>
        <v>0.24267389757502339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0.226008791145034</v>
      </c>
      <c r="K537" s="13">
        <f t="shared" si="554"/>
        <v>0.26758734880582014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0.27998905849523748</v>
      </c>
      <c r="K539" s="13">
        <f t="shared" si="558"/>
        <v>0.2994863621360998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0.35935435685801748</v>
      </c>
      <c r="K541" s="13">
        <f t="shared" si="562"/>
        <v>0.37493914356089675</v>
      </c>
      <c r="L541" s="13">
        <f t="shared" ref="L541" si="563">IFERROR(L95/SUM(L323,L478),"-")</f>
        <v>0.38510616419810567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0.3106583165414154</v>
      </c>
      <c r="K542" s="13">
        <f t="shared" si="564"/>
        <v>0.32869450178457849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0.35745695376016606</v>
      </c>
      <c r="K544" s="13">
        <f t="shared" si="568"/>
        <v>0.35745695376016612</v>
      </c>
      <c r="L544" s="13">
        <f t="shared" ref="L544" si="569">IFERROR(L131/L359,"-")</f>
        <v>0.35745695376016584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0.3347083932228691</v>
      </c>
      <c r="L545" s="13">
        <f t="shared" ref="L545" si="571">IFERROR(L132/L360,"-")</f>
        <v>0.34140256108732586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3.5400356915616264E-2</v>
      </c>
      <c r="K546" s="13">
        <f t="shared" si="572"/>
        <v>3.1851320946415712E-2</v>
      </c>
      <c r="L546" s="13">
        <f t="shared" ref="L546" si="573">IFERROR(L133/SUM(L361,L428),"-")</f>
        <v>1.1649432243385233E-2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4.8242849883234767E-2</v>
      </c>
      <c r="L547" s="13">
        <f t="shared" ref="L547" si="575">IFERROR(L134/SUM(L362,L429),"-")</f>
        <v>5.4000000000000027E-2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6.1972650567355229E-2</v>
      </c>
      <c r="K548" s="13">
        <f t="shared" si="576"/>
        <v>6.1972650567355334E-2</v>
      </c>
      <c r="L548" s="13">
        <f t="shared" ref="L548" si="577">IFERROR(L135/SUM(L363,L504),"-")</f>
        <v>6.1972650567355299E-2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4.7880823847050447E-2</v>
      </c>
      <c r="L549" s="13">
        <f t="shared" ref="L549" si="579">IFERROR(L136/SUM(L364,L505),"-")</f>
        <v>4.5431760215214327E-2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0.29049657466795442</v>
      </c>
      <c r="K550" s="13">
        <f t="shared" si="580"/>
        <v>0.30620867663249879</v>
      </c>
      <c r="L550" s="13">
        <f t="shared" ref="L550" si="581">IFERROR(L152/SUM(L380,L437),"-")</f>
        <v>0.30620272217296435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0.21934532812652952</v>
      </c>
      <c r="L551" s="13">
        <f t="shared" ref="L551" si="583">IFERROR(L153/L381,"-")</f>
        <v>0.25786366096081387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0.345659243818906</v>
      </c>
      <c r="K552" s="13">
        <f t="shared" si="584"/>
        <v>0.35280997073378878</v>
      </c>
      <c r="L552" s="13">
        <f t="shared" ref="L552" si="585">IFERROR(L154/SUM(L382,L513),"-")</f>
        <v>0.36756005340401671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0.32985640337901995</v>
      </c>
      <c r="L553" s="13">
        <f t="shared" ref="L553" si="587">IFERROR(L155/SUM(L383,L514),"-")</f>
        <v>0.34897264809482426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0.21358330556591046</v>
      </c>
      <c r="K554" s="13">
        <f t="shared" si="588"/>
        <v>0.23845957556068489</v>
      </c>
      <c r="L554" s="13">
        <f t="shared" ref="L554" si="589">IFERROR(L156/SUM(L384,L515),"-")</f>
        <v>0.22218486882766761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0.26804084968067443</v>
      </c>
      <c r="K555" s="13">
        <f t="shared" si="590"/>
        <v>0.27385349542391707</v>
      </c>
      <c r="L555" s="13">
        <f t="shared" ref="L555" si="591">IFERROR(L157/SUM(L385,L516),"-")</f>
        <v>0.27745378437377327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0.28778605825945175</v>
      </c>
      <c r="K556" s="13">
        <f t="shared" si="592"/>
        <v>0.29247357163632354</v>
      </c>
      <c r="L556" s="13">
        <f t="shared" ref="L556" si="593">IFERROR(L158/SUM(L386,L517),"-")</f>
        <v>0.26461312348501115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0.15000000000000002</v>
      </c>
      <c r="L563" s="13">
        <f t="shared" ref="L563" si="595">IFERROR(L168/L396,"-")</f>
        <v>0.14999999999999988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0.42000000000000021</v>
      </c>
      <c r="L564" s="13">
        <f t="shared" ref="L564" si="597">IFERROR(L170/SUM(L398,L439),"-")</f>
        <v>0.41999999999999971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0.52249999999999963</v>
      </c>
      <c r="K565" s="13">
        <f t="shared" si="598"/>
        <v>0.55000000000000049</v>
      </c>
      <c r="L565" s="13">
        <f t="shared" ref="L565" si="599">IFERROR(L171/SUM(L399,L519),"-")</f>
        <v>0.60000000000000087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0.50750000000000062</v>
      </c>
      <c r="K566" s="13">
        <f t="shared" si="600"/>
        <v>0.54000000000000026</v>
      </c>
      <c r="L566" s="13">
        <f t="shared" ref="L566" si="601">IFERROR(L172/SUM(L400,L520),"-")</f>
        <v>0.57499999999999951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0.69993277191514913</v>
      </c>
      <c r="K567" s="13">
        <f t="shared" si="602"/>
        <v>0.69988188799119655</v>
      </c>
      <c r="L567" s="13">
        <f t="shared" ref="L567" si="603">IFERROR(L174/L402,"-")</f>
        <v>0.69998355217753949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0.86699487240763429</v>
      </c>
      <c r="K568" s="13">
        <f t="shared" si="602"/>
        <v>0.86703589647375712</v>
      </c>
      <c r="L568" s="13">
        <f t="shared" ref="L568" si="604">IFERROR(L175/L403,"-")</f>
        <v>0.86703908241135297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0.89420714487610375</v>
      </c>
      <c r="K569" s="13">
        <f t="shared" si="602"/>
        <v>0.89426848495755651</v>
      </c>
      <c r="L569" s="13">
        <f t="shared" ref="L569" si="605">IFERROR(L176/L404,"-")</f>
        <v>0.89426945823178994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0.9042649658254317</v>
      </c>
      <c r="K570" s="13">
        <f t="shared" si="602"/>
        <v>0.90426729060865862</v>
      </c>
      <c r="L570" s="13">
        <f t="shared" ref="L570" si="606">IFERROR(L177/L405,"-")</f>
        <v>0.90426802735472478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0.9042662155497051</v>
      </c>
      <c r="K571" s="13">
        <f t="shared" si="602"/>
        <v>0.90426648140558186</v>
      </c>
      <c r="L571" s="13">
        <f t="shared" ref="L571" si="607">IFERROR(L178/L406,"-")</f>
        <v>0.90426752445426728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0.90424895380492376</v>
      </c>
      <c r="K572" s="13">
        <f t="shared" si="602"/>
        <v>0.90425100276209625</v>
      </c>
      <c r="L572" s="13">
        <f t="shared" ref="L572" si="608">IFERROR(L179/L407,"-")</f>
        <v>0.90425740214673767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0.90426703165936428</v>
      </c>
      <c r="K573" s="13">
        <f t="shared" si="602"/>
        <v>0.9042684459160466</v>
      </c>
      <c r="L573" s="13">
        <f t="shared" ref="L573" si="609">IFERROR(L180/L408,"-")</f>
        <v>0.90426884272992092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0.38083293048419858</v>
      </c>
      <c r="K575" s="4">
        <f t="shared" si="610"/>
        <v>0.38083293048419847</v>
      </c>
      <c r="L575" s="4">
        <f t="shared" ref="L575" si="611">IFERROR(L212/L442,"-")</f>
        <v>0.38083293048419903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>
        <f t="shared" si="612"/>
        <v>2</v>
      </c>
      <c r="L576" s="4">
        <f t="shared" ref="L576" si="613">IFERROR(L218/L448,"-")</f>
        <v>11.748081205317515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0.85445501111132482</v>
      </c>
      <c r="K577" s="4">
        <f t="shared" si="614"/>
        <v>0.85445501111132394</v>
      </c>
      <c r="L577" s="4">
        <f t="shared" ref="L577" si="615">IFERROR(L220/L450,"-")</f>
        <v>0.85445501111132416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0.70000000000000018</v>
      </c>
      <c r="K578" s="4">
        <f t="shared" si="616"/>
        <v>0.70000000000000018</v>
      </c>
      <c r="L578" s="4">
        <f t="shared" ref="L578" si="617">IFERROR(L226/L456,"-")</f>
        <v>0.69999999999999951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0.50000000000000033</v>
      </c>
      <c r="K579">
        <f t="shared" si="618"/>
        <v>0.50000000000000011</v>
      </c>
      <c r="L579">
        <f t="shared" ref="L579" si="619">IFERROR(L228/L458,"-")</f>
        <v>0.5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0.84999999999999931</v>
      </c>
      <c r="L580">
        <f t="shared" ref="L580" si="621">IFERROR(L230/L460,"-")</f>
        <v>0.85000000000000053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2.9999999999999969</v>
      </c>
      <c r="K581" s="4">
        <f t="shared" si="622"/>
        <v>2.9999999999999978</v>
      </c>
      <c r="L581" s="4">
        <f t="shared" ref="L581" si="623">IFERROR(L232/L462,"-")</f>
        <v>3.0000000000000009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2.6997227854073267E-3</v>
      </c>
      <c r="K582" s="3">
        <f>[2]Other_transformation!G$5</f>
        <v>2.4630688937248893E-3</v>
      </c>
      <c r="L582" s="3">
        <f>[2]Other_transformation!H$5</f>
        <v>2.1434968003549802E-3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2.6997227854073267E-3</v>
      </c>
      <c r="K583" s="1">
        <f t="shared" si="624"/>
        <v>2.4630688937248893E-3</v>
      </c>
      <c r="L583" s="1">
        <f t="shared" ref="L583" si="625">L582</f>
        <v>2.1434968003549802E-3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2.6997227854073267E-3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2.4630688937248893E-3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2.1434968003549802E-3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1.052891886308856E-3</v>
      </c>
      <c r="K586" s="3">
        <f t="shared" si="626"/>
        <v>9.6059686855270597E-4</v>
      </c>
      <c r="L586" s="3">
        <f t="shared" si="626"/>
        <v>8.3596375213844116E-4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1.052891886308856E-3</v>
      </c>
      <c r="K587" s="1">
        <f t="shared" si="627"/>
        <v>9.6059686855270597E-4</v>
      </c>
      <c r="L587" s="1">
        <f t="shared" ref="L587" si="628">SUM(L588:L589)</f>
        <v>8.3596375213844116E-4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1.052891886308856E-3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9.6059686855270597E-4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8.3596375213844116E-4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7.8804908106039871E-3</v>
      </c>
      <c r="K590" s="3">
        <f t="shared" si="629"/>
        <v>7.1896981007829527E-3</v>
      </c>
      <c r="L590" s="3">
        <f t="shared" ref="L590" si="630">L591+L594</f>
        <v>6.2568671602361839E-3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7.6928600770181776E-3</v>
      </c>
      <c r="K591" s="1">
        <f t="shared" si="631"/>
        <v>7.0185148126690735E-3</v>
      </c>
      <c r="L591" s="1">
        <f t="shared" ref="L591" si="632">SUM(L592:L593)</f>
        <v>6.1078941326115129E-3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7.6928600770181776E-3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7.0185148126690735E-3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6.1078941326115129E-3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1.8763073358580933E-4</v>
      </c>
      <c r="K594" s="1">
        <f t="shared" si="633"/>
        <v>1.7118328811387964E-4</v>
      </c>
      <c r="L594" s="1">
        <f t="shared" ref="L594" si="634">SUM(L595:L596)</f>
        <v>1.4897302762467116E-4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1.8763073358580933E-4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1.7118328811387964E-4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1.4897302762467116E-4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</v>
      </c>
      <c r="K598" s="4">
        <f t="shared" si="635"/>
        <v>0.47619047619047605</v>
      </c>
      <c r="L598" s="4">
        <f t="shared" ref="L598" si="636">IFERROR(SUM(L584,L588)/SUM(L592,L595),"-")</f>
        <v>0.47619047619047628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2.1224061345519659E-4</v>
      </c>
      <c r="K600" s="1">
        <f>[2]Other_transformation!G$12</f>
        <v>2.064059131263786E-4</v>
      </c>
      <c r="L600" s="1">
        <f>[2]Other_transformation!H$12</f>
        <v>2.6338497092467228E-4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2.1224061345519659E-4</v>
      </c>
      <c r="K601" s="1">
        <f t="shared" si="638"/>
        <v>2.064059131263786E-4</v>
      </c>
      <c r="L601" s="1">
        <f t="shared" ref="L601" si="639">SUM(L602:L603)</f>
        <v>2.6338497092467228E-4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2.1224061345519659E-4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2.064059131263786E-4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2.6338497092467228E-4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7.91657488187883E-4</v>
      </c>
      <c r="K604" s="3">
        <f t="shared" si="641"/>
        <v>7.6989405596139201E-4</v>
      </c>
      <c r="L604" s="3">
        <f t="shared" ref="L604" si="642">L605+L608</f>
        <v>9.8242594154902742E-4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4.4358288212136064E-4</v>
      </c>
      <c r="K605" s="1">
        <f t="shared" si="643"/>
        <v>4.3138835843413101E-4</v>
      </c>
      <c r="L605" s="1">
        <f t="shared" ref="L605" si="644">SUM(L606:L607)</f>
        <v>5.5047458923256499E-4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4.4358288212136064E-4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4.3138835843413101E-4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5.5047458923256499E-4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3.4807460606652241E-4</v>
      </c>
      <c r="K608" s="1">
        <f t="shared" si="645"/>
        <v>3.3850569752726101E-4</v>
      </c>
      <c r="L608" s="1">
        <f t="shared" ref="L608" si="646">SUM(L609:L610)</f>
        <v>4.3195135231646254E-4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3.4807460606652241E-4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3.3850569752726101E-4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4.3195135231646254E-4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0.26809651474530843</v>
      </c>
      <c r="K612">
        <f t="shared" si="647"/>
        <v>0.26809651474530838</v>
      </c>
      <c r="L612">
        <f t="shared" ref="L612" si="648">IFERROR(L602/SUM(L606,L609),"-")</f>
        <v>0.26809651474530838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12.031190141016886</v>
      </c>
      <c r="K614" s="3">
        <f t="shared" ref="K614:L614" si="654">K615+K616+K621</f>
        <v>13.627637749737863</v>
      </c>
      <c r="L614" s="3">
        <f t="shared" si="654"/>
        <v>15.081605982603644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4.3847673342000011</v>
      </c>
      <c r="K615" s="1">
        <f>[2]Other_transformation!G$19</f>
        <v>5.1168262311842687</v>
      </c>
      <c r="L615" s="1">
        <f>[2]Other_transformation!H$19</f>
        <v>5.1168309939563583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7.6459374282293204</v>
      </c>
      <c r="K616" s="1">
        <f>[2]Other_transformation!G$20</f>
        <v>8.5092773382489817</v>
      </c>
      <c r="L616" s="1">
        <f>[2]Other_transformation!H$20</f>
        <v>9.9632267554683089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7.6459374282293204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8.4080574792040128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9.844729482087887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0.10121985904496857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0.11849727338042187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4.8537858756385761E-4</v>
      </c>
      <c r="K621" s="1">
        <f>[2]Other_transformation!G$21</f>
        <v>1.5341803046114843E-3</v>
      </c>
      <c r="L621" s="1">
        <f>[2]Other_transformation!H$21</f>
        <v>1.5482331789762852E-3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4.8537858756385761E-4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1.5341803046114843E-3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1.5482331789762852E-3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0.15293816370808888</v>
      </c>
      <c r="K624" s="3">
        <f t="shared" ref="K624:L624" si="659">K625+K626+K631</f>
        <v>0.1682225167962646</v>
      </c>
      <c r="L624" s="3">
        <f t="shared" si="659"/>
        <v>0.19695651896891694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0.15291874856458632</v>
      </c>
      <c r="K626" s="1">
        <f t="shared" si="660"/>
        <v>0.16816114958408013</v>
      </c>
      <c r="L626" s="1">
        <f t="shared" ref="L626" si="661">SUM(L627:L630)</f>
        <v>0.19689458964175791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0.15291874856458632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0.16816114958408013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0.19689458964175791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1.9415143502554338E-5</v>
      </c>
      <c r="K631" s="1">
        <f t="shared" si="662"/>
        <v>6.1367212184459453E-5</v>
      </c>
      <c r="L631" s="1">
        <f t="shared" ref="L631" si="663">SUM(L632:L633)</f>
        <v>6.1929327159051487E-5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1.9415143502554338E-5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6.1367212184459453E-5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6.1929327159051487E-5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5.8245430507662941E-5</v>
      </c>
      <c r="K634" s="3">
        <f t="shared" ref="K634:L634" si="668">K635+K636+K641</f>
        <v>1.8410163655337806E-4</v>
      </c>
      <c r="L634" s="3">
        <f t="shared" si="668"/>
        <v>1.8578798147715419E-4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5.8245430507662941E-5</v>
      </c>
      <c r="K641" s="1">
        <f t="shared" ref="K641:L641" si="678">SUM(K642:K643)</f>
        <v>1.8410163655337806E-4</v>
      </c>
      <c r="L641" s="1">
        <f t="shared" si="678"/>
        <v>1.8578798147715419E-4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5.8245430507662941E-5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1.8410163655337806E-4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1.8578798147715419E-4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25.687733106357786</v>
      </c>
      <c r="K644" s="3">
        <f t="shared" ref="K644:L644" si="683">K645+K646+K651</f>
        <v>29.237848223190948</v>
      </c>
      <c r="L644" s="3">
        <f t="shared" si="683"/>
        <v>31.732817726108781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12.540434575812002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14.634123021186987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14.634136642715152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13.146643269452571</v>
      </c>
      <c r="K646" s="1">
        <f t="shared" ref="K646:L646" si="688">SUM(K647:K650)</f>
        <v>14.601654058592736</v>
      </c>
      <c r="L646" s="1">
        <f t="shared" si="688"/>
        <v>17.096590968602012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13.146643269452571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14.457054259957067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16.927309149487122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0.14459979863566941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0.16928181911488835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6.5526109321120815E-4</v>
      </c>
      <c r="K651" s="1">
        <f t="shared" ref="K651:L651" si="693">SUM(K652:K653)</f>
        <v>2.0711434112255056E-3</v>
      </c>
      <c r="L651" s="1">
        <f t="shared" si="693"/>
        <v>2.0901147916179861E-3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6.5526109321120815E-4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2.0711434112255056E-3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2.0901147916179861E-3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0.34965034965034969</v>
      </c>
      <c r="K655" s="4">
        <f t="shared" si="694"/>
        <v>0.34965034965035019</v>
      </c>
      <c r="L655" s="4">
        <f t="shared" ref="L655" si="695">IFERROR(SUM(L635,L625,L615)/L645,"-")</f>
        <v>0.34965034965035041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0.59322033898305149</v>
      </c>
      <c r="K656" s="4">
        <f t="shared" si="696"/>
        <v>0.59322033898305104</v>
      </c>
      <c r="L656" s="4">
        <f t="shared" ref="L656" si="697">IFERROR(SUM(L637,L627,L617)/L647,"-")</f>
        <v>0.5932203389830506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0.69999999999999984</v>
      </c>
      <c r="L658" s="4">
        <f t="shared" ref="L658" si="699">IFERROR(SUM(L639,L629,L619)/L649,"-")</f>
        <v>0.70000000000000018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0.85925925925925883</v>
      </c>
      <c r="K660" s="4">
        <f t="shared" si="701"/>
        <v>0.8592592592592585</v>
      </c>
      <c r="L660" s="4">
        <f t="shared" ref="L660" si="702">IFERROR(SUM(L642,L632,L622)/L652,"-")</f>
        <v>0.85925925925925883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10.035941183097025</v>
      </c>
      <c r="K662" s="3">
        <f t="shared" si="704"/>
        <v>37.086131150455586</v>
      </c>
      <c r="L662" s="3">
        <f t="shared" ref="L662" si="705">SUM(L663,L667,L676)</f>
        <v>42.513378295309991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9.2653544116239086</v>
      </c>
      <c r="K663" s="1">
        <f>[2]Other_transformation!G$28</f>
        <v>35.652921524173152</v>
      </c>
      <c r="L663" s="1">
        <f>[2]Other_transformation!H$28</f>
        <v>41.273434246155489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9.2652784783033013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17.549713490548498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22.070686669766975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7.5933320607973011E-5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17.869053363255713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18.906621005115248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0.23415467036894005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0.29612657127326908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1.6163235991694361E-3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1.2269134170998757E-3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3.8941018206956041E-4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1.6163235991694361E-3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1.2269134170998757E-3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3.8941018206956041E-4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0.77058677147311561</v>
      </c>
      <c r="K676" s="1">
        <f t="shared" si="720"/>
        <v>1.4332096262824339</v>
      </c>
      <c r="L676" s="1">
        <f t="shared" ref="L676" si="721">SUM(L677:L678)</f>
        <v>1.2383277255553271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0.77058677147311561</v>
      </c>
      <c r="K677" s="1">
        <f>[2]Other_transformation!G31</f>
        <v>1.4332096262824339</v>
      </c>
      <c r="L677" s="1">
        <f>[2]Other_transformation!H31</f>
        <v>1.2383277255553271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13.597074623494716</v>
      </c>
      <c r="K679" s="3">
        <f t="shared" si="722"/>
        <v>48.359460659815291</v>
      </c>
      <c r="L679" s="3">
        <f t="shared" ref="L679" si="723">SUM(L680,L684,L686,L695)</f>
        <v>52.367414221354437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12.31276333770619</v>
      </c>
      <c r="K680" s="1">
        <f t="shared" si="724"/>
        <v>45.935789320438865</v>
      </c>
      <c r="L680" s="1">
        <f t="shared" ref="L680" si="725">SUM(L681:L683)</f>
        <v>50.268453004056475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12.312662429638937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22.644791600707734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26.915471548496317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1.0090806725312034E-4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23.056843049362193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23.056854884286889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0.23415467036894005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0.29612657127326908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3.4988628905703735E-2</v>
      </c>
      <c r="L684" s="1">
        <f t="shared" si="732"/>
        <v>3.2902952363696537E-2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3.4988628905703735E-2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3.2902952363696537E-2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2.1787223420514481E-3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1.6143597593419406E-3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5.643625827095076E-4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2.1787223420514481E-3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1.6143597593419406E-3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5.643625827095076E-4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1.2843112857885257</v>
      </c>
      <c r="K695" s="1">
        <f t="shared" si="746"/>
        <v>2.3886827104707233</v>
      </c>
      <c r="L695" s="1">
        <f t="shared" ref="L695" si="747">SUM(L696:L697)</f>
        <v>2.0638795425922121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1.2843112857885257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2.3886827104707233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2.0638795425922121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0.75250000000000006</v>
      </c>
      <c r="K699" s="4">
        <f t="shared" si="749"/>
        <v>0.77500000000000024</v>
      </c>
      <c r="L699" s="4">
        <f t="shared" ref="L699" si="750">IFERROR(L664/L681,"-")</f>
        <v>0.81999999999999984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0.7524999999999995</v>
      </c>
      <c r="K700" s="4">
        <f t="shared" si="752"/>
        <v>0.77500000000000058</v>
      </c>
      <c r="L700" s="4">
        <f t="shared" ref="L700" si="753">IFERROR(L665/L682,"-")</f>
        <v>0.82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0.86999999999999977</v>
      </c>
      <c r="L701" s="4">
        <f t="shared" ref="L701" si="755">IFERROR(L666/SUM(L683,L685),"-")</f>
        <v>0.9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0.76000000000000056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0.69000000000000028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0.60000000000000009</v>
      </c>
      <c r="K704" s="4">
        <f t="shared" si="759"/>
        <v>0.6</v>
      </c>
      <c r="L704" s="4">
        <f t="shared" ref="L704" si="760">IFERROR(L677/L696,"-")</f>
        <v>0.6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5.7190309055723967</v>
      </c>
      <c r="K706" s="1">
        <f>[2]Other_transformation!G$39</f>
        <v>6.5039173552853127</v>
      </c>
      <c r="L706" s="1">
        <f>[2]Other_transformation!H$39</f>
        <v>6.2408464417515148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6.2663972684813807</v>
      </c>
      <c r="K707" s="1">
        <f>[2]Other_transformation!G$38</f>
        <v>7.1264049141398047</v>
      </c>
      <c r="L707" s="1">
        <f>[2]Other_transformation!H$38</f>
        <v>6.8381555793829589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0.91265054871925877</v>
      </c>
      <c r="K708" s="14">
        <f t="shared" si="762"/>
        <v>0.91265054871925844</v>
      </c>
      <c r="L708" s="14">
        <f t="shared" ref="L708" si="763">L706/L707</f>
        <v>0.91265054871925821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2.3620059081671387</v>
      </c>
      <c r="K709" s="17" cm="1">
        <f t="array" ref="K709">SUMPRODUCT(("CT_CWODPLT"=[2]OUT_SyntheticFuels!$C$4:$C$1000)*1,("Var_Fout"=[2]OUT_SyntheticFuels!$B$4:$B$1000)*1,[2]OUT_SyntheticFuels!J$4:J$1000)</f>
        <v>2.6527957080226776</v>
      </c>
      <c r="L709" s="17" cm="1">
        <f t="array" ref="L709">SUMPRODUCT(("CT_CWODPLT"=[2]OUT_SyntheticFuels!$C$4:$C$1000)*1,("Var_Fout"=[2]OUT_SyntheticFuels!$B$4:$B$1000)*1,[2]OUT_SyntheticFuels!K$4:K$1000)</f>
        <v>2.5587235032546705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2.3620059081671387</v>
      </c>
      <c r="K710" s="18">
        <f t="shared" si="764"/>
        <v>2.6527957080226776</v>
      </c>
      <c r="L710" s="18">
        <f t="shared" ref="L710" si="765">L709</f>
        <v>2.5587235032546705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2.8119117954370716</v>
      </c>
      <c r="K711" s="17" cm="1">
        <f t="array" ref="K711">SUMPRODUCT(("CT_CWODPLT"=[2]OUT_SyntheticFuels!$C$4:$C$1000)*1,("Var_Fin"=[2]OUT_SyntheticFuels!$B$4:$B$1000)*1,[2]OUT_SyntheticFuels!J$4:J$1000)</f>
        <v>3.1580901285984226</v>
      </c>
      <c r="L711" s="17" cm="1">
        <f t="array" ref="L711">SUMPRODUCT(("CT_CWODPLT"=[2]OUT_SyntheticFuels!$C$4:$C$1000)*1,("Var_Fin"=[2]OUT_SyntheticFuels!$B$4:$B$1000)*1,[2]OUT_SyntheticFuels!K$4:K$1000)</f>
        <v>3.046099408636513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2.8119117954370716</v>
      </c>
      <c r="K712" s="18">
        <f t="shared" si="766"/>
        <v>3.1580901285984226</v>
      </c>
      <c r="L712" s="18">
        <f t="shared" ref="L712" si="767">L711</f>
        <v>3.046099408636513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0.83999999999999952</v>
      </c>
      <c r="K713" s="14">
        <f t="shared" si="768"/>
        <v>0.84000000000000086</v>
      </c>
      <c r="L713" s="14">
        <f t="shared" ref="L713" si="769">IFERROR(L709/L711,"-")</f>
        <v>0.83999999999999986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18.533380317005026</v>
      </c>
      <c r="L714" s="17">
        <f t="shared" ref="L714" si="771">L715+L717</f>
        <v>22.340026207773356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16.932576682277723</v>
      </c>
      <c r="L715" s="18">
        <f t="shared" si="772"/>
        <v>19.867760733434185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16.932576682277723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19.867760733434185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1.6008036347273014</v>
      </c>
      <c r="L717" s="18">
        <f t="shared" ref="L717" si="775">SUM(L718:L720)</f>
        <v>2.4722654743391708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6.0011458894943262E-2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1.3215303824278111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1.5329932136759141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1.1507350919113595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7.7989621564440873E-3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24.328090049891017</v>
      </c>
      <c r="L721" s="17">
        <f t="shared" si="777"/>
        <v>29.724695702647203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24.328090049891017</v>
      </c>
      <c r="L722" s="18">
        <f t="shared" ref="L722" si="780">SUM(L723,L725)</f>
        <v>29.724695702647203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21.990359327633428</v>
      </c>
      <c r="L723" s="18">
        <f t="shared" si="782"/>
        <v>25.802286666797684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21.990359327633428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25.802286666797684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2.3377307222575894</v>
      </c>
      <c r="L725" s="18">
        <f t="shared" ref="L725" si="784">SUM(L726:L728)</f>
        <v>3.9224090358495185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0.13074860507908373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2.2785017616904342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2.1899903052513081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1.6439072741590843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1.699181192719762E-2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0.76999999999999924</v>
      </c>
      <c r="L730" s="14">
        <f t="shared" ref="L730" si="787">IFERROR(L716/L724,"-")</f>
        <v>0.7699999999999988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0.45898354983324779</v>
      </c>
      <c r="L731" s="16">
        <f t="shared" ref="L731" si="790">IFERROR(L718/L726,"-")</f>
        <v>0.57999971939778516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0.69999999999999929</v>
      </c>
      <c r="L732" s="16">
        <f t="shared" ref="L732" si="792">IFERROR(L719/L727,"-")</f>
        <v>0.70000000000000029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0.45898354983324807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1.0744132601383509</v>
      </c>
      <c r="L734" s="17">
        <f t="shared" si="799"/>
        <v>1.3023341790452543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1.0744132601383509</v>
      </c>
      <c r="L735" s="18">
        <f t="shared" si="804"/>
        <v>1.3023341790452543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0.85392390764688508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0.220485346618218</v>
      </c>
      <c r="L737" s="18">
        <f>IFERROR(L735-L736-L738,0)</f>
        <v>1.3023341790452543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4.0058732478285737E-6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0.95499732488046352</v>
      </c>
      <c r="L739" s="18">
        <f t="shared" si="810"/>
        <v>1.1205417053656888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0.95499732488046352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1.1205417053656888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0.11941593525788749</v>
      </c>
      <c r="L741" s="18">
        <f t="shared" si="817"/>
        <v>0.18179247367956547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5.5586461963321784E-3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9.6868223896507288E-2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0.11313489916928243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8.4924249783058195E-2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7.2238989227288095E-4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0.75901431759064186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0.75901431759064186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9.4909590056243248E-2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4.4179098092918603E-3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8.991753804065096E-2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5.7414220630043011E-4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0.19597944665037548</v>
      </c>
      <c r="L751" s="18">
        <f t="shared" ref="L751" si="833">IFERROR(L$737/L$735,0)*L739</f>
        <v>1.1205417053656888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0.19597944665037548</v>
      </c>
      <c r="L752" s="18">
        <f t="shared" ref="L752" si="835">IFERROR(L$737/L$735,0)*L740</f>
        <v>1.1205417053656888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2.4505899967842533E-2</v>
      </c>
      <c r="L753" s="18">
        <f t="shared" ref="L753" si="839">IFERROR(L$737/L$735,0)*L741</f>
        <v>0.18179247367956547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1.1407156620242386E-3</v>
      </c>
      <c r="L754" s="18">
        <f t="shared" ref="L754" si="841">IFERROR(L$737/L$735,0)*L742</f>
        <v>9.6868223896507288E-2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2.3216939313225059E-2</v>
      </c>
      <c r="L755" s="18">
        <f t="shared" ref="L755" si="843">IFERROR(L$737/L$735,0)*L743</f>
        <v>8.4924249783058195E-2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1.4824499259323502E-4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3.5606394461232581E-6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3.5606394461232581E-6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4.4523380170531581E-7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2.0725016079161016E-8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4.2181540641042819E-7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2.6933792157266074E-9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149.7677620818753</v>
      </c>
      <c r="K763" s="17">
        <f t="shared" si="862"/>
        <v>147.70041257866936</v>
      </c>
      <c r="L763" s="17">
        <f t="shared" ref="L763" si="863">L764+L768+L778+L789+L791+L803+L805+L807+L811+L813+L815</f>
        <v>151.98712651870125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76.385733924059821</v>
      </c>
      <c r="K764" s="18">
        <f>[2]Industry!G$11</f>
        <v>78.044881564417011</v>
      </c>
      <c r="L764" s="18">
        <f>[2]Industry!H$11</f>
        <v>81.423620521797673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20.434078266349275</v>
      </c>
      <c r="K765" s="1">
        <f>K764-K766-K767</f>
        <v>20.407123919246516</v>
      </c>
      <c r="L765" s="1">
        <f>L764-L766-L767</f>
        <v>20.353442006320762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1.8831352913546837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3.2865680285046852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3.1700781795695727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54.06852036635587</v>
      </c>
      <c r="K767" s="1">
        <f>[2]Industry!G$11-[2]Industry!G$33</f>
        <v>54.351189616665806</v>
      </c>
      <c r="L767" s="1">
        <f>[2]Industry!H$11-[2]Industry!H$33</f>
        <v>57.900100335907339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5.5613917737179825</v>
      </c>
      <c r="K768" s="1">
        <f t="shared" si="866"/>
        <v>3.4452710469259533</v>
      </c>
      <c r="L768" s="1">
        <f t="shared" ref="L768" si="867">SUM(L771,L776)</f>
        <v>0.26216963129518733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5.5548935589881516</v>
      </c>
      <c r="K769" s="1">
        <f t="shared" si="868"/>
        <v>3.4447813191492065</v>
      </c>
      <c r="L769" s="1">
        <f t="shared" ref="L769" si="869">SUM(L773,L777)</f>
        <v>0.26216963129518733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6.4982147298313225E-3</v>
      </c>
      <c r="K770" s="1">
        <f t="shared" si="870"/>
        <v>4.8972777674663893E-4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5.5211800720699431</v>
      </c>
      <c r="K771" s="1">
        <f t="shared" si="872"/>
        <v>3.400498592427557</v>
      </c>
      <c r="L771" s="1">
        <f t="shared" ref="L771" si="873">SUM(L772,L774)</f>
        <v>7.3422525201545917E-6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5.5146818573401122</v>
      </c>
      <c r="K772" s="1">
        <f>[2]Industry!G$34</f>
        <v>3.4000088646508102</v>
      </c>
      <c r="L772" s="1">
        <f>[2]Industry!H$34</f>
        <v>7.3422525201545917E-6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5.5146818573401122</v>
      </c>
      <c r="K773" s="1">
        <f t="shared" si="874"/>
        <v>3.4000088646508102</v>
      </c>
      <c r="L773" s="1">
        <f t="shared" ref="L773" si="875">L772</f>
        <v>7.3422525201545917E-6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6.4982147298313225E-3</v>
      </c>
      <c r="K774" s="1">
        <f>[2]Industry!G$35</f>
        <v>4.8972777674663893E-4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6.4982147298313225E-3</v>
      </c>
      <c r="K775" s="1">
        <f t="shared" si="876"/>
        <v>4.8972777674663893E-4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4.0211701648039486E-2</v>
      </c>
      <c r="K776" s="1">
        <f>[2]Industry!G$36</f>
        <v>4.477245449839648E-2</v>
      </c>
      <c r="L776" s="1">
        <f>[2]Industry!H$36</f>
        <v>0.2621622890426672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4.0211701648039486E-2</v>
      </c>
      <c r="K777" s="1">
        <f t="shared" si="878"/>
        <v>4.477245449839648E-2</v>
      </c>
      <c r="L777" s="1">
        <f t="shared" ref="L777" si="879">L776</f>
        <v>0.2621622890426672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12.636562300991942</v>
      </c>
      <c r="K778" s="1">
        <f>SUM([2]Industry!G$37:G$39)</f>
        <v>7.9264996681905497</v>
      </c>
      <c r="L778" s="1">
        <f>SUM([2]Industry!H$37:H$39)</f>
        <v>6.7515744092360501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9.9763701632049546</v>
      </c>
      <c r="K779" s="1">
        <f>SUM([2]Industry!G$37:G$38)-K780</f>
        <v>5.2663002171306434</v>
      </c>
      <c r="L779" s="1">
        <f>SUM([2]Industry!H$37:H$38)-L780</f>
        <v>1.2962210320865195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2.6601921377869875</v>
      </c>
      <c r="K781" s="1">
        <f t="shared" si="884"/>
        <v>2.6601994510599063</v>
      </c>
      <c r="L781" s="1">
        <f t="shared" ref="L781" si="885">L778-L779</f>
        <v>5.4553533771495308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8.0389301204194243</v>
      </c>
      <c r="K782" s="1">
        <f>[2]Industry!G$37</f>
        <v>3.0948425909403481</v>
      </c>
      <c r="L782" s="1">
        <f>[2]Industry!H$37</f>
        <v>0.4898860812564762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8.0389301204194243</v>
      </c>
      <c r="K783" s="1">
        <f>[2]Industry!G$37*K779/SUM(K779:K780)</f>
        <v>3.0948425909403481</v>
      </c>
      <c r="L783" s="1">
        <f>[2]Industry!H$37*L779/SUM(L779:L780)</f>
        <v>0.4898860812564762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4.5976321805725178</v>
      </c>
      <c r="K785" s="1">
        <f t="shared" si="892"/>
        <v>4.8316570772502025</v>
      </c>
      <c r="L785" s="1">
        <f t="shared" ref="L785" si="893">SUM(L786:L788)</f>
        <v>6.2616883279795736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1.9374400427855303</v>
      </c>
      <c r="K786" s="1">
        <f>[2]Industry!G$38*K779/SUM(K779:K780)</f>
        <v>2.1714576261902958</v>
      </c>
      <c r="L786" s="1">
        <f>[2]Industry!H$38*L779/SUM(L779:L780)</f>
        <v>0.80633495083004325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2.6601921377869875</v>
      </c>
      <c r="K788" s="1">
        <f>[2]Industry!G$39</f>
        <v>2.6601994510599067</v>
      </c>
      <c r="L788" s="1">
        <f>[2]Industry!H$39</f>
        <v>5.4553533771495308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4.7033616135004497E-3</v>
      </c>
      <c r="K789" s="1">
        <f>[2]Industry!G$18</f>
        <v>4.8860443967901294E-4</v>
      </c>
      <c r="L789" s="1">
        <f>[2]Industry!H$18</f>
        <v>0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4.7033616135004497E-3</v>
      </c>
      <c r="K790" s="1">
        <f t="shared" si="896"/>
        <v>4.8860443967901294E-4</v>
      </c>
      <c r="L790" s="1">
        <f t="shared" ref="L790" si="897">L789</f>
        <v>0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15.29144833521951</v>
      </c>
      <c r="K791" s="1">
        <f>[2]Industry!G$19</f>
        <v>14.767045767005358</v>
      </c>
      <c r="L791" s="1">
        <f>[2]Industry!H$19</f>
        <v>19.822703341650403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7.6989756475156144</v>
      </c>
      <c r="K792" s="1">
        <f t="shared" si="900"/>
        <v>7.1958331267110518</v>
      </c>
      <c r="L792" s="1">
        <f t="shared" ref="L792" si="901">SUM(L793:L801)</f>
        <v>9.5409638183089243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0.8211705239078162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1.0850369367577897</v>
      </c>
      <c r="K794" s="1">
        <f t="shared" si="906"/>
        <v>0.10824692615040589</v>
      </c>
      <c r="L794" s="1">
        <f t="shared" ref="L794" si="907">L241</f>
        <v>0.46875020279575741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3.5659456817223895E-3</v>
      </c>
      <c r="L795" s="1">
        <f t="shared" ref="L795" si="909">L242</f>
        <v>0.27104605939411541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1.5575299834819098E-3</v>
      </c>
      <c r="K796" s="1">
        <f t="shared" si="910"/>
        <v>1.0150268050166287E-3</v>
      </c>
      <c r="L796" s="1">
        <f t="shared" ref="L796" si="911">L243</f>
        <v>2.8013447345902684E-4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1.3241904823841312E-2</v>
      </c>
      <c r="K797" s="1">
        <f t="shared" si="912"/>
        <v>4.0021022162658459E-3</v>
      </c>
      <c r="L797" s="1">
        <f t="shared" ref="L797" si="913">L274</f>
        <v>7.2597043621636104E-4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0.84379346411775391</v>
      </c>
      <c r="L798" s="1">
        <f t="shared" ref="L798" si="915">L275</f>
        <v>1.0897507428591773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5.7725451611471499</v>
      </c>
      <c r="K799" s="1">
        <f t="shared" si="916"/>
        <v>5.0972424200460456</v>
      </c>
      <c r="L799" s="1">
        <f t="shared" ref="L799" si="917">L283</f>
        <v>4.8356892519662882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1.0088178736388775</v>
      </c>
      <c r="L800" s="1">
        <f t="shared" ref="L800" si="919">L284</f>
        <v>2.7848236209283654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5.4235908955352847E-3</v>
      </c>
      <c r="K801" s="1">
        <f t="shared" si="920"/>
        <v>0.12914936805496441</v>
      </c>
      <c r="L801" s="1">
        <f t="shared" ref="L801" si="921">L289</f>
        <v>8.9897835455545305E-2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7.628913126043809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7.6288053817306789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9.4772745639177138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12.382051953063888</v>
      </c>
      <c r="K803" s="1">
        <f t="shared" si="922"/>
        <v>13.271998044822125</v>
      </c>
      <c r="L803" s="1">
        <f t="shared" si="922"/>
        <v>15.938372047964707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12.382051953063888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13.271998044822125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15.938372047964707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0.73330798148505627</v>
      </c>
      <c r="K805" s="1">
        <f t="shared" si="924"/>
        <v>0.73127015257346017</v>
      </c>
      <c r="L805" s="1">
        <f t="shared" si="924"/>
        <v>0.72723668647780715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0.73330798148505627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0.73127015257346017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0.72723668647780715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10.758729134825327</v>
      </c>
      <c r="K807" s="1">
        <f>[2]Industry!G$21</f>
        <v>8.5715364397569669</v>
      </c>
      <c r="L807" s="1">
        <f>[2]Industry!H$21</f>
        <v>5.9487947280020101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10.758729134825327</v>
      </c>
      <c r="K808" s="1">
        <f t="shared" si="926"/>
        <v>8.5715364397569669</v>
      </c>
      <c r="L808" s="1">
        <f t="shared" ref="L808" si="927">L807</f>
        <v>5.9487947280020101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10.758729134825327</v>
      </c>
      <c r="K810" s="1">
        <f t="shared" si="928"/>
        <v>8.5715364397569669</v>
      </c>
      <c r="L810" s="1">
        <f t="shared" ref="L810" si="929">L808</f>
        <v>5.9487947280020101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1.4614958725286258</v>
      </c>
      <c r="K811" s="1">
        <f>[2]Industry!G$22</f>
        <v>1.2834846489588163</v>
      </c>
      <c r="L811" s="1">
        <f>[2]Industry!H$22</f>
        <v>1.511375058387596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1.4614958725286258</v>
      </c>
      <c r="K812" s="1">
        <f t="shared" si="932"/>
        <v>1.2834846489588163</v>
      </c>
      <c r="L812" s="1">
        <f t="shared" ref="L812" si="933">L811</f>
        <v>1.511375058387596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10.284425056811878</v>
      </c>
      <c r="K813" s="1">
        <f>[2]Industry!G$23</f>
        <v>12.009849729731041</v>
      </c>
      <c r="L813" s="1">
        <f>[2]Industry!H$23</f>
        <v>11.835789486285192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10.284425056811878</v>
      </c>
      <c r="K814" s="1">
        <f t="shared" si="936"/>
        <v>12.009849729731041</v>
      </c>
      <c r="L814" s="1">
        <f t="shared" ref="L814" si="937">L813</f>
        <v>11.835789486285192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4.267912387557792</v>
      </c>
      <c r="K815" s="1">
        <f>[2]Industry!G$24</f>
        <v>7.6480869118484209</v>
      </c>
      <c r="L815" s="1">
        <f>[2]Industry!H$24</f>
        <v>7.7654906076046331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4.2656025405648927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7.6463751461880261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7.7645980507011485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2.3098469928992671E-3</v>
      </c>
      <c r="K817" s="1">
        <f t="shared" si="942"/>
        <v>1.7117656603948816E-3</v>
      </c>
      <c r="L817" s="1">
        <f t="shared" ref="L817" si="943">L815-L816</f>
        <v>8.9255690348455374E-4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77.24566198408489</v>
      </c>
      <c r="K818" s="17">
        <f>[2]Industry!G$71</f>
        <v>77.976012402434236</v>
      </c>
      <c r="L818" s="17">
        <f>[2]Industry!H$71</f>
        <v>78.85192503740231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77.50389051488726</v>
      </c>
      <c r="K819" s="18">
        <f t="shared" si="944"/>
        <v>82.570496188122689</v>
      </c>
      <c r="L819" s="18">
        <f t="shared" ref="L819" si="945">SUM(L820:L822)</f>
        <v>83.979648424479194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17.286565030190136</v>
      </c>
      <c r="K820" s="1">
        <f>[2]Industry!G$55</f>
        <v>17.286564211866381</v>
      </c>
      <c r="L820" s="1">
        <f>[2]Industry!H$55</f>
        <v>17.286574482063557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6.1487378319195765</v>
      </c>
      <c r="K821" s="1">
        <f>[2]Industry!G$56</f>
        <v>10.932943174692712</v>
      </c>
      <c r="L821" s="1">
        <f>[2]Industry!H$56</f>
        <v>10.934676230270721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54.068587652777552</v>
      </c>
      <c r="K822" s="1">
        <f>[2]Industry!G$3-([2]Industry!G$6-[2]Industry!G$70)</f>
        <v>54.350988801563602</v>
      </c>
      <c r="L822" s="1">
        <f>[2]Industry!H$3-([2]Industry!H$6-[2]Industry!H$70)</f>
        <v>55.758397712144919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4.3756556979676047</v>
      </c>
      <c r="K823" s="1">
        <f t="shared" si="947"/>
        <v>2.7218593255894246</v>
      </c>
      <c r="L823" s="1">
        <f t="shared" ref="L823" si="948">SUM(L824:L825)</f>
        <v>0.20877313175572815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4.3711195379477621</v>
      </c>
      <c r="K824" s="1">
        <f>[2]Industry!G$57</f>
        <v>2.7215138838589019</v>
      </c>
      <c r="L824" s="1">
        <f>[2]Industry!H$57</f>
        <v>0.20877313175572815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4.5361600198428756E-3</v>
      </c>
      <c r="K825" s="1">
        <f>[2]Industry!G$58</f>
        <v>3.4544173052266009E-4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10.212152462388639</v>
      </c>
      <c r="K826" s="1">
        <f t="shared" si="949"/>
        <v>6.3020840521133437</v>
      </c>
      <c r="L826" s="1">
        <f t="shared" ref="L826" si="950">SUM(L827:L829)</f>
        <v>5.0187394691486542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8.3160376467838617</v>
      </c>
      <c r="K827" s="1">
        <f>[2]Industry!G$59</f>
        <v>4.4072517189765756</v>
      </c>
      <c r="L827" s="1">
        <f>[2]Industry!H$59</f>
        <v>1.0891580063509627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4.7182056382281982E-3</v>
      </c>
      <c r="K828" s="1">
        <f>[2]Industry!G$60</f>
        <v>3.4305234331728036E-3</v>
      </c>
      <c r="L828" s="1">
        <f>[2]Industry!H$60</f>
        <v>1.7270312500273239E-3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1.8913966099665482</v>
      </c>
      <c r="K829" s="1">
        <f>[2]Industry!G$68</f>
        <v>1.8914018097035954</v>
      </c>
      <c r="L829" s="1">
        <f>[2]Industry!H$68</f>
        <v>3.9278544315476647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3.1630106850790538E-3</v>
      </c>
      <c r="K830" s="1">
        <f t="shared" si="953"/>
        <v>3.2980799678333366E-4</v>
      </c>
      <c r="L830" s="1">
        <f t="shared" si="953"/>
        <v>0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3.1630106850790538E-3</v>
      </c>
      <c r="K831" s="1">
        <f>[2]Industry!G$61</f>
        <v>3.2980799678333366E-4</v>
      </c>
      <c r="L831" s="1">
        <f>[2]Industry!H$61</f>
        <v>0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14.363670681603274</v>
      </c>
      <c r="K832" s="1">
        <f t="shared" si="954"/>
        <v>13.975896783823901</v>
      </c>
      <c r="L832" s="1">
        <f t="shared" ref="L832" si="955">L833+L843</f>
        <v>18.063851653141185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7.1976264064727591</v>
      </c>
      <c r="K833" s="1">
        <f>[2]Industry!G$62</f>
        <v>6.7721891883828098</v>
      </c>
      <c r="L833" s="1">
        <f>[2]Industry!H$62</f>
        <v>9.0604408174193676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0.76769675833475626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1.0143804663840301</v>
      </c>
      <c r="K835" s="1">
        <f t="shared" si="958"/>
        <v>0.10187404989010768</v>
      </c>
      <c r="L835" s="1">
        <f t="shared" ref="L835" si="959">IFERROR(L794/L$792,0)*L$833</f>
        <v>0.44514197427666752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3.3560059505102035E-3</v>
      </c>
      <c r="L836" s="1">
        <f t="shared" ref="L836" si="960">IFERROR(L795/L$792,0)*L$833</f>
        <v>0.25739504170663463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1.4561052601328854E-3</v>
      </c>
      <c r="K837" s="1">
        <f t="shared" si="958"/>
        <v>9.5526861640747758E-4</v>
      </c>
      <c r="L837" s="1">
        <f t="shared" ref="L837" si="961">IFERROR(L796/L$792,0)*L$833</f>
        <v>2.6602572507651736E-4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1.2379605832736326E-2</v>
      </c>
      <c r="K838" s="1">
        <f t="shared" si="958"/>
        <v>3.766484419877899E-3</v>
      </c>
      <c r="L838" s="1">
        <f t="shared" ref="L838" si="962">IFERROR(L797/L$792,0)*L$833</f>
        <v>6.8940751666117322E-4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0.794116382954275</v>
      </c>
      <c r="L839" s="1">
        <f t="shared" ref="L839" si="963">IFERROR(L798/L$792,0)*L$833</f>
        <v>1.0348663195291736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5.3966430583316134</v>
      </c>
      <c r="K840" s="1">
        <f t="shared" si="958"/>
        <v>4.7971498782351052</v>
      </c>
      <c r="L840" s="1">
        <f t="shared" ref="L840" si="964">IFERROR(L799/L$792,0)*L$833</f>
        <v>4.5921436359285082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0.94942522660015494</v>
      </c>
      <c r="L841" s="1">
        <f t="shared" ref="L841" si="965">IFERROR(L800/L$792,0)*L$833</f>
        <v>2.6445682097602932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5.0704123294904643E-3</v>
      </c>
      <c r="K842" s="1">
        <f t="shared" si="958"/>
        <v>0.12154589171637174</v>
      </c>
      <c r="L842" s="1">
        <f t="shared" ref="L842" si="966">IFERROR(L801/L$792,0)*L$833</f>
        <v>8.5370202976352991E-2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7.166044275130516</v>
      </c>
      <c r="K843" s="1">
        <f>[2]Industry!G$63</f>
        <v>7.2037075954410907</v>
      </c>
      <c r="L843" s="1">
        <f>[2]Industry!H$63</f>
        <v>9.0034108357218194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7.3673209120730103</v>
      </c>
      <c r="K844" s="1">
        <f t="shared" si="967"/>
        <v>7.9189588334105387</v>
      </c>
      <c r="L844" s="1">
        <f t="shared" si="967"/>
        <v>9.5630232287788228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7.3673209120730103</v>
      </c>
      <c r="K845" s="1">
        <f>[2]Industry!G$64</f>
        <v>7.9189588334105387</v>
      </c>
      <c r="L845" s="1">
        <f>[2]Industry!H$64</f>
        <v>9.5630232287788228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0.54539781122951048</v>
      </c>
      <c r="K846" s="1">
        <f t="shared" si="968"/>
        <v>0.54540565546103881</v>
      </c>
      <c r="L846" s="1">
        <f t="shared" si="968"/>
        <v>0.5454275148583555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0.54539781122951048</v>
      </c>
      <c r="K847" s="1">
        <f>[2]Industry!G$65</f>
        <v>0.54540565546103881</v>
      </c>
      <c r="L847" s="1">
        <f>[2]Industry!H$65</f>
        <v>0.5454275148583555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5.6806089831877733</v>
      </c>
      <c r="K848" s="1">
        <f t="shared" si="969"/>
        <v>4.5257712401916841</v>
      </c>
      <c r="L848" s="1">
        <f t="shared" si="969"/>
        <v>3.2361443320330894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5.6806089831877733</v>
      </c>
      <c r="K849" s="1">
        <f>[2]Industry!G$66</f>
        <v>4.5257712401916841</v>
      </c>
      <c r="L849" s="1">
        <f>[2]Industry!H$66</f>
        <v>3.2361443320330894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1.4614958725286258</v>
      </c>
      <c r="K850" s="1">
        <f t="shared" si="970"/>
        <v>1.2834846489588163</v>
      </c>
      <c r="L850" s="1">
        <f t="shared" si="970"/>
        <v>1.511375058387596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1.4614958725286258</v>
      </c>
      <c r="K851" s="1">
        <f>[2]Industry!G$67</f>
        <v>1.2834846489588163</v>
      </c>
      <c r="L851" s="1">
        <f>[2]Industry!H$67</f>
        <v>1.511375058387596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8.0638756079623981</v>
      </c>
      <c r="K852" s="1">
        <f t="shared" si="971"/>
        <v>9.5787038962642495</v>
      </c>
      <c r="L852" s="1">
        <f t="shared" si="971"/>
        <v>9.5787127966209056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8.0638756079623981</v>
      </c>
      <c r="K853" s="1">
        <f>[2]Industry!G$69</f>
        <v>9.5787038962642495</v>
      </c>
      <c r="L853" s="1">
        <f>[2]Industry!H$69</f>
        <v>9.5787127966209056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2.1029162961644281</v>
      </c>
      <c r="K854" s="1">
        <f t="shared" si="972"/>
        <v>3.5236029497641153</v>
      </c>
      <c r="L854" s="1">
        <f t="shared" ref="L854" si="973">SUM(L855:L856)</f>
        <v>3.5246707532928694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0.36589821381518028</v>
      </c>
      <c r="K855" s="1">
        <f>[2]Industry!G$6-K856</f>
        <v>0.61959217769875874</v>
      </c>
      <c r="L855" s="1">
        <f>[2]Industry!H$6-L856</f>
        <v>0.62004361294917354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1.7370180823492478</v>
      </c>
      <c r="K856" s="1">
        <f>[2]Industry!G$70</f>
        <v>2.9040107720653565</v>
      </c>
      <c r="L856" s="1">
        <f>[2]Industry!H$70</f>
        <v>2.9046271403436958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0.84596744736255391</v>
      </c>
      <c r="K858" s="4">
        <f t="shared" si="974"/>
        <v>0.8470847866789768</v>
      </c>
      <c r="L858" s="4">
        <f t="shared" ref="L858" si="975">IFERROR(L820/L765,"-")</f>
        <v>0.84931946531182345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3.2651598959182149</v>
      </c>
      <c r="K859" s="4">
        <f t="shared" si="978"/>
        <v>3.3265531338071694</v>
      </c>
      <c r="L859" s="4">
        <f t="shared" ref="L859" si="979">IFERROR(L821/L766,"-")</f>
        <v>3.4493396095850897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1.0000012444657487</v>
      </c>
      <c r="K860" s="4">
        <f t="shared" si="980"/>
        <v>0.99999630523078487</v>
      </c>
      <c r="L860" s="4">
        <f t="shared" ref="L860" si="981">IFERROR(L822/L767,"-")</f>
        <v>0.96301038147883444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0.78689528278629717</v>
      </c>
      <c r="K861" s="4">
        <f t="shared" si="982"/>
        <v>0.79003966630051936</v>
      </c>
      <c r="L861" s="4">
        <f t="shared" ref="L861" si="983">IFERROR(L824/L769,"-")</f>
        <v>0.79632843332896208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0.6980624999999997</v>
      </c>
      <c r="K862" s="4">
        <f t="shared" si="982"/>
        <v>0.70537499999999931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0.83357348521962782</v>
      </c>
      <c r="K863" s="4">
        <f t="shared" si="985"/>
        <v>0.83687817580933077</v>
      </c>
      <c r="L863" s="4">
        <f t="shared" ref="L863" si="986">IFERROR(L827/L779,"-")</f>
        <v>0.84025639099355709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0.71100000000000008</v>
      </c>
      <c r="K865" s="4">
        <f t="shared" si="985"/>
        <v>0.71100000000000074</v>
      </c>
      <c r="L865" s="4">
        <f t="shared" ref="L865" si="988">IFERROR(L829/L781,"-")</f>
        <v>0.72000000000000042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0.67250000000000032</v>
      </c>
      <c r="K866" s="4">
        <f t="shared" si="989"/>
        <v>0.67499999999999982</v>
      </c>
      <c r="L866" s="4" t="str">
        <f t="shared" ref="L866" si="990">IFERROR(L831/L790,"-")</f>
        <v>-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0.93488104599932909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0.93488104599932897</v>
      </c>
      <c r="K868" s="4">
        <f t="shared" si="993"/>
        <v>0.94112649211448929</v>
      </c>
      <c r="L868" s="4">
        <f t="shared" ref="L868" si="994">IFERROR(L835/L794,"-")</f>
        <v>0.94963580094838618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0.94112649211448929</v>
      </c>
      <c r="L869" s="4">
        <f t="shared" ref="L869" si="995">IFERROR(L836/L795,"-")</f>
        <v>0.94963580094838618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0.93488104599932897</v>
      </c>
      <c r="K870" s="4">
        <f t="shared" si="993"/>
        <v>0.9411264921144894</v>
      </c>
      <c r="L870" s="4">
        <f t="shared" ref="L870" si="996">IFERROR(L837/L796,"-")</f>
        <v>0.94963580094838607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0.93488104599932897</v>
      </c>
      <c r="K871" s="4">
        <f t="shared" si="993"/>
        <v>0.9411264921144894</v>
      </c>
      <c r="L871" s="4">
        <f t="shared" ref="L871" si="997">IFERROR(L838/L797,"-")</f>
        <v>0.94963580094838607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0.9411264921144894</v>
      </c>
      <c r="L872" s="4">
        <f t="shared" ref="L872" si="998">IFERROR(L839/L798,"-")</f>
        <v>0.94963580094838618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0.93488104599932909</v>
      </c>
      <c r="K873" s="4">
        <f t="shared" si="993"/>
        <v>0.94112649211448929</v>
      </c>
      <c r="L873" s="4">
        <f t="shared" ref="L873" si="999">IFERROR(L840/L799,"-")</f>
        <v>0.94963580094838607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0.94112649211448929</v>
      </c>
      <c r="L874" s="4">
        <f t="shared" ref="L874" si="1000">IFERROR(L841/L800,"-")</f>
        <v>0.94963580094838618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0.93488104599932897</v>
      </c>
      <c r="K875" s="4">
        <f t="shared" si="993"/>
        <v>0.94112649211448929</v>
      </c>
      <c r="L875" s="4">
        <f t="shared" ref="L875" si="1001">IFERROR(L842/L801,"-")</f>
        <v>0.94963580094838618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0.93932702558466186</v>
      </c>
      <c r="K876" s="4">
        <f>IFERROR(K843/K802,"-")</f>
        <v>0.94427727999096633</v>
      </c>
      <c r="L876" s="4">
        <f>IFERROR(L843/L802,"-")</f>
        <v>0.94999999999999907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0.59499999999999975</v>
      </c>
      <c r="K877" s="4">
        <f t="shared" si="1002"/>
        <v>0.59666666666666701</v>
      </c>
      <c r="L877" s="4">
        <f t="shared" ref="L877" si="1003">IFERROR(L845/L804,"-")</f>
        <v>0.59999999999999987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0.7437499999999998</v>
      </c>
      <c r="K878" s="4">
        <f t="shared" si="1004"/>
        <v>0.74583333333333302</v>
      </c>
      <c r="L878" s="4">
        <f t="shared" ref="L878" si="1005">IFERROR(L847/L806,"-")</f>
        <v>0.75000000000000022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0.52800000000000002</v>
      </c>
      <c r="K879" s="4">
        <f t="shared" si="1006"/>
        <v>0.52800000000000069</v>
      </c>
      <c r="L879" s="4">
        <f t="shared" ref="L879" si="1007">IFERROR(L849/L808,"-")</f>
        <v>0.54399999999999926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0.78408618502414951</v>
      </c>
      <c r="K881" s="4">
        <f t="shared" si="1010"/>
        <v>0.7975706700602293</v>
      </c>
      <c r="L881" s="4">
        <f t="shared" ref="L881" si="1011">IFERROR(L853/L814,"-")</f>
        <v>0.8093007067859993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115.16727535488306</v>
      </c>
      <c r="K882" s="17">
        <f t="shared" si="1012"/>
        <v>108.55456710037984</v>
      </c>
      <c r="L882" s="17">
        <f t="shared" ref="L882" si="1013">L883+L887+L894+L905+L913+L915+L917+L919+L923</f>
        <v>95.193301967199019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57.942707983225176</v>
      </c>
      <c r="K883" s="1">
        <f>[2]Services!G$11</f>
        <v>57.038150727055466</v>
      </c>
      <c r="L883" s="1">
        <f>[2]Services!H$11</f>
        <v>53.355914297876225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0.53076750963233255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0.4292570677321233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0.29820509466691936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3.436763034256392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4.4364638192542305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4.7969785666502291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53.975177439336449</v>
      </c>
      <c r="K886" s="1">
        <f>[2]Services!G$11-[2]Services!G$28</f>
        <v>52.172429840069114</v>
      </c>
      <c r="L886" s="1">
        <f>[2]Services!H$11-[2]Services!H$28</f>
        <v>48.260730636559074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11.151104574403018</v>
      </c>
      <c r="K887" s="1">
        <f t="shared" si="1016"/>
        <v>5.4347456333326774</v>
      </c>
      <c r="L887" s="1">
        <f t="shared" si="1016"/>
        <v>0.42235096700464303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11.151104574403018</v>
      </c>
      <c r="K888" s="1">
        <f t="shared" si="1017"/>
        <v>5.4347456333326774</v>
      </c>
      <c r="L888" s="1">
        <f t="shared" ref="L888" si="1018">SUM(L891,L893)</f>
        <v>0.42235096700464303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11.150155429522037</v>
      </c>
      <c r="K889" s="1">
        <f t="shared" si="1019"/>
        <v>5.434088060674573</v>
      </c>
      <c r="L889" s="1">
        <f t="shared" si="1019"/>
        <v>7.3533613586271893E-6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11.150155429522037</v>
      </c>
      <c r="K890" s="1">
        <f>[2]Services!G$12</f>
        <v>5.434088060674573</v>
      </c>
      <c r="L890" s="1">
        <f>[2]Services!H$12</f>
        <v>7.3533613586271893E-6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11.150155429522037</v>
      </c>
      <c r="K891" s="1">
        <f t="shared" si="1020"/>
        <v>5.434088060674573</v>
      </c>
      <c r="L891" s="1">
        <f t="shared" ref="L891" si="1021">L890</f>
        <v>7.3533613586271893E-6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9.4914488098117361E-4</v>
      </c>
      <c r="K892">
        <f t="shared" si="1022"/>
        <v>6.5757265810469133E-4</v>
      </c>
      <c r="L892">
        <f t="shared" si="1022"/>
        <v>0.42234361364328438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9.4914488098117361E-4</v>
      </c>
      <c r="K893">
        <f>[2]Services!G$13</f>
        <v>6.5757265810469133E-4</v>
      </c>
      <c r="L893">
        <f>[2]Services!H$13</f>
        <v>0.42234361364328438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19.657777418143805</v>
      </c>
      <c r="K894" s="1">
        <f t="shared" si="1023"/>
        <v>16.477708330228651</v>
      </c>
      <c r="L894" s="1">
        <f t="shared" ref="L894" si="1024">SUM(L895:L897)</f>
        <v>12.16051595564587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15.45976979244517</v>
      </c>
      <c r="K895" s="1">
        <f>SUM([2]Services!G$14:G$15)</f>
        <v>11.232730251959113</v>
      </c>
      <c r="L895" s="1">
        <f>SUM([2]Services!H$14:H$15)</f>
        <v>7.2027092154369692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4.1980076256986338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5.2449780782695399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4.9578067402089019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14.14911738601943</v>
      </c>
      <c r="K898" s="1">
        <f>[2]Services!G$14</f>
        <v>9.7694394457549354</v>
      </c>
      <c r="L898" s="1">
        <f>[2]Services!H$14</f>
        <v>5.5642123024853074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11.127509122788652</v>
      </c>
      <c r="K899" s="1">
        <f>[2]Services!G$14*IFERROR(K895/SUM(K895:K896),0)</f>
        <v>6.6597536385383611</v>
      </c>
      <c r="L899" s="1">
        <f>[2]Services!H$14*IFERROR(L895/SUM(L895:L896),0)</f>
        <v>3.295699242855858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3.0216082632307781</v>
      </c>
      <c r="K900" s="1">
        <f t="shared" si="1028"/>
        <v>3.1096858072165743</v>
      </c>
      <c r="L900" s="1">
        <f t="shared" ref="L900" si="1029">L898-L899</f>
        <v>2.2685130596294494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1.3106524064257397</v>
      </c>
      <c r="K901" s="1">
        <f>[2]Services!G$15+K904</f>
        <v>1.4632908062041781</v>
      </c>
      <c r="L901" s="1">
        <f>[2]Services!H$15+L904</f>
        <v>1.638496912951662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1.0307566338885479</v>
      </c>
      <c r="K902" s="1">
        <f>[2]Services!G$15*K895/SUM(K895:K896)</f>
        <v>0.99751437377428243</v>
      </c>
      <c r="L902" s="1">
        <f>[2]Services!H$15*L895/SUM(L895:L896)</f>
        <v>0.97048652026172633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0.27989577253719161</v>
      </c>
      <c r="K903" s="1">
        <f>[2]Services!G$15*K896/SUM(K895:K896)</f>
        <v>0.46577643242989575</v>
      </c>
      <c r="L903" s="1">
        <f>[2]Services!H$15*L896/SUM(L895:L896)</f>
        <v>0.66801039268993589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8.330514014434808</v>
      </c>
      <c r="K905" s="1">
        <f>[2]Services!G$17</f>
        <v>9.2532932880410623</v>
      </c>
      <c r="L905" s="1">
        <f>[2]Services!H$17</f>
        <v>8.9440173309107056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3.5824472446409814E-3</v>
      </c>
      <c r="K911" s="1">
        <f t="shared" si="1037"/>
        <v>1.3265956286730505E-2</v>
      </c>
      <c r="L911" s="1">
        <f t="shared" ref="L911" si="1038">L290</f>
        <v>5.9507702220256654E-3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8.330514014434808</v>
      </c>
      <c r="K912" s="1">
        <f t="shared" si="1039"/>
        <v>9.2532932880410623</v>
      </c>
      <c r="L912" s="1">
        <f t="shared" ref="L912" si="1040">L905-L906</f>
        <v>8.9440173309107056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8.4536622619045598</v>
      </c>
      <c r="K913" s="1">
        <f t="shared" si="1041"/>
        <v>7.1452771891414599</v>
      </c>
      <c r="L913" s="1">
        <f t="shared" si="1041"/>
        <v>4.7599534491282505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8.4536622619045598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7.1452771891414599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4.7599534491282505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0.82399976690527665</v>
      </c>
      <c r="K915" s="1">
        <f t="shared" si="1042"/>
        <v>1.0493050868321008</v>
      </c>
      <c r="L915" s="1">
        <f t="shared" si="1042"/>
        <v>1.0769715300148457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0.82399976690527665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1.0493050868321008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1.0769715300148457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0.66055183574465315</v>
      </c>
      <c r="K917" s="1">
        <f t="shared" si="1043"/>
        <v>0.73653557477131526</v>
      </c>
      <c r="L917" s="1">
        <f t="shared" si="1043"/>
        <v>0.77782125202687369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0.66055183574465315</v>
      </c>
      <c r="K918" s="1">
        <f>[2]Services!G$19</f>
        <v>0.73653557477131526</v>
      </c>
      <c r="L918" s="1">
        <f>[2]Services!H$19</f>
        <v>0.77782125202687369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2.8927531977544422E-3</v>
      </c>
      <c r="K919" s="1">
        <f>[2]Services!G$20</f>
        <v>9.1502753983945424E-3</v>
      </c>
      <c r="L919" s="1">
        <f>[2]Services!H$20</f>
        <v>3.6566106323792091E-3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2.8927531977544422E-3</v>
      </c>
      <c r="K921" s="1">
        <f t="shared" si="1046"/>
        <v>9.1502753983945424E-3</v>
      </c>
      <c r="L921" s="1">
        <f t="shared" si="1046"/>
        <v>3.6566106323792091E-3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2.8927531977544422E-3</v>
      </c>
      <c r="K922" s="1">
        <f>[2]Services!G$20</f>
        <v>9.1502753983945424E-3</v>
      </c>
      <c r="L922" s="1">
        <f>[2]Services!H$20</f>
        <v>3.6566106323792091E-3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8.1440647469239984</v>
      </c>
      <c r="K923" s="1">
        <f t="shared" si="1047"/>
        <v>11.410400995578728</v>
      </c>
      <c r="L923" s="1">
        <f t="shared" si="1047"/>
        <v>13.692100573959236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8.1440647469239984</v>
      </c>
      <c r="K924" s="1">
        <f>[2]Services!G$21-K925</f>
        <v>11.410400995578728</v>
      </c>
      <c r="L924" s="1">
        <f>[2]Services!H$21-L925</f>
        <v>13.692100573959236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4.4355220879102886</v>
      </c>
      <c r="K925" s="1">
        <f>[2]Services!G$50-K896</f>
        <v>5.8226901925078334</v>
      </c>
      <c r="L925" s="1">
        <f>[2]Services!H$50-L896</f>
        <v>6.4213391471156154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60.169607171427984</v>
      </c>
      <c r="K926" s="17">
        <f>[2]Services!G$59</f>
        <v>59.908889368433158</v>
      </c>
      <c r="L926" s="17">
        <f>[2]Services!H$59</f>
        <v>58.417783058372166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65.821809970945694</v>
      </c>
      <c r="K927" s="1">
        <f t="shared" si="1050"/>
        <v>68.237592245273049</v>
      </c>
      <c r="L927" s="1">
        <f t="shared" ref="L927" si="1051">SUM(L928:L930)</f>
        <v>66.907978028571605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0.26580475042885809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0.21829759037098323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0.15816825140305957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11.580827781180391</v>
      </c>
      <c r="K929" s="1">
        <f>[2]Services!G$47</f>
        <v>15.846864814832955</v>
      </c>
      <c r="L929" s="1">
        <f>[2]Services!H$47</f>
        <v>18.489079140609462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53.975177439336449</v>
      </c>
      <c r="K930" s="1">
        <f>[2]Services!G$3-([2]Services!G$6-[2]Services!G$58)</f>
        <v>52.172429840069114</v>
      </c>
      <c r="L930" s="1">
        <f>[2]Services!H$3-([2]Services!H$6-[2]Services!H$58)</f>
        <v>48.260730636559089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9.1300432124772328</v>
      </c>
      <c r="K931" s="1">
        <f t="shared" si="1054"/>
        <v>4.4497351943994001</v>
      </c>
      <c r="L931" s="1">
        <f t="shared" si="1054"/>
        <v>0.34580274571502456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9.1300432124772328</v>
      </c>
      <c r="K932" s="1">
        <f>[2]Services!G$48</f>
        <v>4.4497351943994001</v>
      </c>
      <c r="L932" s="1">
        <f>[2]Services!H$48</f>
        <v>0.34580274571502456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18.398333522978746</v>
      </c>
      <c r="K933" s="1">
        <f t="shared" si="1055"/>
        <v>16.266103224660814</v>
      </c>
      <c r="L933" s="1">
        <f t="shared" ref="L933" si="1056">SUM(L934:L936)</f>
        <v>13.328316854677309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9.7648038093698251</v>
      </c>
      <c r="K934" s="1">
        <f>[2]Services!G$49</f>
        <v>5.1984349538834405</v>
      </c>
      <c r="L934" s="1">
        <f>[2]Services!H$49</f>
        <v>1.9491709673527928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8.6335297136089224</v>
      </c>
      <c r="K935" s="1">
        <f>[2]Services!G$50</f>
        <v>11.067668270777373</v>
      </c>
      <c r="L935" s="1">
        <f>[2]Services!H$50</f>
        <v>11.379145887324517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6.8699780049153647</v>
      </c>
      <c r="K937" s="1">
        <f t="shared" si="1061"/>
        <v>7.6309722607418324</v>
      </c>
      <c r="L937" s="1">
        <f t="shared" ref="L937" si="1062">L938+L944</f>
        <v>7.3759196890454017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6.8699780049153647</v>
      </c>
      <c r="K944" s="1">
        <f>[2]Services!G$52</f>
        <v>7.6309722607418324</v>
      </c>
      <c r="L944" s="1">
        <f>[2]Services!H$52</f>
        <v>7.3759196890454017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5.7276309169079607</v>
      </c>
      <c r="K945" s="1">
        <f t="shared" si="1070"/>
        <v>4.8630183192076952</v>
      </c>
      <c r="L945" s="1">
        <f t="shared" si="1070"/>
        <v>3.347530755772913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5.7276309169079607</v>
      </c>
      <c r="K946" s="1">
        <f>[2]Services!G$53</f>
        <v>4.8630183192076952</v>
      </c>
      <c r="L946" s="1">
        <f>[2]Services!H$53</f>
        <v>3.347530755772913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0.5506465328921154</v>
      </c>
      <c r="K947" s="1">
        <f t="shared" si="1071"/>
        <v>0.71173589346460875</v>
      </c>
      <c r="L947" s="1">
        <f t="shared" si="1071"/>
        <v>0.73428410814602263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0.5506465328921154</v>
      </c>
      <c r="K948" s="1">
        <f>[2]Services!G$54</f>
        <v>0.71173589346460875</v>
      </c>
      <c r="L948" s="1">
        <f>[2]Services!H$54</f>
        <v>0.73428410814602263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0.66055183574465315</v>
      </c>
      <c r="K949" s="1">
        <f t="shared" si="1072"/>
        <v>0.73653557477131526</v>
      </c>
      <c r="L949" s="1">
        <f t="shared" si="1072"/>
        <v>0.77782125202687369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0.66055183574465315</v>
      </c>
      <c r="K950" s="1">
        <f>[2]Services!G$55</f>
        <v>0.73653557477131526</v>
      </c>
      <c r="L950" s="1">
        <f>[2]Services!H$55</f>
        <v>0.77782125202687369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6.9857906139026529</v>
      </c>
      <c r="K953" s="1">
        <f>[2]Services!G$58</f>
        <v>9.1856264959835467</v>
      </c>
      <c r="L953" s="1">
        <f>[2]Services!H$58</f>
        <v>13.8608602609761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0.50079318271192497</v>
      </c>
      <c r="K955" s="4">
        <f t="shared" si="1076"/>
        <v>0.50854745741125751</v>
      </c>
      <c r="L955" s="4">
        <f t="shared" ref="L955" si="1077">IFERROR(L928/L884,"-")</f>
        <v>0.53040090270666185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3.3696905098626098</v>
      </c>
      <c r="K956" s="4">
        <f t="shared" si="1076"/>
        <v>3.5719585373507705</v>
      </c>
      <c r="L956" s="4">
        <f t="shared" ref="L956" si="1078">IFERROR(L929/L885,"-")</f>
        <v>3.8543176467683371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1</v>
      </c>
      <c r="K957" s="4">
        <f t="shared" si="1076"/>
        <v>1</v>
      </c>
      <c r="L957" s="4">
        <f t="shared" ref="L957" si="1079">IFERROR(L930/L886,"-")</f>
        <v>1.0000000000000002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0.81875684615449995</v>
      </c>
      <c r="K958" s="4">
        <f t="shared" si="1080"/>
        <v>0.8187568461544994</v>
      </c>
      <c r="L958" s="4">
        <f t="shared" ref="L958" si="1081">IFERROR(L932/L888,"-")</f>
        <v>0.8187568461544994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0.63162672798282271</v>
      </c>
      <c r="K959" s="4">
        <f t="shared" si="1082"/>
        <v>0.46279353614645696</v>
      </c>
      <c r="L959" s="4">
        <f t="shared" ref="L959" si="1083">IFERROR(L934/L895,"-")</f>
        <v>0.27061636240642567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2.0565779015639896</v>
      </c>
      <c r="K960" s="4">
        <f t="shared" si="1082"/>
        <v>2.1101457633601579</v>
      </c>
      <c r="L960" s="4">
        <f t="shared" ref="L960" si="1084">IFERROR(L935/L896,"-")</f>
        <v>2.2951975507712197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0.82467636366871477</v>
      </c>
      <c r="K967" s="4">
        <f t="shared" si="1086"/>
        <v>0.82467636366871522</v>
      </c>
      <c r="L967" s="4">
        <f t="shared" ref="L967" si="1092">IFERROR(L944/L912,"-")</f>
        <v>0.82467636366871444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0.67753249886961531</v>
      </c>
      <c r="K968" s="4">
        <f t="shared" si="1093"/>
        <v>0.68059197571760133</v>
      </c>
      <c r="L968" s="4">
        <f t="shared" ref="L968" si="1094">IFERROR(L946/L913,"-")</f>
        <v>0.70326964151004212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0.66826054449043948</v>
      </c>
      <c r="K969" s="4">
        <f t="shared" si="1095"/>
        <v>0.67829261708181687</v>
      </c>
      <c r="L969" s="4">
        <f t="shared" ref="L969" si="1096">IFERROR(L948/L916,"-")</f>
        <v>0.68180456742055273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190.67231824049708</v>
      </c>
      <c r="K972" s="3">
        <f>[2]Residential!G$26</f>
        <v>181.89084589224515</v>
      </c>
      <c r="L972" s="3">
        <f>[2]Residential!H$26</f>
        <v>164.22681092787025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67.873447679627219</v>
      </c>
      <c r="K973" s="1">
        <f>[2]Residential!G$15</f>
        <v>67.905786107191119</v>
      </c>
      <c r="L973" s="1">
        <f>[2]Residential!H$15</f>
        <v>62.866211070838517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13.890260005617508</v>
      </c>
      <c r="K974" s="1">
        <f t="shared" si="1101"/>
        <v>14.923524904630341</v>
      </c>
      <c r="L974" s="1">
        <f t="shared" ref="L974" si="1102">SUM(L975:L976)</f>
        <v>13.472575158482831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3.2315615593241677E-2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2.093667048995812E-2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1.7752168830163478E-2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13.857944390024267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14.902588234140383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13.454822989652667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8.0801891091115081</v>
      </c>
      <c r="K977" s="1">
        <f t="shared" si="1106"/>
        <v>8.5872910776549656</v>
      </c>
      <c r="L977" s="1">
        <f t="shared" ref="L977" si="1107">SUM(L978:L979)</f>
        <v>8.598226051143353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3.7484306322290259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3.4107593038877249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2.9944318464750386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4.3317584768824817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5.1765317737672403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5.603794204668314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45.902998564898212</v>
      </c>
      <c r="K980" s="1">
        <f>[2]Residential!G$3-([2]Residential!G$10-[2]Residential!G$244)</f>
        <v>44.394970124905804</v>
      </c>
      <c r="L980" s="1">
        <f>[2]Residential!H$3-([2]Residential!H$10-[2]Residential!H$244)</f>
        <v>40.795409861212335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15.605924288925777</v>
      </c>
      <c r="K981" s="1">
        <f>SUM([2]Residential!G$16:G$17)</f>
        <v>5.9873855484208711</v>
      </c>
      <c r="L981" s="1">
        <f>SUM([2]Residential!H$16:H$17)</f>
        <v>0.57741555016534196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15.604974076871725</v>
      </c>
      <c r="K982" s="1">
        <f>[2]Residential!G$16</f>
        <v>5.9867251387228819</v>
      </c>
      <c r="L982" s="1">
        <f>[2]Residential!H$16</f>
        <v>9.5780893874992475E-6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9.5021205405202715E-4</v>
      </c>
      <c r="K983" s="1">
        <f>[2]Residential!G$17</f>
        <v>6.6040969798932155E-4</v>
      </c>
      <c r="L983" s="1">
        <f>[2]Residential!H$17</f>
        <v>0.57740597207595445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12.962585925642909</v>
      </c>
      <c r="K984" s="1">
        <f t="shared" si="1110"/>
        <v>4.6766288560570839</v>
      </c>
      <c r="L984" s="1">
        <f t="shared" ref="L984" si="1111">SUM(L986,L988)</f>
        <v>0.47898378649795159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12.962585925642909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4.6766288560570839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0.47898378649795159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12.961796660927138</v>
      </c>
      <c r="K986" s="1">
        <f t="shared" si="1112"/>
        <v>4.6761130230569439</v>
      </c>
      <c r="L986" s="1">
        <f t="shared" si="1112"/>
        <v>7.9453168882038972E-6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12.961796660927138</v>
      </c>
      <c r="K987" s="1">
        <f t="shared" si="1113"/>
        <v>4.6761130230569439</v>
      </c>
      <c r="L987" s="1">
        <f t="shared" ref="L987" si="1114">L985*IFERROR(L982/L981,0)</f>
        <v>7.9453168882038972E-6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7.8926471577034363E-4</v>
      </c>
      <c r="K988" s="1">
        <f t="shared" si="1115"/>
        <v>5.158330001400202E-4</v>
      </c>
      <c r="L988" s="1">
        <f t="shared" si="1115"/>
        <v>0.4789758411810634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7.8926471577034363E-4</v>
      </c>
      <c r="K989" s="1">
        <f t="shared" si="1116"/>
        <v>5.158330001400202E-4</v>
      </c>
      <c r="L989" s="1">
        <f t="shared" ref="L989" si="1117">L985-L987</f>
        <v>0.4789758411810634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2.6433383632828691</v>
      </c>
      <c r="K990" s="1">
        <f t="shared" si="1118"/>
        <v>1.3107566923637868</v>
      </c>
      <c r="L990" s="1">
        <f t="shared" si="1118"/>
        <v>9.843176366739026E-2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2.6433383632828691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1.3107566923637868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9.843176366739026E-2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2.6431774159445873</v>
      </c>
      <c r="K992" s="1">
        <f t="shared" si="1119"/>
        <v>1.3106121156659376</v>
      </c>
      <c r="L992" s="1">
        <f t="shared" ref="L992" si="1120">IFERROR(L982/L981,0)*L991</f>
        <v>1.6327724992953497E-6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1.6094733828175833E-4</v>
      </c>
      <c r="K993" s="1">
        <f t="shared" si="1121"/>
        <v>1.4457669784917471E-4</v>
      </c>
      <c r="L993" s="1">
        <f t="shared" ref="L993" si="1122">L991-L992</f>
        <v>9.8430130894890958E-2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30.294805233563697</v>
      </c>
      <c r="K994" s="1">
        <f t="shared" si="1123"/>
        <v>21.777537362429747</v>
      </c>
      <c r="L994" s="1">
        <f t="shared" ref="L994" si="1124">SUM(L995:L996)</f>
        <v>14.824888829662855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28.269856755896974</v>
      </c>
      <c r="K995" s="1">
        <f>[2]Residential!G$18</f>
        <v>19.122616393151315</v>
      </c>
      <c r="L995" s="1">
        <f>[2]Residential!H$18</f>
        <v>12.719020083516835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2.0249484776667237</v>
      </c>
      <c r="K996" s="1">
        <f>[2]Residential!G$19</f>
        <v>2.6549209692784332</v>
      </c>
      <c r="L996" s="1">
        <f>[2]Residential!H$19</f>
        <v>2.1058687461460206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24.175452062343211</v>
      </c>
      <c r="K997" s="1">
        <f t="shared" si="1127"/>
        <v>16.937831054291859</v>
      </c>
      <c r="L997" s="1">
        <f t="shared" ref="L997" si="1128">SUM(L998:L999)</f>
        <v>11.565690874019442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15.582126163588898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6.7819507859267434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2.5701633733564728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8.5933258987543155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10.155880268365115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8.9955275006629698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22.559529976918796</v>
      </c>
      <c r="K1000" s="1">
        <f t="shared" si="1129"/>
        <v>14.872923434493028</v>
      </c>
      <c r="L1000" s="1">
        <f t="shared" ref="L1000" si="1130">SUM(L1001:L1002)</f>
        <v>9.9227897218400987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14.540594375861392</v>
      </c>
      <c r="K1001" s="1">
        <f t="shared" si="1131"/>
        <v>5.9551565045295209</v>
      </c>
      <c r="L1001" s="1">
        <f t="shared" ref="L1001" si="1132">L998-L1004</f>
        <v>2.205072829836781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8.0189356010574055</v>
      </c>
      <c r="K1002" s="1">
        <f t="shared" si="1133"/>
        <v>8.9177669299635074</v>
      </c>
      <c r="L1002" s="1">
        <f t="shared" ref="L1002" si="1134">L999-L1005</f>
        <v>7.7177168920033177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1.6159220854244154</v>
      </c>
      <c r="K1003" s="1">
        <f t="shared" si="1135"/>
        <v>2.0649076197988294</v>
      </c>
      <c r="L1003" s="1">
        <f t="shared" ref="L1003" si="1136">SUM(L1004:L1005)</f>
        <v>1.6429011521793444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1.0415317877275048</v>
      </c>
      <c r="K1004" s="1">
        <f t="shared" si="1137"/>
        <v>0.82679428139722222</v>
      </c>
      <c r="L1004" s="1">
        <f t="shared" ref="L1004" si="1138">L998*IFERROR(L996/L994,0)</f>
        <v>0.365090543519692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0.57439029769691075</v>
      </c>
      <c r="K1005" s="1">
        <f t="shared" si="1139"/>
        <v>1.2381133384016072</v>
      </c>
      <c r="L1005" s="1">
        <f t="shared" ref="L1005" si="1140">L999*IFERROR(L$996/L$994,0)</f>
        <v>1.2778106086596523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6.1193531712204834</v>
      </c>
      <c r="K1006" s="1">
        <f t="shared" si="1141"/>
        <v>4.8397063081378899</v>
      </c>
      <c r="L1006" s="1">
        <f t="shared" ref="L1006" si="1142">SUM(L1007:L1008)</f>
        <v>3.2591979556434119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4.2421256304696175</v>
      </c>
      <c r="K1007" s="1">
        <f t="shared" si="1143"/>
        <v>2.5190313463400926</v>
      </c>
      <c r="L1007" s="1">
        <f t="shared" ref="L1007" si="1144">L994-L998-L999-L1008</f>
        <v>1.1139726398141665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1.8772275407508661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2.3206749617977973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2.1452253158292454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5.7103267789781755</v>
      </c>
      <c r="K1009" s="1">
        <f t="shared" si="1145"/>
        <v>4.2496929586582866</v>
      </c>
      <c r="L1009" s="1">
        <f t="shared" ref="L1009" si="1146">SUM(L1010:L1011)</f>
        <v>2.7962303616767357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3.9585758346791016</v>
      </c>
      <c r="K1010" s="1">
        <f t="shared" si="1147"/>
        <v>2.2119337607698468</v>
      </c>
      <c r="L1010" s="1">
        <f t="shared" ref="L1010" si="1148">L1007-L1013</f>
        <v>0.95573333069013433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1.751750944299074</v>
      </c>
      <c r="K1011" s="1">
        <f t="shared" si="1149"/>
        <v>2.0377591978884393</v>
      </c>
      <c r="L1011" s="1">
        <f t="shared" ref="L1011" si="1150">L1008-L1014</f>
        <v>1.8404970309866013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0.40902639224230819</v>
      </c>
      <c r="K1012" s="1">
        <f t="shared" si="1151"/>
        <v>0.59001334947960393</v>
      </c>
      <c r="L1012" s="1">
        <f t="shared" ref="L1012" si="1152">SUM(L1013:L1014)</f>
        <v>0.46296759396667619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0.28354979579051603</v>
      </c>
      <c r="K1013" s="1">
        <f t="shared" si="1153"/>
        <v>0.30709758557024586</v>
      </c>
      <c r="L1013" s="1">
        <f t="shared" ref="L1013" si="1154">L1007*IFERROR(L$996/L$994,0)</f>
        <v>0.15823930912403214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0.12547659645179218</v>
      </c>
      <c r="K1014" s="1">
        <f t="shared" si="1155"/>
        <v>0.28291576390935808</v>
      </c>
      <c r="L1014" s="1">
        <f t="shared" ref="L1014" si="1156">L1008*IFERROR(L$996/L$994,0)</f>
        <v>0.30472828484264403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12.719424364520385</v>
      </c>
      <c r="K1020" s="1">
        <f t="shared" si="1163"/>
        <v>10.590591800751591</v>
      </c>
      <c r="L1020" s="1">
        <f t="shared" ref="L1020" si="1164">L1021+L1023</f>
        <v>6.1671566105420554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10.38226061598823</v>
      </c>
      <c r="K1021" s="1">
        <f t="shared" si="1165"/>
        <v>8.4629180577945515</v>
      </c>
      <c r="L1021" s="1">
        <f t="shared" si="1165"/>
        <v>4.6931671422305303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10.38226061598823</v>
      </c>
      <c r="K1022" s="1">
        <f>[2]Residential!G$22-K1024-K1025</f>
        <v>8.4629180577945515</v>
      </c>
      <c r="L1022" s="1">
        <f>[2]Residential!H$22-L1024-L1025</f>
        <v>4.6931671422305303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2.3371637485321552</v>
      </c>
      <c r="K1023" s="1">
        <f t="shared" ref="K1023:L1023" si="1170">K1024</f>
        <v>2.12767374295704</v>
      </c>
      <c r="L1023" s="1">
        <f t="shared" si="1170"/>
        <v>1.4739894683115249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2.3371637485321552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2.12767374295704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1.4739894683115249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0.80473494163885362</v>
      </c>
      <c r="K1025" s="1">
        <f t="shared" si="1171"/>
        <v>0.87223663812592267</v>
      </c>
      <c r="L1025" s="1">
        <f t="shared" ref="L1025" si="1172">L1026+L1028</f>
        <v>0.75453622326622294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0.56024495392248752</v>
      </c>
      <c r="K1026" s="1">
        <f t="shared" si="1173"/>
        <v>0.59525605940616244</v>
      </c>
      <c r="L1026" s="1">
        <f t="shared" si="1173"/>
        <v>0.48722332628175008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0.56024495392248752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0.59525605940616244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0.48722332628175008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0.24448998771636615</v>
      </c>
      <c r="K1028" s="1">
        <f t="shared" si="1174"/>
        <v>0.27698057871976023</v>
      </c>
      <c r="L1028" s="1">
        <f t="shared" si="1174"/>
        <v>0.26731289698447291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0.24448998771636615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0.27698057871976023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0.26731289698447291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1.1577243991421731</v>
      </c>
      <c r="K1030" s="1">
        <f>[2]Residential!G$23</f>
        <v>1.2422197233327636</v>
      </c>
      <c r="L1030" s="1">
        <f>[2]Residential!H$23</f>
        <v>1.2294321971075988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3.4401399521663739E-2</v>
      </c>
      <c r="K1031" s="1">
        <f t="shared" si="1175"/>
        <v>3.3155068185607858E-2</v>
      </c>
      <c r="L1031" s="1">
        <f t="shared" si="1175"/>
        <v>2.9424962199127169E-2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3.4401399521663739E-2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3.3155068185607858E-2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2.9424962199127169E-2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1.1233229996205094</v>
      </c>
      <c r="K1033" s="1">
        <f t="shared" si="1176"/>
        <v>1.2090646551471558</v>
      </c>
      <c r="L1033" s="1">
        <f t="shared" ref="L1033" si="1177">L1030-L1031</f>
        <v>1.2000072349084716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1.1233229996205094</v>
      </c>
      <c r="K1034" s="1">
        <f t="shared" si="1178"/>
        <v>1.2090646551471558</v>
      </c>
      <c r="L1034" s="1">
        <f t="shared" ref="L1034" si="1179">L1033</f>
        <v>1.2000072349084716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6.4152737030837006E-3</v>
      </c>
      <c r="K1035" s="1">
        <f>[2]Residential!G$24</f>
        <v>2.8980875401206932E-2</v>
      </c>
      <c r="L1035" s="1">
        <f>[2]Residential!H$24</f>
        <v>1.4018971235477807E-2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6.4152737030837006E-3</v>
      </c>
      <c r="K1036" s="1">
        <f t="shared" si="1180"/>
        <v>2.8980875401206932E-2</v>
      </c>
      <c r="L1036" s="1">
        <f t="shared" ref="L1036" si="1181">L1035-L1038-L1040</f>
        <v>1.4018971235477807E-2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11.840013551493746</v>
      </c>
      <c r="K1042" s="1">
        <f>[2]Residential!G$21</f>
        <v>12.813317065919019</v>
      </c>
      <c r="L1042" s="1">
        <f>[2]Residential!H$21</f>
        <v>12.475322988445004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1.7463483804182673</v>
      </c>
      <c r="K1043" s="1">
        <f t="shared" si="1186"/>
        <v>2.0021536031602896</v>
      </c>
      <c r="L1043" s="1">
        <f t="shared" ref="L1043" si="1187">SUM(L1044:L1046)</f>
        <v>3.5379154310984567E-2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5.5088003896049342E-2</v>
      </c>
      <c r="K1044" s="1">
        <f t="shared" si="1188"/>
        <v>1.9991561816479674E-2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1.6912603765222181</v>
      </c>
      <c r="K1046" s="1">
        <f t="shared" si="1191"/>
        <v>1.9821620413438099</v>
      </c>
      <c r="L1046" s="1">
        <f t="shared" ref="L1046" si="1192">SUM(L285,L286)</f>
        <v>3.5379154310984567E-2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10.093665171075479</v>
      </c>
      <c r="K1047" s="1">
        <f t="shared" si="1193"/>
        <v>10.81116346275873</v>
      </c>
      <c r="L1047" s="1">
        <f t="shared" ref="L1047" si="1194">L1042-L1043</f>
        <v>12.43994383413402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50.369828507882119</v>
      </c>
      <c r="K1048" s="1">
        <f>[2]Residential!G$25</f>
        <v>60.672790770672911</v>
      </c>
      <c r="L1048" s="1">
        <f>[2]Residential!H$25</f>
        <v>65.317828486607169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42.197364851643769</v>
      </c>
      <c r="K1049" s="1">
        <f t="shared" si="1195"/>
        <v>49.678572340767474</v>
      </c>
      <c r="L1049" s="1">
        <f t="shared" ref="L1049" si="1196">L1048-L1052</f>
        <v>51.152027902598697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33.905802508811419</v>
      </c>
      <c r="K1050" s="1">
        <f t="shared" si="1197"/>
        <v>39.56435189993568</v>
      </c>
      <c r="L1050" s="1">
        <f t="shared" ref="L1050" si="1198">L1049-L1051</f>
        <v>41.186129251652375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8.2915623428323499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10.114220440831796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9.9658986509463183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8.1724636562383495</v>
      </c>
      <c r="K1052" s="1">
        <f t="shared" si="1199"/>
        <v>10.994218429905438</v>
      </c>
      <c r="L1052" s="1">
        <f t="shared" ref="L1052" si="1200">SUM(L1053:L1054)</f>
        <v>14.165800584008473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5.479908610004979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7.348793015149103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9.6650259268695251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2.6925550462333696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3.6454254147563345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4.5007746571389466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146.04318834237833</v>
      </c>
      <c r="K1055" s="3">
        <f>[2]Residential!G$245</f>
        <v>147.01496622955693</v>
      </c>
      <c r="L1055" s="3">
        <f>[2]Residential!H$245</f>
        <v>146.49284650834107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121.9616361302205</v>
      </c>
      <c r="K1056" s="1">
        <f>[2]Residential!G$116</f>
        <v>120.32959476589306</v>
      </c>
      <c r="L1056" s="1">
        <f>[2]Residential!H$116</f>
        <v>118.08599210597403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47.793884987023688</v>
      </c>
      <c r="K1057" s="1">
        <f t="shared" si="1203"/>
        <v>54.48668073056524</v>
      </c>
      <c r="L1057" s="1">
        <f t="shared" ref="L1057" si="1204">SUM(L1058:L1059)</f>
        <v>54.657733406180249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3.0138088188013747E-2</v>
      </c>
      <c r="K1058" s="1">
        <f>[2]Residential!G$102</f>
        <v>1.9740596489188827E-2</v>
      </c>
      <c r="L1058" s="1">
        <f>[2]Residential!H$102</f>
        <v>1.6781164875198411E-2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47.763746898835677</v>
      </c>
      <c r="K1059" s="1">
        <f>[2]Residential!G$104</f>
        <v>54.466940134076054</v>
      </c>
      <c r="L1059" s="1">
        <f>[2]Residential!H$104</f>
        <v>54.640952241305051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11.280640686721632</v>
      </c>
      <c r="K1060" s="1">
        <f t="shared" si="1205"/>
        <v>4.073006865817872</v>
      </c>
      <c r="L1060" s="1">
        <f t="shared" si="1205"/>
        <v>0.41648250289379407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11.280640686721632</v>
      </c>
      <c r="K1061" s="1">
        <f>[2]Residential!G$105</f>
        <v>4.073006865817872</v>
      </c>
      <c r="L1061" s="1">
        <f>[2]Residential!H$105</f>
        <v>0.41648250289379407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31.44948602216996</v>
      </c>
      <c r="K1062" s="1">
        <f t="shared" si="1206"/>
        <v>26.605022344696064</v>
      </c>
      <c r="L1062" s="1">
        <f t="shared" ref="L1062" si="1207">SUM(L1063:L1064)</f>
        <v>21.379240307230496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14.564597780583295</v>
      </c>
      <c r="K1063" s="1">
        <f>[2]Residential!G$106</f>
        <v>6.3349216354991533</v>
      </c>
      <c r="L1063" s="1">
        <f>[2]Residential!H$106</f>
        <v>2.4178141556212105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16.884888241586665</v>
      </c>
      <c r="K1064" s="1">
        <f>[2]Residential!G$107</f>
        <v>20.27010070919691</v>
      </c>
      <c r="L1064" s="1">
        <f>[2]Residential!H$107</f>
        <v>18.961426151609285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7.91813912321925</v>
      </c>
      <c r="K1067" s="1">
        <f>SUM([2]Residential!G$109:G$110)</f>
        <v>8.396091496514094</v>
      </c>
      <c r="L1067" s="1">
        <f>SUM([2]Residential!H$109:H$110)</f>
        <v>7.8586777318469929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7.91813912321925</v>
      </c>
      <c r="K1072" s="1">
        <f t="shared" si="1215"/>
        <v>8.396091496514094</v>
      </c>
      <c r="L1072" s="1">
        <f t="shared" ref="L1072" si="1216">L1067-L1068</f>
        <v>7.8586777318469929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7.5548169475028004</v>
      </c>
      <c r="K1073" s="1">
        <f t="shared" si="1217"/>
        <v>6.1772528579431496</v>
      </c>
      <c r="L1073" s="1">
        <f t="shared" si="1217"/>
        <v>3.5318606184179799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7.5548169475028004</v>
      </c>
      <c r="K1074" s="1">
        <f>[2]Residential!G$111</f>
        <v>6.1772528579431496</v>
      </c>
      <c r="L1074" s="1">
        <f>[2]Residential!H$111</f>
        <v>3.5318606184179799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0.41288601362700605</v>
      </c>
      <c r="K1075" s="1">
        <f t="shared" si="1218"/>
        <v>0.44134747229112897</v>
      </c>
      <c r="L1075" s="1">
        <f t="shared" si="1218"/>
        <v>0.36632973979417721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0.41288601362700605</v>
      </c>
      <c r="K1076" s="1">
        <f>[2]Residential!G$112</f>
        <v>0.44134747229112897</v>
      </c>
      <c r="L1076" s="1">
        <f>[2]Residential!H$112</f>
        <v>0.36632973979417721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3.4401399521663739E-2</v>
      </c>
      <c r="K1077" s="1">
        <f t="shared" si="1219"/>
        <v>3.3155068185607858E-2</v>
      </c>
      <c r="L1077" s="1">
        <f t="shared" si="1219"/>
        <v>2.9424962199127169E-2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3.4401399521663739E-2</v>
      </c>
      <c r="K1078" s="1">
        <f>[2]Residential!G$113</f>
        <v>3.3155068185607858E-2</v>
      </c>
      <c r="L1078" s="1">
        <f>[2]Residential!H$113</f>
        <v>2.9424962199127169E-2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15.517380950434497</v>
      </c>
      <c r="K1081" s="1">
        <f>[2]Residential!G$10-[2]Residential!G$223</f>
        <v>20.11703792987991</v>
      </c>
      <c r="L1081" s="1">
        <f>[2]Residential!H$10-[2]Residential!H$223</f>
        <v>29.846242837411211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24.081552212157824</v>
      </c>
      <c r="K1082" s="1">
        <f>[2]Residential!G$224</f>
        <v>26.685371463663841</v>
      </c>
      <c r="L1082" s="1">
        <f>[2]Residential!H$224</f>
        <v>28.40685440236706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11.671618443102822</v>
      </c>
      <c r="K1083" s="1">
        <f t="shared" si="1221"/>
        <v>14.246786763894219</v>
      </c>
      <c r="L1083" s="1">
        <f t="shared" ref="L1083" si="1222">SUM(L1084:L1085)</f>
        <v>16.823877816594472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1.8599513562153627</v>
      </c>
      <c r="K1084" s="1">
        <f>[2]Residential!G$231-K1058</f>
        <v>1.721461974977869</v>
      </c>
      <c r="L1084" s="1">
        <f>[2]Residential!H$231-L1058</f>
        <v>1.5550576850566278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9.8116670868874607</v>
      </c>
      <c r="K1085" s="1">
        <f>[2]Residential!G$233-K1059</f>
        <v>12.52532478891635</v>
      </c>
      <c r="L1085" s="1">
        <f>[2]Residential!H$233-L1059</f>
        <v>15.268820131537844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1.4573482848904398</v>
      </c>
      <c r="K1086" s="1">
        <f t="shared" si="1223"/>
        <v>0.73344309094863736</v>
      </c>
      <c r="L1086" s="1">
        <f t="shared" si="1223"/>
        <v>5.8059926865031752E-2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1.4573482848904398</v>
      </c>
      <c r="K1087" s="1">
        <f>[2]Residential!G$234-K1061</f>
        <v>0.73344309094863736</v>
      </c>
      <c r="L1087" s="1">
        <f>[2]Residential!H$234-L1061</f>
        <v>5.8059926865031752E-2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6.9482876391414798</v>
      </c>
      <c r="K1088" s="1">
        <f t="shared" si="1224"/>
        <v>7.3925806856922129</v>
      </c>
      <c r="L1088" s="1">
        <f t="shared" ref="L1088" si="1225">SUM(L1089:L1090)</f>
        <v>7.2827927831087269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2.3785050521572444</v>
      </c>
      <c r="K1089" s="1">
        <f>[2]Residential!G$235-K1063</f>
        <v>1.426480309138082</v>
      </c>
      <c r="L1089" s="1">
        <f>[2]Residential!H$235-L1063</f>
        <v>0.63679281014053579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4.5697825869842355</v>
      </c>
      <c r="K1090" s="1">
        <f>[2]Residential!G$236-K1064</f>
        <v>5.9661003765541309</v>
      </c>
      <c r="L1090" s="1">
        <f>[2]Residential!H$236-L1064</f>
        <v>6.6459999729681911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1.6912574241845899</v>
      </c>
      <c r="K1093" s="1">
        <f t="shared" si="1226"/>
        <v>1.9678224093441585</v>
      </c>
      <c r="L1093" s="1">
        <f t="shared" ref="L1093" si="1227">SUM(L1094,L1098)</f>
        <v>2.17392682980537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1.6912574241845899</v>
      </c>
      <c r="K1098" s="1">
        <f>[2]Residential!G$239-K1072</f>
        <v>1.9678224093441585</v>
      </c>
      <c r="L1098" s="1">
        <f>[2]Residential!H$239-L1072</f>
        <v>2.17392682980537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1.0747860436063092</v>
      </c>
      <c r="K1099" s="1">
        <f t="shared" si="1232"/>
        <v>1.0023161547425676</v>
      </c>
      <c r="L1099" s="1">
        <f t="shared" si="1232"/>
        <v>0.73441925006014408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1.0747860436063092</v>
      </c>
      <c r="K1100" s="1">
        <f>[2]Residential!G$240-K1074</f>
        <v>1.0023161547425676</v>
      </c>
      <c r="L1100" s="1">
        <f>[2]Residential!H$240-L1074</f>
        <v>0.73441925006014408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0.11493137761167682</v>
      </c>
      <c r="K1101" s="1">
        <f t="shared" ref="K1101:L1101" si="1237">K1102</f>
        <v>0.13335770389489915</v>
      </c>
      <c r="L1101" s="1">
        <f t="shared" si="1237"/>
        <v>0.13377056102484691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0.11493137761167682</v>
      </c>
      <c r="K1102" s="1">
        <f>[2]Residential!G$241-K1076</f>
        <v>0.13335770389489915</v>
      </c>
      <c r="L1102" s="1">
        <f>[2]Residential!H$241-L1076</f>
        <v>0.13377056102484691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1.1233229996205094</v>
      </c>
      <c r="K1103" s="1">
        <f t="shared" ref="K1103:L1103" si="1242">K1104</f>
        <v>1.2090646551471558</v>
      </c>
      <c r="L1103" s="1">
        <f t="shared" si="1242"/>
        <v>1.2000072349084716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1.1233229996205094</v>
      </c>
      <c r="K1104" s="1">
        <f>[2]Residential!G$242-K1078</f>
        <v>1.2090646551471558</v>
      </c>
      <c r="L1104" s="1">
        <f>[2]Residential!H$242-L1078</f>
        <v>1.2000072349084716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0.93261686756531026</v>
      </c>
      <c r="K1109" s="4">
        <f t="shared" si="1250"/>
        <v>0.94287181424845146</v>
      </c>
      <c r="L1109" s="4">
        <f t="shared" ref="L1109" si="1251">IFERROR(L1058/L975,"-")</f>
        <v>0.94530223522236945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3.4466689686833156</v>
      </c>
      <c r="K1110" s="4">
        <f t="shared" si="1250"/>
        <v>3.6548644623554436</v>
      </c>
      <c r="L1110" s="4">
        <f t="shared" ref="L1110" si="1252">IFERROR(L1059/L976,"-")</f>
        <v>4.0610680856467809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0.87024616472597416</v>
      </c>
      <c r="K1111" s="4">
        <f t="shared" si="1253"/>
        <v>0.87092796781223902</v>
      </c>
      <c r="L1111" s="4">
        <f t="shared" ref="L1111" si="1254">IFERROR(L1061/L985,"-")</f>
        <v>0.86951273640986837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0.93469900241320825</v>
      </c>
      <c r="K1112" s="4">
        <f t="shared" si="1255"/>
        <v>0.93408546234879464</v>
      </c>
      <c r="L1112" s="4">
        <f t="shared" ref="L1112" si="1256">IFERROR(L1063/L998,"-")</f>
        <v>0.94072391688614576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1.9648839623357344</v>
      </c>
      <c r="K1113" s="4">
        <f t="shared" si="1257"/>
        <v>1.9958979599569437</v>
      </c>
      <c r="L1113" s="4">
        <f t="shared" ref="L1113" si="1258">IFERROR(L1064/L999,"-")</f>
        <v>2.1078726233911049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0.72766589348264976</v>
      </c>
      <c r="K1119" s="4">
        <f t="shared" si="1261"/>
        <v>0.72991996563806394</v>
      </c>
      <c r="L1119" s="4">
        <f t="shared" ref="L1119" si="1262">IFERROR(L1074/L1022,"-")</f>
        <v>0.75255376835766941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0.73697408738130421</v>
      </c>
      <c r="K1120" s="4">
        <f t="shared" si="1263"/>
        <v>0.74144137689488576</v>
      </c>
      <c r="L1120" s="4">
        <f t="shared" ref="L1120" si="1264">IFERROR(L1076/L1027,"-")</f>
        <v>0.75187233458181579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0.49619468484316909</v>
      </c>
      <c r="K1123" s="4">
        <f t="shared" si="1267"/>
        <v>0.50471517383700315</v>
      </c>
      <c r="L1123" s="4">
        <f t="shared" ref="L1123" si="1268">IFERROR(L1084/L978,"-")</f>
        <v>0.5193164395734029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2.2650540512011204</v>
      </c>
      <c r="K1124" s="4">
        <f t="shared" si="1267"/>
        <v>2.4196364161020107</v>
      </c>
      <c r="L1124" s="4">
        <f t="shared" ref="L1124" si="1269">IFERROR(L1085/L979,"-")</f>
        <v>2.7247289200624021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0.55132869296403653</v>
      </c>
      <c r="K1125" s="4">
        <f t="shared" si="1270"/>
        <v>0.55955700643874939</v>
      </c>
      <c r="L1125" s="4">
        <f t="shared" ref="L1125" si="1271">IFERROR(L1087/L991,"-")</f>
        <v>0.58984950286191606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0.56068708457696848</v>
      </c>
      <c r="K1126" s="4">
        <f t="shared" si="1272"/>
        <v>0.56628128554677137</v>
      </c>
      <c r="L1126" s="4">
        <f t="shared" ref="L1126" si="1273">IFERROR(L1089/L1007,"-")</f>
        <v>0.57164133784000826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2.4343253483040117</v>
      </c>
      <c r="K1127" s="4">
        <f t="shared" si="1274"/>
        <v>2.570847048710462</v>
      </c>
      <c r="L1127" s="4">
        <f t="shared" ref="L1127" si="1275">IFERROR(L1090/L1008,"-")</f>
        <v>3.0980428600802492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0.45986766835713738</v>
      </c>
      <c r="K1132" s="4">
        <f t="shared" si="1276"/>
        <v>0.47108545568154125</v>
      </c>
      <c r="L1132" s="4">
        <f t="shared" ref="L1132" si="1277">IFERROR(L1100/L1024,"-")</f>
        <v>0.49825271200982962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0.47008623414472572</v>
      </c>
      <c r="K1133" s="4">
        <f t="shared" si="1278"/>
        <v>0.48146951136897598</v>
      </c>
      <c r="L1133" s="4">
        <f t="shared" ref="L1133" si="1279">IFERROR(L1102/L1029,"-")</f>
        <v>0.50042688749363662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58.695380443796076</v>
      </c>
      <c r="K1136" s="3">
        <f t="shared" si="1282"/>
        <v>48.792326534345342</v>
      </c>
      <c r="L1136" s="3">
        <f t="shared" ref="L1136" si="1283">L1137+L1152+L1157+L1180+L1203</f>
        <v>39.608116619687813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32.659740838824554</v>
      </c>
      <c r="K1137" s="1">
        <f t="shared" si="1284"/>
        <v>39.568185802646823</v>
      </c>
      <c r="L1137" s="1">
        <f t="shared" ref="L1137" si="1285">SUM(L1138:L1151)</f>
        <v>38.178353046058028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0.99387274467150755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1.2012560896966473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1.1576876652253958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10.547316595462856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11.675818138470817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10.499130564346622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0.62638889842973278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6.151103138069657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9.127547727357312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16.130574757341236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16.575488522148557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15.43643583417094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4.7756562810303144E-4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3.8156957136927183E-4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1.0595427553245633E-4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4.8878074851774088E-3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3.2561583961354047E-3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1.1799199049782869E-3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2.4721584028898125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1.7391903309906729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0.59369663126507566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7.7313391791949907E-3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2.1729158746526338E-3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6.9361998174863315E-4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4.8828415800138462E-4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3.8873550412582889E-4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1.0676134949483165E-4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3.7065727198429977E-3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3.7432232683457011E-3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1.3615977972915873E-3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1.7765262295171813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1.2537386859278412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0.41364166721513757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3.942200417160497E-3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2.3105049513266378E-3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7.2145523264008891E-4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9.1669440924757026E-2</v>
      </c>
      <c r="K1151" s="1">
        <f>[2]Transport!G$32</f>
        <v>0.95933778977667983</v>
      </c>
      <c r="L1151" s="1">
        <f>[2]Transport!H$32</f>
        <v>0.94604364793586138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1.5428722820730759E-4</v>
      </c>
      <c r="K1152" s="1">
        <f t="shared" si="1290"/>
        <v>1.2698439155387311E-4</v>
      </c>
      <c r="L1152" s="1">
        <f t="shared" ref="L1152" si="1291">SUM(L1153:L1156)</f>
        <v>1.1719632873444287E-4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2.100143001343805E-5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1.9178686284597485E-5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1.513553408591098E-5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3.7564539136141338E-5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3.3736509327939162E-5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3.0210245325003622E-5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5.6823286758885993E-5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3.8386017581616164E-5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3.6525011949093306E-5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3.8897972298842219E-5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3.5683178359720314E-5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3.5325537374434967E-5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16.878892253219032</v>
      </c>
      <c r="K1157" s="1">
        <f t="shared" si="1292"/>
        <v>5.5795710602502462</v>
      </c>
      <c r="L1157" s="1">
        <f t="shared" ref="L1157" si="1293">SUM(L1162:L1179)</f>
        <v>0.84651683405600131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15.569724225763796</v>
      </c>
      <c r="K1158" s="1">
        <f>IF(K1157-K1159&lt;0,0,K1157-K1159)</f>
        <v>1.982818598003079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1.3091680274552357</v>
      </c>
      <c r="K1159" s="1">
        <f t="shared" ref="K1159:L1159" si="1300">SUM(K1160:K1161)</f>
        <v>3.5967524622471672</v>
      </c>
      <c r="L1159" s="1">
        <f t="shared" si="1300"/>
        <v>0.8573479157633298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1.3091680274552357</v>
      </c>
      <c r="K1160" s="1">
        <f>[2]Transport!G$25/SUM([2]Transport!G$21,[2]Transport!G$25)*K1157*(K$35+K$600)/(K$35+K$600+K$39)</f>
        <v>2.1781180124178992</v>
      </c>
      <c r="L1160" s="1">
        <f>[2]Transport!H$25/SUM([2]Transport!H$21,[2]Transport!H$25)*L1157*(L$35+L$600)/(L$35+L$600+L$39)</f>
        <v>0.12042424387113126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1.4186344498292678</v>
      </c>
      <c r="L1161" s="1">
        <f>(L$39+L$719)/([2]Transport!H$21+[2]Transport!H$25)*L1157</f>
        <v>0.73692367189219854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2.6773230035561971E-3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2.9657560831145415E-4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0.41648797554926048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4.8168545522012808E-2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0.2655810680067161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1.6349235896304394E-4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1.6337184447940464E-2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1.6042156235443066E-4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0.65897397231959387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8.7115746475894762E-2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0.52083617318515485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4.8829284350946356E-2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1.4238878361283167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0.11063000329777828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1.9106845734121842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0.23337581608000163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8.2535402288762608E-4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2.4586485405835539E-4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8.5279031254191138E-4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2.2431036250229725E-4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9.2045841055150813E-4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2.2286314679359929E-4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1.0982866776117753E-3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2.6225767868122597E-4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3.6393245894261526E-3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1.8077387159013112E-3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2.5068659563204983E-4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3.1061769484226606E-2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1.2780690761680801E-2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2.3037602931261633E-3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11.585442834890301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5.0284552886403029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0.84289358789409419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3.95853287787645E-2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6.8321608340624505E-3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1.0687992731489354E-3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9.1558037141812711</v>
      </c>
      <c r="K1180" s="1">
        <f t="shared" si="1301"/>
        <v>3.644308929793695</v>
      </c>
      <c r="L1180" s="1">
        <f t="shared" ref="L1180" si="1302">SUM(L1185:L1202)</f>
        <v>0.58312954324504473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8.3792755310634384</v>
      </c>
      <c r="K1181" s="1">
        <f t="shared" si="1303"/>
        <v>3.0124400929307611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0.776528183117832</v>
      </c>
      <c r="K1182" s="1">
        <f t="shared" ref="K1182:L1182" si="1311">SUM(K1183:K1184)</f>
        <v>0.63186883686293394</v>
      </c>
      <c r="L1182" s="1">
        <f t="shared" si="1311"/>
        <v>0.58744162159567526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0.776528183117832</v>
      </c>
      <c r="K1183" s="1">
        <f>[2]Transport!G$26/SUM([2]Transport!G$22,[2]Transport!G$26)*K1180*(K$34+K$582)/(K$34+K$582+K$38)</f>
        <v>0.6193661978308963</v>
      </c>
      <c r="L1183" s="1">
        <f>[2]Transport!H$26/SUM([2]Transport!H$22,[2]Transport!H$26)*L1180*(L$34+L$582)/(L$34+L$582+L$38)</f>
        <v>0.29402520752477779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1.2502639032037684E-2</v>
      </c>
      <c r="L1184" s="1">
        <f>(L$38+L$718)/([2]Transport!H$22+[2]Transport!H$26)*L1180</f>
        <v>0.29341641407089752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2.9633367159903629E-2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1.7927784373670036E-4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0.61465258071049511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4.52967820373254E-2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6.6067977756501554E-3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1.2723042826939481E-4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1.3046816513669396E-2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1.3060341791796163E-4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1.0288526273643636E-3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1.8916395553740363E-4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2.1398527156649826E-2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1.7618311175339533E-4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0.13833311569811263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1.6851863852696886E-4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7.7976152969954957E-2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1.2453426119055897E-4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6.2018308591830357E-4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1.8045487210802374E-4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6.5062846465265293E-4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1.7054394333512144E-4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6.7615375699767253E-4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1.6605724352354839E-4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4.977630328378297E-4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1.2488026457250286E-4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3.631729456712677E-3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1.8029214628785795E-3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2.5024528732752447E-4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2.3129309358407447E-2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1.4477079625418134E-2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2.6258101860093079E-3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8.204128645794329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3.5738319453650718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0.57913918276871224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1.9793090619614446E-2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7.1627533225299619E-3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1.1143050029956427E-3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7.8935034300742235E-4</v>
      </c>
      <c r="K1203" s="1">
        <f t="shared" si="1312"/>
        <v>1.3375726302475896E-4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8.2111537191636719E-2</v>
      </c>
      <c r="K1205" s="1">
        <f t="shared" ref="K1205:L1205" si="1319">SUM(K1206:K1207)</f>
        <v>0.55419612484537462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1.6668966650335514E-4</v>
      </c>
      <c r="K1206" s="1">
        <f>[2]Transport!G$27/SUM([2]Transport!G$24,[2]Transport!G$27)*K1203*(K$47+K$614)/(K$47+K$614+K$49)</f>
        <v>3.6901722445752274E-5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8.1944847525133369E-2</v>
      </c>
      <c r="K1207" s="1">
        <f>(K$49+K$716)/([2]Transport!G$24+[2]Transport!G$27)*K1203</f>
        <v>0.55415922312292887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1.0990158586662005E-4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1.9182504990494984E-5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2.1583604415424028E-4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3.4332969047350538E-5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2.5239796257273166E-4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4.2499925713355533E-5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2.1121475041383029E-4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3.7741863273557921E-5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62.615486569435994</v>
      </c>
      <c r="K1213" s="3">
        <f t="shared" si="1320"/>
        <v>62.341172601111381</v>
      </c>
      <c r="L1213" s="3">
        <f t="shared" ref="L1213" si="1321">SUM(L1214:L1263)</f>
        <v>61.141093807676327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1.8643916478411158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2.3134202717401275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2.4465717624901919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16.020981520937195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18.166448255188747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18.037930216353185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0.87834958696566123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9.072608233571648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14.494805005890182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21.406374866543622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22.717661168371514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23.56932741803211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3.4806820353235446E-3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2.0642206459908969E-3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3.8851720630459142E-4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2.5803793460224704E-2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1.3135940288249682E-2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3.5079442051619788E-3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9.955464098070113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5.5849401871283906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1.5212392792824425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3.1292190301338264E-2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6.7963830984348328E-3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1.6236152106373055E-3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3.5415849441916883E-3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2.0976469001978849E-3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3.9166587243531645E-4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1.9516333319157801E-2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1.5113656363290762E-2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4.0393101449202815E-3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7.1538469378944889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4.0257569002278251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1.0594591625496745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1.5850148448275949E-2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7.2158194652516263E-3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1.6850835169798044E-3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2.3528336974378613E-5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2.2929361844235432E-5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1.9878753966157376E-5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3.4236190412867415E-5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3.2807024314087256E-5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3.2570836490644799E-5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4.7931789701055754E-5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3.4716802565078906E-5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3.6821892442273624E-5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3.3237613417629572E-5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3.2458753449717974E-5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3.5555439208001133E-5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3.388403106710442E-3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2.7261850069936329E-4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0.78861327981529494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8.9328670387419498E-2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0.67654682148819867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1.6775497094252605E-4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2.6010478508691062E-2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1.3210643136294241E-4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0.39496247632439396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5.2180738892480767E-2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0.29697411622421022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2.7017301712116418E-2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0.69609628073687158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5.3348854932971118E-2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0.82929588432458901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0.10139042664478098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4.7518899378961411E-4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1.4721842145472237E-4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3.9474849897953049E-4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1.081315001910637E-4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3.9419095170387965E-4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9.9712672790148364E-5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4.746838720133168E-4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1.1832179396812692E-4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5.0000107893685107E-2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1.7710263476361076E-4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1.3102589378928766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8.8319971299266609E-2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9.6301744934943565E-3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1.1003803499496945E-4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2.0583585242305948E-2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1.125775324095838E-4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8.3640295059352878E-4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1.2820064510573836E-4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1.7661960562403545E-2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9.8676927045924322E-5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8.1773952617343576E-2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8.1971085500147074E-5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3.0462941553373053E-2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5.2611057532707502E-5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3.7955201598175863E-4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1.1426895247454205E-4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3.2066558314964455E-4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8.7061952902789741E-5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3.0872933402235436E-4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7.8747899181629271E-5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2.1574401509104777E-4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5.6230128504522563E-5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6.333934530514148E-5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1.0727898833275224E-5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1.0374022258402201E-4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1.5401527270024239E-5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1.2338934697113014E-4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1.9088041006161948E-5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1.0446883012971622E-4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1.6473701553091333E-5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1.8758856783594866</v>
      </c>
      <c r="K1266" s="1">
        <f t="shared" si="1325"/>
        <v>1.9258343758526415</v>
      </c>
      <c r="L1266" s="1">
        <f t="shared" ref="L1266" si="1330">IFERROR(L1215/L1139,"-")</f>
        <v>2.1133262761453513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1.5189627974027959</v>
      </c>
      <c r="K1267" s="1">
        <f t="shared" si="1325"/>
        <v>1.5559036668558466</v>
      </c>
      <c r="L1267" s="1">
        <f t="shared" ref="L1267" si="1331">IFERROR(L1216/L1140,"-")</f>
        <v>1.7180403754199542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1.4022432216911216</v>
      </c>
      <c r="K1268" s="1">
        <f t="shared" si="1325"/>
        <v>1.4749562850638234</v>
      </c>
      <c r="L1268" s="1">
        <f t="shared" ref="L1268" si="1332">IFERROR(L1217/L1141,"-")</f>
        <v>1.5880283991773601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1.3270683276057043</v>
      </c>
      <c r="K1269" s="1">
        <f t="shared" si="1325"/>
        <v>1.3705575638398615</v>
      </c>
      <c r="L1269" s="1">
        <f t="shared" ref="L1269" si="1333">IFERROR(L1218/L1142,"-")</f>
        <v>1.5268633038889556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0.84546389420423518</v>
      </c>
      <c r="K1270" s="1">
        <f t="shared" si="1334"/>
        <v>0.94286430924005071</v>
      </c>
      <c r="L1270" s="1">
        <f t="shared" ref="L1270" si="1335">IFERROR(L1219/SUM(L1143,L1176),"-")</f>
        <v>1.0893793665207312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0.71777738809515934</v>
      </c>
      <c r="K1271" s="1">
        <f t="shared" si="1334"/>
        <v>0.81910979887513313</v>
      </c>
      <c r="L1271" s="1">
        <f t="shared" ref="L1271" si="1336">IFERROR(L1220/SUM(L1144,L1177),"-")</f>
        <v>1.0069650500843135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0.70819081646124538</v>
      </c>
      <c r="K1272" s="1">
        <f t="shared" si="1334"/>
        <v>0.82524122878539918</v>
      </c>
      <c r="L1272" s="1">
        <f t="shared" ref="L1272" si="1337">IFERROR(L1221/SUM(L1145,L1178),"-")</f>
        <v>1.0589235949085172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0.66133545855640441</v>
      </c>
      <c r="K1273" s="1">
        <f t="shared" si="1334"/>
        <v>0.75472795160726569</v>
      </c>
      <c r="L1273" s="1">
        <f t="shared" ref="L1273" si="1338">IFERROR(L1222/SUM(L1146,L1179),"-")</f>
        <v>0.92124232422305752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0.8596051555614781</v>
      </c>
      <c r="K1274" s="1">
        <f t="shared" si="1339"/>
        <v>0.95710548310166521</v>
      </c>
      <c r="L1274" s="1">
        <f t="shared" ref="L1274" si="1340">IFERROR(L1223/SUM(L1147,L1199),"-")</f>
        <v>1.0970828887705146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0.72724769255768618</v>
      </c>
      <c r="K1275" s="1">
        <f t="shared" si="1339"/>
        <v>0.82949534107161482</v>
      </c>
      <c r="L1275" s="1">
        <f t="shared" ref="L1275" si="1341">IFERROR(L1224/SUM(L1148,L1200),"-")</f>
        <v>1.0130165164529814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0.7167712968004224</v>
      </c>
      <c r="K1276" s="1">
        <f t="shared" si="1339"/>
        <v>0.83390947698048545</v>
      </c>
      <c r="L1276" s="1">
        <f t="shared" ref="L1276" si="1342">IFERROR(L1225/SUM(L1149,L1201),"-")</f>
        <v>1.0671631735915428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0.66778824930851166</v>
      </c>
      <c r="K1277" s="1">
        <f t="shared" si="1339"/>
        <v>0.76170407864474265</v>
      </c>
      <c r="L1277" s="1">
        <f t="shared" ref="L1277" si="1343">IFERROR(L1226/SUM(L1150,L1202),"-")</f>
        <v>0.91792135174790568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1.1203207095575725</v>
      </c>
      <c r="K1278" s="1">
        <f t="shared" si="1344"/>
        <v>1.1955647797758775</v>
      </c>
      <c r="L1278" s="1">
        <f t="shared" ref="L1278" si="1345">IFERROR(L1227/L1153,"-")</f>
        <v>1.3133830529747645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0.9113965244931842</v>
      </c>
      <c r="K1279" s="1">
        <f t="shared" si="1346"/>
        <v>0.9724486903841546</v>
      </c>
      <c r="L1279" s="1">
        <f t="shared" ref="L1279" si="1347">IFERROR(L1228/L1154,"-")</f>
        <v>1.0781387618751783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0.84352371070052912</v>
      </c>
      <c r="K1280" s="1">
        <f t="shared" si="1348"/>
        <v>0.90441271984686111</v>
      </c>
      <c r="L1280" s="1">
        <f t="shared" ref="L1280" si="1349">IFERROR(L1229/L1155,"-")</f>
        <v>1.0081281422602708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0.8544819036394572</v>
      </c>
      <c r="K1281" s="1">
        <f t="shared" si="1350"/>
        <v>0.90963739615633232</v>
      </c>
      <c r="L1281" s="1">
        <f t="shared" ref="L1281" si="1351">IFERROR(L1230/L1156,"-")</f>
        <v>1.0065080916145537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1.2655936927332792</v>
      </c>
      <c r="K1283" s="1">
        <f t="shared" si="1352"/>
        <v>0.91922091048387267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1.8934839085696988</v>
      </c>
      <c r="K1284" s="1">
        <f t="shared" si="1352"/>
        <v>1.854502132446509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2.547421119155564</v>
      </c>
      <c r="K1285" s="1">
        <f t="shared" si="1352"/>
        <v>1.0260722397457465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1.592102886000657</v>
      </c>
      <c r="K1286" s="1">
        <f t="shared" si="1352"/>
        <v>0.82349547918670907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0.59935975154545595</v>
      </c>
      <c r="K1288" s="1">
        <f t="shared" si="1352"/>
        <v>0.59898171115275201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0.57018719419597086</v>
      </c>
      <c r="K1289" s="1">
        <f t="shared" si="1352"/>
        <v>0.55330120175297626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0.48887016454162713</v>
      </c>
      <c r="K1290" s="1">
        <f t="shared" si="1352"/>
        <v>0.48222772613839826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0.43403076356219072</v>
      </c>
      <c r="K1291" s="1">
        <f t="shared" si="1352"/>
        <v>0.43445129982973119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0.57573959853868939</v>
      </c>
      <c r="K1292" s="1">
        <f t="shared" si="1352"/>
        <v>0.59877782051671546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0.46289045873762796</v>
      </c>
      <c r="K1293" s="1">
        <f t="shared" si="1352"/>
        <v>0.48206199207562817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0.42825503812572424</v>
      </c>
      <c r="K1294" s="1">
        <f t="shared" si="1352"/>
        <v>0.44741660622110607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0.43220397887873596</v>
      </c>
      <c r="K1295" s="1">
        <f t="shared" si="1352"/>
        <v>0.4511661758127089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1.6872908037713428</v>
      </c>
      <c r="K1297" s="1">
        <f t="shared" si="1367"/>
        <v>0.98786682766954592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2.1317065591399773</v>
      </c>
      <c r="K1298" s="1">
        <f t="shared" si="1367"/>
        <v>1.949806748446044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1.4576160525129256</v>
      </c>
      <c r="K1299" s="1">
        <f t="shared" si="1367"/>
        <v>0.86487200028893574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1.5776710909316565</v>
      </c>
      <c r="K1300" s="1">
        <f t="shared" si="1367"/>
        <v>0.86197998646788276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0.81294728549817896</v>
      </c>
      <c r="K1302" s="1">
        <f t="shared" si="1367"/>
        <v>0.67772237444246652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0.8253820663967939</v>
      </c>
      <c r="K1303" s="1">
        <f t="shared" si="1367"/>
        <v>0.56008164496517165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0.59113793688996819</v>
      </c>
      <c r="K1304" s="1">
        <f t="shared" si="1367"/>
        <v>0.48642147964558141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0.39066997271730947</v>
      </c>
      <c r="K1305" s="1">
        <f t="shared" si="1367"/>
        <v>0.42246251778218269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0.61199994743448527</v>
      </c>
      <c r="K1306" s="1">
        <f t="shared" si="1367"/>
        <v>0.63322730575065034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0.49285514017717674</v>
      </c>
      <c r="K1307" s="1">
        <f t="shared" si="1367"/>
        <v>0.51049571858269793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0.45659634488049894</v>
      </c>
      <c r="K1308" s="1">
        <f t="shared" si="1367"/>
        <v>0.47422140408143126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0.43342715480708827</v>
      </c>
      <c r="K1309" s="1">
        <f t="shared" si="1367"/>
        <v>0.45027233644173242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2.7384883968495058E-3</v>
      </c>
      <c r="K1311" s="1">
        <f t="shared" si="1382"/>
        <v>7.4102644392724857E-4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1.264488004307468E-5</v>
      </c>
      <c r="K1312" s="1">
        <f t="shared" si="1382"/>
        <v>4.3095275618649582E-6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6.2339605947569635E-3</v>
      </c>
      <c r="K1313" s="1">
        <f t="shared" si="1382"/>
        <v>2.6649027471212488E-3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0.13234786182734817</v>
      </c>
      <c r="K1314" s="1">
        <f t="shared" si="1382"/>
        <v>0.12316117405932558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1.1933550665974408</v>
      </c>
      <c r="K1315" s="3">
        <f t="shared" si="1390"/>
        <v>1.1760589991239714</v>
      </c>
      <c r="L1315" s="3">
        <f t="shared" ref="L1315" si="1391">L1316+L1322+L1327+L1341</f>
        <v>1.1499682471735504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1.1932620995163736</v>
      </c>
      <c r="K1316" s="1">
        <f t="shared" si="1392"/>
        <v>1.1760507529093303</v>
      </c>
      <c r="L1316" s="1">
        <f t="shared" ref="L1316" si="1393">SUM(L1317:L1321)</f>
        <v>1.1498485572016786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0.24298451860802778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0.25235527707740713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0.24140301501072536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0.12197609104032243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0.12551892885855359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0.12081489153773799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0.82680341016602021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0.79801196672285657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0.78752495906477615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1.4980797020031791E-3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1.6458025051310025E-4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1.0569158843888893E-4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3.2252231588303256E-6</v>
      </c>
      <c r="K1322" s="1">
        <f t="shared" si="1396"/>
        <v>0</v>
      </c>
      <c r="L1322" s="1">
        <f t="shared" ref="L1322" si="1397">SUM(L1323:L1326)</f>
        <v>3.7853081847444899E-6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3.0476484611074738E-6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1.775746977228516E-7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3.7853081847444899E-6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7.3288147597532687E-5</v>
      </c>
      <c r="K1327" s="1">
        <f t="shared" si="1398"/>
        <v>0</v>
      </c>
      <c r="L1327" s="1">
        <f t="shared" ref="L1327" si="1399">SUM(L1332:L1340)</f>
        <v>8.0906369503669118E-5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6.7072383927344327E-5</v>
      </c>
      <c r="K1328" s="1">
        <f t="shared" si="1400"/>
        <v>0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6.2157636701883568E-6</v>
      </c>
      <c r="K1329" s="1">
        <f t="shared" ref="K1329:L1329" si="1405">SUM(K1330:K1331)</f>
        <v>0</v>
      </c>
      <c r="L1329" s="1">
        <f t="shared" si="1405"/>
        <v>8.1504649265698399E-5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6.2157636701883568E-6</v>
      </c>
      <c r="K1330" s="1">
        <f>[2]Transport!G$26/SUM([2]Transport!G$22,[2]Transport!G$26)*K1327*(K$34+K$582)/(K$34+K$582+K$38)</f>
        <v>0</v>
      </c>
      <c r="L1330" s="1">
        <f>[2]Transport!H$26/SUM([2]Transport!H$22,[2]Transport!H$26)*L1327*(L$34+L$582)/(L$34+L$582+L$38)</f>
        <v>4.0794558188584482E-5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4.0710091077113924E-5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2.6437580658919494E-5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2.3378692047786602E-6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2.7222161113647053E-5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2.8864160550368361E-7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1.9628405824966137E-5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2.6751247873003039E-5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1.3161921280013511E-5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2.1289452611594101E-5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1.7077236928776134E-5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1.6453710310887779E-5</v>
      </c>
      <c r="K1341" s="1">
        <f t="shared" si="1406"/>
        <v>8.2462146410418078E-6</v>
      </c>
      <c r="L1341" s="1">
        <f t="shared" ref="L1341" si="1407">SUM(L1346:L1350)</f>
        <v>3.4998294183459425E-5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1.7115840362916957E-3</v>
      </c>
      <c r="K1343" s="1">
        <f t="shared" ref="K1343:L1343" si="1413">SUM(K1344:K1345)</f>
        <v>3.4166519973293966E-2</v>
      </c>
      <c r="L1343" s="1">
        <f t="shared" si="1413"/>
        <v>2.7464298634656461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3.4745832554086956E-6</v>
      </c>
      <c r="K1344" s="1">
        <f>[2]Transport!G$27/SUM([2]Transport!G$24,[2]Transport!G$27)*K1341*(K$47+K$614)/(K$47+K$614+K$49)</f>
        <v>2.2750130873677982E-6</v>
      </c>
      <c r="L1344" s="1">
        <f>[2]Transport!H$27/SUM([2]Transport!H$24,[2]Transport!H$27)*L1341*(L$47+L$614)/(L$47+L$614+L$49)</f>
        <v>1.7166366545389904E-5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1.7081094530362871E-3</v>
      </c>
      <c r="K1345" s="1">
        <f>(K$49+K$716)/([2]Transport!G$24+[2]Transport!G$27)*K1341</f>
        <v>3.4164244960206598E-2</v>
      </c>
      <c r="L1345" s="1">
        <f>(L$49+L$716)/([2]Transport!H$24+[2]Transport!H$27)*L1341</f>
        <v>2.7464126970991005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5.2087811970868424E-6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1.1244929113800935E-5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8.2462146410418078E-6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2.5551566133922914E-5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9.4467280495365133E-6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0.33689281873766697</v>
      </c>
      <c r="K1351" s="3">
        <f t="shared" si="1414"/>
        <v>0.35122060390286786</v>
      </c>
      <c r="L1351" s="3">
        <f t="shared" ref="L1351" si="1415">SUM(L1352:L1374)</f>
        <v>0.37571105732850685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0.11443512130713582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0.11951532757031012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0.12785632133111921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4.1380920786516777E-2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4.3141556483740906E-2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4.6146468010023853E-2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0.18084539066408345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0.1885373330830479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0.20168105758359015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2.1833329503278138E-4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2.5801630343694975E-5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1.7929071708522737E-5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7.5158849783382529E-7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2.0085188408106798E-8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5.4684853740492218E-7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5.1422731615980343E-6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4.5473003835560447E-7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3.7947352497395645E-6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4.0236279198169304E-8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1.8406174539185694E-6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2.6412040058195487E-6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8.7759433684397798E-7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1.6003395926419248E-6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8.5857784899917132E-7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7.5696357915781117E-7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7.46421767464819E-7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5.8513542518970085E-7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1.8130896617246982E-6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4.4871176415150788E-7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0.47095642949885896</v>
      </c>
      <c r="K1377" s="1">
        <f t="shared" si="1423"/>
        <v>0.47359947830078525</v>
      </c>
      <c r="L1377" s="1">
        <f t="shared" ref="L1377" si="1424">IFERROR(L1353/L1318,"-")</f>
        <v>0.52963846091747713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0.33925436069956705</v>
      </c>
      <c r="K1378" s="1">
        <f t="shared" si="1425"/>
        <v>0.34370558190754502</v>
      </c>
      <c r="L1378" s="1">
        <f t="shared" ref="L1378" si="1426">IFERROR(L1354/L1319,"-")</f>
        <v>0.38196009964226513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0.21872840440724611</v>
      </c>
      <c r="K1379" s="1">
        <f t="shared" si="1427"/>
        <v>0.23625877924776217</v>
      </c>
      <c r="L1379" s="1">
        <f t="shared" ref="L1379" si="1428">IFERROR(L1355/L1320,"-")</f>
        <v>0.25609481358291947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0.14574210887500433</v>
      </c>
      <c r="K1380" s="1">
        <f t="shared" si="1429"/>
        <v>0.15677233606860513</v>
      </c>
      <c r="L1380" s="1">
        <f t="shared" ref="L1380" si="1430">IFERROR(L1356/L1321,"-")</f>
        <v>0.16963574843885859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0.2466125957193594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>
        <f t="shared" si="1435"/>
        <v>0.11310839137372267</v>
      </c>
      <c r="K1383" s="1" t="str">
        <f t="shared" si="1435"/>
        <v>-</v>
      </c>
      <c r="L1383" s="1">
        <f t="shared" ref="L1383" si="1436">IFERROR(L1359/L1325,"-")</f>
        <v>0.14446605420631944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0.19450619282983209</v>
      </c>
      <c r="K1385" s="1" t="str">
        <f t="shared" si="1439"/>
        <v>-</v>
      </c>
      <c r="L1385" s="1">
        <f t="shared" ref="L1385" si="1440">IFERROR(L1361/L1332,"-")</f>
        <v>0.19450619282983217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0.13939875066851995</v>
      </c>
      <c r="K1386" s="1" t="str">
        <f t="shared" si="1441"/>
        <v>-</v>
      </c>
      <c r="L1386" s="1">
        <f t="shared" ref="L1386" si="1442">IFERROR(L1362/L1333,"-")</f>
        <v>0.13939875066852001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>
        <f t="shared" si="1443"/>
        <v>9.3773150521343718E-2</v>
      </c>
      <c r="K1387" s="1" t="str">
        <f t="shared" si="1443"/>
        <v>-</v>
      </c>
      <c r="L1387" s="1">
        <f t="shared" ref="L1387" si="1444">IFERROR(L1363/L1334,"-")</f>
        <v>9.8731992554448741E-2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 t="str">
        <f t="shared" si="1445"/>
        <v>-</v>
      </c>
      <c r="K1388" s="1" t="str">
        <f t="shared" si="1445"/>
        <v>-</v>
      </c>
      <c r="L1388" s="1">
        <f t="shared" ref="L1388" si="1446">IFERROR(L1364/L1335,"-")</f>
        <v>6.6676765357699896E-2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 t="str">
        <f t="shared" si="1449"/>
        <v>-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 t="str">
        <f t="shared" si="1451"/>
        <v>-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 t="str">
        <f t="shared" si="1453"/>
        <v>-</v>
      </c>
      <c r="K1392" s="1" t="str">
        <f t="shared" si="1453"/>
        <v>-</v>
      </c>
      <c r="L1392" s="1">
        <f t="shared" ref="L1392" si="1454">IFERROR(L1368/L1339,"-")</f>
        <v>7.5170537347230337E-2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 t="str">
        <f t="shared" si="1455"/>
        <v>-</v>
      </c>
      <c r="K1393" s="1" t="str">
        <f t="shared" si="1455"/>
        <v>-</v>
      </c>
      <c r="L1393" s="1">
        <f t="shared" ref="L1393" si="1456">IFERROR(L1369/L1340,"-")</f>
        <v>5.0276157236679074E-2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>
        <f t="shared" si="1459"/>
        <v>0.14532451076677291</v>
      </c>
      <c r="K1395" s="1" t="str">
        <f t="shared" si="1459"/>
        <v>-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 t="str">
        <f t="shared" si="1461"/>
        <v>-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>
        <f t="shared" si="1463"/>
        <v>6.6378521368243515E-2</v>
      </c>
      <c r="K1397" s="1">
        <f t="shared" si="1463"/>
        <v>7.0958063870597499E-2</v>
      </c>
      <c r="L1397" s="1">
        <f t="shared" ref="L1397" si="1464">IFERROR(L1373/L1349,"-")</f>
        <v>7.0958063870597499E-2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 t="str">
        <f t="shared" si="1465"/>
        <v>-</v>
      </c>
      <c r="K1398" s="1" t="str">
        <f t="shared" si="1465"/>
        <v>-</v>
      </c>
      <c r="L1398" s="1">
        <f t="shared" ref="L1398" si="1466">IFERROR(L1374/L1350,"-")</f>
        <v>4.7499172390542473E-2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0.36580767853971813</v>
      </c>
      <c r="K1399" s="3">
        <f t="shared" ref="K1399:L1399" si="1471">K1400+K1406+K1411+K1425</f>
        <v>0.35571610785320984</v>
      </c>
      <c r="L1399" s="3">
        <f t="shared" si="1471"/>
        <v>0.31321100747288821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0.3657245111298556</v>
      </c>
      <c r="K1400" s="1">
        <f t="shared" ref="K1400:L1400" si="1476">SUM(K1401:K1405)</f>
        <v>0.35554020054952823</v>
      </c>
      <c r="L1400" s="1">
        <f t="shared" si="1476"/>
        <v>0.31313457390133687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0.13770248745628083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0.13751517628132393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0.11875823334659186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0.1730721749891535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0.1644512426886692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0.14816569998063234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5.4845829345895394E-2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5.3329951999602776E-2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4.612861469269762E-2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1.0401933852588802E-4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2.4382957993233527E-4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8.2025881415010126E-5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8.8243379208821067E-6</v>
      </c>
      <c r="K1406" s="1">
        <f t="shared" ref="K1406:L1406" si="1483">SUM(K1407:K1410)</f>
        <v>0</v>
      </c>
      <c r="L1406" s="1">
        <f t="shared" si="1483"/>
        <v>3.0963799113043543E-7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5.8533358566181248E-6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2.9710020642639824E-6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3.0963799113043543E-7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5.8576296506834415E-5</v>
      </c>
      <c r="K1411" s="1">
        <f t="shared" si="1484"/>
        <v>1.7089396412219997E-4</v>
      </c>
      <c r="L1411" s="1">
        <f t="shared" ref="L1411" si="1485">SUM(L1416:L1424)</f>
        <v>7.6123933560221671E-5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5.3608284247050951E-5</v>
      </c>
      <c r="K1412" s="1">
        <f t="shared" si="1486"/>
        <v>1.4126349853406351E-4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4.968012259783465E-6</v>
      </c>
      <c r="K1413" s="1">
        <f t="shared" ref="K1413:L1413" si="1491">SUM(K1414:K1415)</f>
        <v>2.9630465588136454E-5</v>
      </c>
      <c r="L1413" s="1">
        <f t="shared" si="1491"/>
        <v>7.6686848558565242E-5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4.968012259783465E-6</v>
      </c>
      <c r="K1414" s="1">
        <f>[2]Transport!G$26/SUM([2]Transport!G$22,[2]Transport!G$26)*K1411*(K$34+K$582)/(K$34+K$582+K$38)</f>
        <v>2.9044174582808644E-5</v>
      </c>
      <c r="L1414" s="1">
        <f>[2]Transport!H$26/SUM([2]Transport!H$22,[2]Transport!H$26)*L1411*(L$34+L$582)/(L$34+L$582+L$38)</f>
        <v>3.8383161377987296E-5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5.8629100532781116E-7</v>
      </c>
      <c r="L1415" s="1">
        <f>(L$38+L$718)/([2]Transport!H$22+[2]Transport!H$26)*L1411</f>
        <v>3.8303687180577946E-5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2.6648524617847377E-5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4.9144132114461958E-5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2.3507973395678602E-5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1.7771003648473908E-5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6.1165857821030966E-5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3.2128605957845311E-5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4.9491599470058526E-6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2.0161580993108708E-5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5.7525229098345608E-6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9.2076082935072822E-6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2.7869111796792178E-5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1.4734831296863198E-5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1.2553281396806167E-5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1.576677543477831E-5</v>
      </c>
      <c r="K1425" s="1">
        <f t="shared" ref="K1425:L1425" si="1496">SUM(K1430:K1434)</f>
        <v>5.0133395594275966E-6</v>
      </c>
      <c r="L1425" s="1">
        <f t="shared" si="1496"/>
        <v>0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1.6401261860132109E-3</v>
      </c>
      <c r="K1427" s="1">
        <f t="shared" ref="K1427:L1427" si="1502">SUM(K1428:K1429)</f>
        <v>2.0771756938944723E-2</v>
      </c>
      <c r="L1427" s="1">
        <f t="shared" si="1502"/>
        <v>0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3.3295209944968329E-6</v>
      </c>
      <c r="K1428" s="1">
        <f>[2]Transport!G$27/SUM([2]Transport!G$24,[2]Transport!G$27)*K1425*(K$47+K$614)/(K$47+K$614+K$49)</f>
        <v>1.3831089300478795E-6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1.6367966650187142E-3</v>
      </c>
      <c r="K1429" s="1">
        <f>(K$49+K$716)/([2]Transport!G$24+[2]Transport!G$27)*K1425</f>
        <v>2.0770373830014677E-2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8.6474437893075406E-6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7.1193316454707708E-6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5.0133395594275966E-6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0.13463556323308504</v>
      </c>
      <c r="K1435" s="3">
        <f t="shared" ref="K1435:L1435" si="1507">SUM(K1436:K1458)</f>
        <v>0.13473381469375326</v>
      </c>
      <c r="L1435" s="3">
        <f t="shared" si="1507"/>
        <v>0.13114443883494387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6.481000432169759E-2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6.4831797233168481E-2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6.3133645386360793E-2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5.750165121052217E-2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5.7534181647824097E-2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5.6006893469254949E-2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1.2294848059809561E-2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1.230260116896267E-2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1.1977725151261819E-2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1.5723667388877816E-5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3.8463462757605226E-5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1.4014516453010496E-5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1.4449820068690186E-6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5.3932409745839901E-7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4.5389787480826306E-8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5.1833030679495513E-6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1.0057268861377288E-5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4.7946989013938442E-6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2.4772557067229723E-6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8.9713266831544771E-6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4.7123710872418726E-6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7.6632390374220401E-7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3.2818084798414095E-6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9.3636895203951628E-7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9.8486112261496465E-7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3.1614032393292751E-6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1.6714828851573062E-6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9.4363690806891016E-7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1.2273496191471495E-6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7.1257414225318331E-7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3.5573686866285617E-7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0.47065238630692219</v>
      </c>
      <c r="K1461" s="1">
        <f t="shared" si="1515"/>
        <v>0.47145194433331322</v>
      </c>
      <c r="L1461" s="1">
        <f t="shared" ref="L1461" si="1516">IFERROR(L1437/L1402,"-")</f>
        <v>0.53161489193012323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0.3322408770452317</v>
      </c>
      <c r="K1462" s="1">
        <f t="shared" si="1517"/>
        <v>0.34985556026928238</v>
      </c>
      <c r="L1462" s="1">
        <f t="shared" ref="L1462" si="1518">IFERROR(L1438/L1403,"-")</f>
        <v>0.37800174720988705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0.22417106654126462</v>
      </c>
      <c r="K1463" s="1">
        <f t="shared" si="1519"/>
        <v>0.23068839756417378</v>
      </c>
      <c r="L1463" s="1">
        <f t="shared" ref="L1463" si="1520">IFERROR(L1439/L1404,"-")</f>
        <v>0.2596593292700366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0.15116100151862202</v>
      </c>
      <c r="K1464" s="1">
        <f t="shared" si="1521"/>
        <v>0.15774731994485311</v>
      </c>
      <c r="L1464" s="1">
        <f t="shared" ref="L1464" si="1522">IFERROR(L1440/L1405,"-")</f>
        <v>0.17085481083835014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>
        <f t="shared" si="1523"/>
        <v>0.24686470113196002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>
        <f t="shared" si="1525"/>
        <v>0.18152935803900488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 t="str">
        <f t="shared" si="1527"/>
        <v>-</v>
      </c>
      <c r="K1467" s="1" t="str">
        <f t="shared" si="1527"/>
        <v>-</v>
      </c>
      <c r="L1467" s="1">
        <f t="shared" ref="L1467" si="1528">IFERROR(L1443/L1409,"-")</f>
        <v>0.1465898526053471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0.19450619282983217</v>
      </c>
      <c r="K1469" s="1">
        <f t="shared" si="1531"/>
        <v>0.20464841739300288</v>
      </c>
      <c r="L1469" s="1">
        <f t="shared" ref="L1469" si="1532">IFERROR(L1445/L1416,"-")</f>
        <v>0.20396053801367833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0.13939875066851992</v>
      </c>
      <c r="K1470" s="1">
        <f t="shared" si="1533"/>
        <v>0.14667213054387707</v>
      </c>
      <c r="L1470" s="1">
        <f t="shared" ref="L1470" si="1534">IFERROR(L1446/L1417,"-")</f>
        <v>0.14667213054387704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0.15483918724546686</v>
      </c>
      <c r="K1474" s="1">
        <f t="shared" si="1541"/>
        <v>0.16277535382583053</v>
      </c>
      <c r="L1474" s="1">
        <f t="shared" ref="L1474" si="1542">IFERROR(L1450/L1421,"-")</f>
        <v>0.16277535382583044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0.1069616659637266</v>
      </c>
      <c r="K1475" s="1">
        <f t="shared" si="1543"/>
        <v>0.11343753121307448</v>
      </c>
      <c r="L1475" s="1">
        <f t="shared" ref="L1475" si="1544">IFERROR(L1451/L1422,"-")</f>
        <v>0.11343753121307451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 t="str">
        <f t="shared" si="1545"/>
        <v>-</v>
      </c>
      <c r="K1476" s="1">
        <f t="shared" si="1545"/>
        <v>7.5170537347230365E-2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0.14193207253509441</v>
      </c>
      <c r="K1479" s="1" t="str">
        <f t="shared" si="1551"/>
        <v>-</v>
      </c>
      <c r="L1479" s="1" t="str">
        <f t="shared" ref="L1479" si="1552">IFERROR(L1455/L1431,"-")</f>
        <v>-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0.10009003341016064</v>
      </c>
      <c r="K1480" s="1" t="str">
        <f t="shared" si="1553"/>
        <v>-</v>
      </c>
      <c r="L1480" s="1" t="str">
        <f t="shared" ref="L1480" si="1554">IFERROR(L1456/L1432,"-")</f>
        <v>-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 t="str">
        <f t="shared" si="1555"/>
        <v>-</v>
      </c>
      <c r="K1481" s="1">
        <f t="shared" si="1555"/>
        <v>7.0958063870597429E-2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0.90433442733770519</v>
      </c>
      <c r="K1497" s="3">
        <f t="shared" si="1582"/>
        <v>0.54132608147953809</v>
      </c>
      <c r="L1497" s="3">
        <f t="shared" ref="L1497" si="1583">SUM(L1498,L1503,L1508)</f>
        <v>0.55107335650974021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1.8393317045065603E-2</v>
      </c>
      <c r="K1498" s="1">
        <f t="shared" si="1585"/>
        <v>9.1255041573502643E-2</v>
      </c>
      <c r="L1498" s="1">
        <f t="shared" ref="L1498" si="1586">SUM(L1499:L1502)</f>
        <v>7.5184319335825603E-2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1.7363012124796455E-2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9.0237129593481791E-2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7.4568211322496344E-2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3.461881031514308E-4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3.234702282278571E-4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2.0637055486630383E-4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3.4472374505643794E-4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2.9283152414843973E-4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1.6151757600299234E-4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3.3939307206128062E-4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4.0161022764455929E-4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2.4821988245995558E-4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4.1339629500265594E-4</v>
      </c>
      <c r="K1503" s="1">
        <f t="shared" si="1590"/>
        <v>5.3152500181192727E-4</v>
      </c>
      <c r="L1503" s="1">
        <f t="shared" ref="L1503" si="1591">SUM(L1504:L1507)</f>
        <v>4.6841400887777244E-4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1.7099952968304877E-4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2.0266475739838207E-4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1.5633172841009277E-4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1.1715910659124604E-4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1.4713442425708695E-4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1.1046192729793947E-4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8.068047703356664E-5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1.149227435079724E-4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1.1744266856001072E-4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4.4557181694794498E-5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6.6803076648485794E-5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8.4177684609729479E-5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0.88552771399763697</v>
      </c>
      <c r="K1508" s="1">
        <f t="shared" si="1595"/>
        <v>0.4495395149042235</v>
      </c>
      <c r="L1508" s="1">
        <f t="shared" ref="L1508" si="1596">SUM(L1513:L1517)</f>
        <v>0.47542062316503686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0.81684402592147576</v>
      </c>
      <c r="K1509" s="1">
        <f t="shared" si="1597"/>
        <v>0.15975337549503299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6.8683688076161251E-2</v>
      </c>
      <c r="K1510" s="1">
        <f t="shared" ref="K1510:L1510" si="1604">SUM(K1511:K1512)</f>
        <v>0.28978613940919051</v>
      </c>
      <c r="L1510" s="1">
        <f t="shared" si="1604"/>
        <v>0.48150357321125992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6.8683688076161251E-2</v>
      </c>
      <c r="K1511" s="1">
        <f>[2]Transport!G$25/SUM([2]Transport!G$21,[2]Transport!G$25)*K1508*(K$35+K$600)/(K$35+K$600+K$39)</f>
        <v>0.17548842090785713</v>
      </c>
      <c r="L1511" s="1">
        <f>[2]Transport!H$25/SUM([2]Transport!H$21,[2]Transport!H$25)*L1508*(L$35+L$600)/(L$35+L$600+L$39)</f>
        <v>6.7632640914030637E-2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0.11429771850133341</v>
      </c>
      <c r="L1512" s="1">
        <f>(L$39+L$719)/([2]Transport!H$21+[2]Transport!H$25)*L1508</f>
        <v>0.41387093229722927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0.85772951744300152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0.44337349166124868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0.4741085671877866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1.0401803975771564E-2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5.7914694831475691E-4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3.5203625564163429E-4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1.3143015168926764E-2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2.1760209967739831E-3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3.4233400683842682E-4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4.2533774099370427E-3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3.4108552978860773E-3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6.1768571477023744E-4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1.9642543068260578</v>
      </c>
      <c r="K1518" s="3">
        <f t="shared" si="1607"/>
        <v>1.9643710045159974</v>
      </c>
      <c r="L1518" s="3">
        <f t="shared" ref="L1518" si="1608">SUM(L1519:L1531)</f>
        <v>1.9107721669609026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0.19990818485394155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1.0488563433654294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0.87750215226307016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2.2369125826523068E-3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2.1147307632380079E-3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1.3698120757898043E-3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1.4326382892583674E-3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1.2323815760347291E-3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7.0028500078767183E-4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1.3013055385574426E-3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1.5504131155905738E-3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9.8458694953229716E-4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8.0087417716955922E-4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9.6101655478856619E-4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7.6142004402357543E-4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3.1913367811161562E-4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4.0452365925862404E-4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3.1056021634630056E-4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1.4323610473438835E-4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2.0552940454500473E-4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2.1422267338052243E-4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7.029291346486241E-5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1.0634948401847474E-4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1.3628551812394255E-4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1.7339716335607829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0.90432417511928642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1.0276581667648204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1.1559165233892098E-2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6.8399364317477725E-4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4.2883497266669985E-4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9.6238367224194959E-3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1.6110923872187297E-3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2.7257767236332271E-4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2.887093171073388E-3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2.3204554434135853E-3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4.3326280999780035E-4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11.51345074328715</v>
      </c>
      <c r="K1533" s="1">
        <f t="shared" si="1612"/>
        <v>11.623334519731806</v>
      </c>
      <c r="L1533" s="1">
        <f t="shared" ref="L1533" si="1613">IFERROR(L1519/L1499,"-")</f>
        <v>11.767777940495378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6.4615524401017002</v>
      </c>
      <c r="K1534" s="1">
        <f t="shared" si="1612"/>
        <v>6.5376364768517767</v>
      </c>
      <c r="L1534" s="1">
        <f t="shared" ref="L1534" si="1614">IFERROR(L1520/L1500,"-")</f>
        <v>6.6376333420105906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4.1559025445833937</v>
      </c>
      <c r="K1535" s="1">
        <f t="shared" si="1612"/>
        <v>4.2085003642231511</v>
      </c>
      <c r="L1535" s="1">
        <f t="shared" ref="L1535" si="1615">IFERROR(L1521/L1501,"-")</f>
        <v>4.3356581872842002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3.8342136174261081</v>
      </c>
      <c r="K1536" s="1">
        <f t="shared" si="1612"/>
        <v>3.8604921111788766</v>
      </c>
      <c r="L1536" s="1">
        <f t="shared" ref="L1536" si="1616">IFERROR(L1522/L1502,"-")</f>
        <v>3.9665917966548752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4.6834876017144396</v>
      </c>
      <c r="K1537" s="1">
        <f t="shared" si="1617"/>
        <v>4.7419026727941516</v>
      </c>
      <c r="L1537" s="1">
        <f t="shared" ref="L1537" si="1618">IFERROR(L1523/L1504,"-")</f>
        <v>4.8705406878519373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2.7239340363445623</v>
      </c>
      <c r="K1538" s="1">
        <f t="shared" si="1617"/>
        <v>2.7493474847993609</v>
      </c>
      <c r="L1538" s="1">
        <f t="shared" ref="L1538" si="1619">IFERROR(L1524/L1505,"-")</f>
        <v>2.8114683850178817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1.77535024581964</v>
      </c>
      <c r="K1539" s="1">
        <f t="shared" si="1617"/>
        <v>1.7884136618331494</v>
      </c>
      <c r="L1539" s="1">
        <f t="shared" ref="L1539" si="1620">IFERROR(L1525/L1506,"-")</f>
        <v>1.8240616975682835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1.5775888597791308</v>
      </c>
      <c r="K1540" s="1">
        <f t="shared" si="1617"/>
        <v>1.5919848209698486</v>
      </c>
      <c r="L1540" s="1">
        <f t="shared" ref="L1540" si="1621">IFERROR(L1526/L1507,"-")</f>
        <v>1.6190219386028386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2.021583259405562</v>
      </c>
      <c r="K1542" s="1">
        <f t="shared" si="1622"/>
        <v>2.0396442099660268</v>
      </c>
      <c r="L1542" s="1">
        <f t="shared" ref="L1542" si="1624">IFERROR(L1528/L1514,"-")</f>
        <v>2.1675587363047626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1.1112654363431884</v>
      </c>
      <c r="K1543" s="1">
        <f t="shared" si="1622"/>
        <v>1.1810364280863617</v>
      </c>
      <c r="L1543" s="1">
        <f t="shared" ref="L1543" si="1625">IFERROR(L1529/L1515,"-")</f>
        <v>1.2181557035512987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0.7322396420246513</v>
      </c>
      <c r="K1544" s="1">
        <f t="shared" si="1622"/>
        <v>0.74038457790950674</v>
      </c>
      <c r="L1544" s="1">
        <f t="shared" ref="L1544" si="1626">IFERROR(L1530/L1516,"-")</f>
        <v>0.79623311420525222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0.67877662685854201</v>
      </c>
      <c r="K1545" s="1">
        <f t="shared" si="1622"/>
        <v>0.68031483037457441</v>
      </c>
      <c r="L1545" s="1">
        <f t="shared" ref="L1545" si="1627">IFERROR(L1531/L1517,"-")</f>
        <v>0.70142922142689101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7.6693822048075049</v>
      </c>
      <c r="K1546" s="3">
        <f t="shared" si="1628"/>
        <v>7.3276504623221621</v>
      </c>
      <c r="L1546" s="3">
        <f t="shared" ref="L1546" si="1629">L1547+L1550+L1552+L1559+L1567</f>
        <v>7.9300655195479566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6.2784767139501545</v>
      </c>
      <c r="K1547" s="1">
        <f t="shared" si="1632"/>
        <v>7.3271909902341026</v>
      </c>
      <c r="L1547" s="1">
        <f t="shared" ref="L1547" si="1633">SUM(L1548:L1549)</f>
        <v>7.9300413491746591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6.2784767139501545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7.3271909902341026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7.9300413491746591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3.3067600155410104E-5</v>
      </c>
      <c r="K1550" s="1">
        <f t="shared" si="1635"/>
        <v>2.9073472220133752E-5</v>
      </c>
      <c r="L1550" s="1">
        <f t="shared" si="1635"/>
        <v>2.4170373297234579E-5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3.3067600155410104E-5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2.9073472220133752E-5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2.4170373297234579E-5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0.81260411088420104</v>
      </c>
      <c r="K1552" s="1">
        <f t="shared" si="1636"/>
        <v>1.4156310575169124E-4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0.74957655522542266</v>
      </c>
      <c r="K1553" s="1">
        <f t="shared" si="1638"/>
        <v>5.0307444039065748E-5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6.302755565877835E-2</v>
      </c>
      <c r="K1554" s="1">
        <f t="shared" si="1639"/>
        <v>9.1255661712625496E-5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6.302755565877835E-2</v>
      </c>
      <c r="K1555" s="1">
        <f>[2]Transport!G$25/SUM([2]Transport!G$21,[2]Transport!G$25)*K1552*(K$35+K$600)/(K$35+K$600+K$39)</f>
        <v>5.5262518785404515E-5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3.5993142927220975E-5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0.81260411088420104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1.4156310575169124E-4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0.5781360152766496</v>
      </c>
      <c r="K1559" s="1">
        <f t="shared" si="1641"/>
        <v>2.7211001668964738E-4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0.52910275467469869</v>
      </c>
      <c r="K1560" s="1">
        <f t="shared" si="1643"/>
        <v>2.249301965764896E-4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4.9033260601950866E-2</v>
      </c>
      <c r="K1561" s="1">
        <f t="shared" si="1644"/>
        <v>4.7179820113157774E-5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4.9033260601950866E-2</v>
      </c>
      <c r="K1562" s="1">
        <f>[2]Transport!G$26/SUM([2]Transport!G$22,[2]Transport!G$26)*K1559*(K$34+K$582)/(K$34+K$582+K$38)</f>
        <v>4.62462841859868E-5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9.3353592717097236E-7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4.7920145884665652E-3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1.3086471207724077E-4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0.57334400068818303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1.4124530461240658E-4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1.3229709634440779E-4</v>
      </c>
      <c r="K1567" s="1">
        <f t="shared" si="1646"/>
        <v>1.67254933981479E-5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1.3762099482266572E-2</v>
      </c>
      <c r="K1569" s="1">
        <f t="shared" si="1649"/>
        <v>6.9298693900941274E-2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2.7937605987464832E-5</v>
      </c>
      <c r="K1570" s="1">
        <f>[2]Transport!G$27/SUM([2]Transport!G$24,[2]Transport!G$27)*K1567*(K$47+K$614)/(K$47+K$614+K$49)</f>
        <v>4.6143252425288483E-6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1.3734161876279107E-2</v>
      </c>
      <c r="K1571" s="1">
        <f>(K$49+K$716)/([2]Transport!G$24+[2]Transport!G$27)*K1567</f>
        <v>6.9294079575698747E-2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1.3229709634440779E-4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1.67254933981479E-5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4.8291759248779282</v>
      </c>
      <c r="K1573" s="3">
        <f t="shared" si="1651"/>
        <v>4.9926183741371446</v>
      </c>
      <c r="L1573" s="3">
        <f t="shared" ref="L1573" si="1652">SUM(L1574:L1582)</f>
        <v>5.4032079902414631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4.2778876368284298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4.992437047693091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5.4031937033065836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1.7497255732827261E-5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1.6391505764291368E-5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1.4286934879331776E-5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0.28541062670240913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4.9721154728796562E-5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1.6394177392900415E-3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4.4770717297662734E-5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0.26417833495541121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6.5081258978881291E-5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4.2411396654686254E-5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5.3618072834156428E-6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0.68135756995377339</v>
      </c>
      <c r="K1585" s="1">
        <f t="shared" si="1655"/>
        <v>0.68135756995377339</v>
      </c>
      <c r="L1585" s="1">
        <f t="shared" ref="L1585" si="1656">IFERROR(L1575/L1549,"-")</f>
        <v>0.68135756995377283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0.52913594124140217</v>
      </c>
      <c r="K1586" s="1">
        <f t="shared" si="1657"/>
        <v>0.56379594567105196</v>
      </c>
      <c r="L1586" s="1">
        <f t="shared" ref="L1586" si="1658">IFERROR(L1576/L1551,"-")</f>
        <v>0.59109285171720527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0.3512296121562215</v>
      </c>
      <c r="K1588" s="1">
        <f t="shared" si="1661"/>
        <v>0.35122961215622062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0.34211451343153187</v>
      </c>
      <c r="K1590" s="1">
        <f t="shared" si="1665"/>
        <v>0.34211451343153182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0.46076759264650674</v>
      </c>
      <c r="K1591" s="1">
        <f t="shared" si="1667"/>
        <v>0.46076759264650796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0.32057692743518013</v>
      </c>
      <c r="K1592" s="1">
        <f t="shared" si="1669"/>
        <v>0.32057692743518007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13.471933739761035</v>
      </c>
      <c r="K1593" s="3">
        <f t="shared" ref="K1593:L1593" si="1675">K1594+K1597+K1599+K1606+K1614</f>
        <v>11.087627936204557</v>
      </c>
      <c r="L1593" s="3">
        <f t="shared" si="1675"/>
        <v>8.0126816561056327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1.4829961063536639</v>
      </c>
      <c r="K1594" s="1">
        <f t="shared" ref="K1594:L1594" si="1682">SUM(K1595:K1596)</f>
        <v>4.6119413924242005</v>
      </c>
      <c r="L1594" s="1">
        <f t="shared" si="1682"/>
        <v>8.0119444137372309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1.4829961063536639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4.6119413924242005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8.0119444137372309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4.2508539800383346E-4</v>
      </c>
      <c r="K1597" s="1">
        <f t="shared" ref="K1597:L1597" si="1688">K1598</f>
        <v>4.1378679593011909E-4</v>
      </c>
      <c r="L1597" s="1">
        <f t="shared" si="1688"/>
        <v>3.4350804955629349E-4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4.2508539800383346E-4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4.1378679593011909E-4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3.4350804955629349E-4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11.982190884964982</v>
      </c>
      <c r="K1606" s="1">
        <f t="shared" si="1695"/>
        <v>6.4712736119316796</v>
      </c>
      <c r="L1606" s="1">
        <f t="shared" ref="L1606" si="1696">SUM(L1611:L1613)</f>
        <v>1.7234302302267978E-4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10.96594925199274</v>
      </c>
      <c r="K1607" s="1">
        <f t="shared" si="1697"/>
        <v>5.3492512452865588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1.0162416329722435</v>
      </c>
      <c r="K1608" s="1">
        <f t="shared" si="1698"/>
        <v>1.1220223666451206</v>
      </c>
      <c r="L1608" s="1">
        <f t="shared" ref="L1608" si="1699">SUM(L1609:L1610)</f>
        <v>1.7361745102425683E-4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1.0162416329722435</v>
      </c>
      <c r="K1609" s="1">
        <f>[2]Transport!G$26/SUM([2]Transport!G$22,[2]Transport!G$26)*K1606*(K$34+K$582)/(K$34+K$582+K$38)</f>
        <v>1.0998211758003826</v>
      </c>
      <c r="L1609" s="1">
        <f>[2]Transport!H$26/SUM([2]Transport!H$22,[2]Transport!H$26)*L1606*(L$34+L$582)/(L$34+L$582+L$38)</f>
        <v>8.6898689487932386E-5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2.2201190844737942E-2</v>
      </c>
      <c r="L1610" s="1">
        <f>(L$38+L$718)/([2]Transport!H$22+[2]Transport!H$26)*L1606</f>
        <v>8.6718761536324458E-5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1.143015584683994E-3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9.5788317535109354E-4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6.3926602514068745E-5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11.981047869380298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6.4703157287563284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1.0841642050861105E-4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6.3216630443846157E-3</v>
      </c>
      <c r="K1614" s="1">
        <f t="shared" si="1700"/>
        <v>3.9991450527467817E-3</v>
      </c>
      <c r="L1614" s="1">
        <f t="shared" ref="L1614" si="1701">L1619</f>
        <v>2.213912958224106E-4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7.6566290882330917E-3</v>
      </c>
      <c r="K1616" s="1">
        <f t="shared" si="1703"/>
        <v>5.102452173567939E-3</v>
      </c>
      <c r="L1616" s="1">
        <f t="shared" ref="L1616" si="1704">SUM(L1617:L1618)</f>
        <v>3.2998184923979684E-4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1.3349660438484762E-3</v>
      </c>
      <c r="K1617" s="1">
        <f>[2]Transport!G$27/SUM([2]Transport!G$24,[2]Transport!G$27)*K1614*(K$47+K$614)/(K$47+K$614+K$49)</f>
        <v>1.1033071208211575E-3</v>
      </c>
      <c r="L1617" s="1">
        <f>[2]Transport!H$27/SUM([2]Transport!H$24,[2]Transport!H$27)*L1614*(L$47+L$614)/(L$47+L$614+L$49)</f>
        <v>1.0859055341738625E-4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6.3216630443846157E-3</v>
      </c>
      <c r="K1618" s="1">
        <f>IF((K$49+K$716)/([2]Transport!G$24+[2]Transport!G$27)*K1614&gt;K1614,K1614,(K$49+K$716)/([2]Transport!G$24+[2]Transport!G$27)*K1614)</f>
        <v>3.9991450527467817E-3</v>
      </c>
      <c r="L1618" s="1">
        <f>IF((L$49+L$716)/([2]Transport!H$24+[2]Transport!H$27)*L1614&gt;L1614,L1614,(L$49+L$716)/([2]Transport!H$24+[2]Transport!H$27)*L1614)</f>
        <v>2.213912958224106E-4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6.3216630443846157E-3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3.9991450527467817E-3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2.213912958224106E-4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2.4113435867171282</v>
      </c>
      <c r="K1620" s="3">
        <f t="shared" ref="K1620:L1620" si="1709">SUM(K1621:K1629)</f>
        <v>2.5090270667581445</v>
      </c>
      <c r="L1620" s="3">
        <f t="shared" si="1709"/>
        <v>2.7096040955921841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0.4518919318814224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1.4506783338622857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2.7094772418491222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8.253008612034535E-5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8.2038520614573929E-5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7.4743814948931376E-5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1.3567996755666122E-4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1.1370409983573342E-4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7.588312417904939E-6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1.9585041800281668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1.0576821442519373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1.7722490976141034E-5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7.2926475386211182E-4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4.7084602347065616E-4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2.679912471876331E-5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0.30471552146722597</v>
      </c>
      <c r="K1632" s="1">
        <f t="shared" si="1713"/>
        <v>0.31454830198953537</v>
      </c>
      <c r="L1632" s="1">
        <f t="shared" ref="L1632" si="1714">IFERROR(L1622/L1596,"-")</f>
        <v>0.33817973539649987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0.19414942622800016</v>
      </c>
      <c r="K1633" s="1">
        <f t="shared" si="1715"/>
        <v>0.19826278030492958</v>
      </c>
      <c r="L1633" s="1">
        <f t="shared" ref="L1633" si="1716">IFERROR(L1623/L1598,"-")</f>
        <v>0.21758970436202979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0.11870351496053506</v>
      </c>
      <c r="K1637" s="1">
        <f t="shared" si="1723"/>
        <v>0.11870351496053513</v>
      </c>
      <c r="L1637" s="1">
        <f t="shared" ref="L1637" si="1724">IFERROR(L1627/L1612,"-")</f>
        <v>0.11870351496053508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0.16346685209675801</v>
      </c>
      <c r="K1638" s="1">
        <f t="shared" si="1725"/>
        <v>0.16346685209675793</v>
      </c>
      <c r="L1638" s="1">
        <f t="shared" ref="L1638" si="1726">IFERROR(L1628/L1613,"-")</f>
        <v>0.16346685209675793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0.11535963697241038</v>
      </c>
      <c r="K1639" s="1">
        <f t="shared" si="1727"/>
        <v>0.11773667052843188</v>
      </c>
      <c r="L1639" s="1">
        <f t="shared" ref="L1639" si="1728">IFERROR(L1629/L1619,"-")</f>
        <v>0.12104868269193507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25.744770140688448</v>
      </c>
      <c r="K1640" s="1">
        <f t="shared" si="1729"/>
        <v>22.883531485317487</v>
      </c>
      <c r="L1640" s="1">
        <f t="shared" ref="L1640" si="1730">L1641+L1645+L1649+L1655</f>
        <v>20.475517235033266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12.389654629148527</v>
      </c>
      <c r="K1641" s="1">
        <f t="shared" si="1733"/>
        <v>15.247776622229846</v>
      </c>
      <c r="L1641" s="1">
        <f t="shared" ref="L1641" si="1734">SUM(L1642:L1644)</f>
        <v>18.342427988082047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9.7092380154271165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10.452463194521711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1.9814255268511485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2.0281997972095906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2.1804319497600453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1.1980237253667767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3.5103388095931405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5.7095328438002912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6.3898145036897481E-5</v>
      </c>
      <c r="K1645" s="1">
        <f t="shared" si="1736"/>
        <v>9.0165391889674942E-2</v>
      </c>
      <c r="L1645" s="1">
        <f t="shared" ref="L1645" si="1737">SUM(L1646:L1648)</f>
        <v>9.0248117502677805E-2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6.783324851193328E-5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1.2705866272235636E-4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4.1817970015939666E-5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6.1348457902219935E-5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6.3898145036897481E-5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9.0055740671147064E-2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9.0059710382053224E-2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2.9815802050542621E-2</v>
      </c>
      <c r="K1649" s="1">
        <f t="shared" si="1739"/>
        <v>0.13662212411886174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2.7503215763959723E-2</v>
      </c>
      <c r="K1650" s="1">
        <f t="shared" si="1742"/>
        <v>4.8551561701844201E-2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2.3125862865828986E-3</v>
      </c>
      <c r="K1651" s="1">
        <f t="shared" si="1744"/>
        <v>8.8070562417017537E-2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2.3125862865828986E-3</v>
      </c>
      <c r="K1652" s="1">
        <f>[2]Transport!G$25/SUM([2]Transport!G$21,[2]Transport!G$25)*K1649*(K$35+K$600)/(K$35+K$600+K$39)</f>
        <v>5.3333689314952484E-2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3.4736873102065052E-2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2.9815802050542621E-2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0.13662212411886174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13.325235811344342</v>
      </c>
      <c r="K1655" s="1">
        <f>[2]TRA_FuelByFleet!K$99</f>
        <v>7.4089673470791038</v>
      </c>
      <c r="L1655" s="1">
        <f>[2]TRA_FuelByFleet!L$99</f>
        <v>2.0428411294485418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12.195086948697478</v>
      </c>
      <c r="K1656" s="1">
        <f t="shared" si="1746"/>
        <v>6.1497810310953422</v>
      </c>
      <c r="L1656" s="1">
        <f t="shared" ref="L1656" si="1747">L1655-L1657</f>
        <v>1.0128010740541042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1.1301488626468637</v>
      </c>
      <c r="K1657" s="1">
        <f t="shared" si="1748"/>
        <v>1.2591863159837615</v>
      </c>
      <c r="L1657" s="1">
        <f t="shared" ref="L1657" si="1749">SUM(L1658:L1659)</f>
        <v>1.0300400553944375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1.1301488626468637</v>
      </c>
      <c r="K1658" s="1">
        <f>[2]Transport!G$26/SUM([2]Transport!G$22,[2]Transport!G$26)*K1655*(K$34+K$582)/(K$34+K$582+K$38)</f>
        <v>1.2591863159837615</v>
      </c>
      <c r="L1658" s="1">
        <f>[2]Transport!H$26/SUM([2]Transport!H$22,[2]Transport!H$26)*L1655*(L$34+L$582)/(L$34+L$582+L$38)</f>
        <v>1.0300400553944375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2.796421304154563E-4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8.9759484965955895E-5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13.324956169213927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7.4088775875941382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2.0428411294485418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68.422531183995233</v>
      </c>
      <c r="K1663" s="1">
        <f>IF([2]Transport!G$23+[2]Transport_Aviation_Intl!G$11&lt;0,0,[2]Transport!G$23+[2]Transport_Aviation_Intl!G$11)</f>
        <v>54.628243452918241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16.471465131598723</v>
      </c>
      <c r="L1664" s="1">
        <f t="shared" ref="L1664" si="1752">L36</f>
        <v>27.052455585648644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11.319661422581053</v>
      </c>
      <c r="K1665" s="1">
        <f t="shared" si="1753"/>
        <v>10.580990454049921</v>
      </c>
      <c r="L1665" s="1">
        <f t="shared" ref="L1665" si="1754">L40</f>
        <v>48.725378248759455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0.24502351806840611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0.26339792197238043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3.3097795840865814E-2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3.3879114759972191E-2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3.6422005541003812E-2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2.9557370851572702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8.5441452867218199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13.9706519201926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1.2170562629271232E-6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2.4547831955142349E-6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3.0514041608848267E-7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3.6404787334620507E-7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1.14599934033566E-4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0.16151301316020999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0.16152013275042201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2.7025408790251799E-2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0.12383596952534701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1.1334102164319536E-6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3.6380182460683242E-7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13.1686515038741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7.3219698246591403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2.0188781538840401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2.5236122307341267E-2</v>
      </c>
      <c r="L1678" s="7">
        <f t="shared" ref="L1678" si="1759">IFERROR(L1667/L1642,"-")</f>
        <v>2.5199602913735315E-2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1.6704032219401317E-2</v>
      </c>
      <c r="K1679" s="7">
        <f t="shared" si="1758"/>
        <v>1.6704032219401303E-2</v>
      </c>
      <c r="L1679" s="7">
        <f t="shared" ref="L1679" si="1760">IFERROR(L1668/L1643,"-")</f>
        <v>1.6704032219401307E-2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2.4671774210918627</v>
      </c>
      <c r="K1680">
        <f t="shared" si="1758"/>
        <v>2.4339944803539102</v>
      </c>
      <c r="L1680">
        <f t="shared" ref="L1680" si="1761">IFERROR(L1669/L1644,"-")</f>
        <v>2.446899300240065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1.7941883805152242E-2</v>
      </c>
      <c r="L1681">
        <f t="shared" ref="L1681" si="1763">IFERROR(L1670/L1646,"-")</f>
        <v>1.9320077379362408E-2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7.2968729943651729E-3</v>
      </c>
      <c r="L1682">
        <f t="shared" ref="L1682" si="1764">IFERROR(L1671/L1647,"-")</f>
        <v>5.934099825727351E-3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1.7934782608695632</v>
      </c>
      <c r="K1683">
        <f t="shared" si="1762"/>
        <v>1.7934782608695716</v>
      </c>
      <c r="L1683">
        <f t="shared" ref="L1683" si="1765">IFERROR(L1672/L1648,"-")</f>
        <v>1.7934782608695705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0.90641226905247585</v>
      </c>
      <c r="K1684" s="4">
        <f t="shared" si="1766"/>
        <v>0.90641226905247985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4.0530738867855087E-3</v>
      </c>
      <c r="K1686">
        <f t="shared" si="1768"/>
        <v>4.0530738867855104E-3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0.98826978015125078</v>
      </c>
      <c r="K1687" s="4">
        <f t="shared" si="1768"/>
        <v>0.98826978015124434</v>
      </c>
      <c r="L1687" s="4">
        <f t="shared" ref="L1687" si="1771">IFERROR(L1676/L1662,"-")</f>
        <v>0.98826978015124922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14.614342526376255</v>
      </c>
      <c r="K1688" s="3">
        <f t="shared" si="1772"/>
        <v>8.1758089007788133</v>
      </c>
      <c r="L1688" s="3">
        <f t="shared" ref="L1688" si="1773">SUM(L1689:L1691,L1694:L1696,-L1701)</f>
        <v>9.4644314278606432E-7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2.2424917405530711</v>
      </c>
      <c r="K1689" s="1">
        <f>[2]Summary!G53+[2]Summary!G59</f>
        <v>0.92730027162243633</v>
      </c>
      <c r="L1689" s="1">
        <f>[2]Summary!H53+[2]Summary!H59</f>
        <v>-2.6364687501619541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-2.8328744201686458E-5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4.1012667801362594</v>
      </c>
      <c r="K1691" s="1">
        <f>[2]Summary!G55+[2]Summary!G60</f>
        <v>3.241911109994648</v>
      </c>
      <c r="L1691" s="1">
        <f>[2]Summary!H55+[2]Summary!H60</f>
        <v>1.4193953610714702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2.0157308669886098</v>
      </c>
      <c r="K1692" s="1">
        <f t="shared" si="1778"/>
        <v>1.1646264093101686</v>
      </c>
      <c r="L1692" s="1">
        <f t="shared" ref="L1692" si="1779">L1691-L1693</f>
        <v>0.36705596971383025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2.0855359131476496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2.0772847006844795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1.05233939135764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1.6373957383650308</v>
      </c>
      <c r="K1694" s="1">
        <f>[2]Summary!G56</f>
        <v>0.96066467410054501</v>
      </c>
      <c r="L1694" s="1">
        <f>[2]Summary!H56</f>
        <v>0.314992797567266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2.7747023933455104</v>
      </c>
      <c r="K1695" s="1">
        <f>[2]Summary!G57</f>
        <v>1.5337622465969909</v>
      </c>
      <c r="L1695" s="1">
        <f>[2]Summary!H57</f>
        <v>0.72033234993576967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3.8584858739763828</v>
      </c>
      <c r="K1696" s="1">
        <f>[2]Summary!G58</f>
        <v>1.5121770407742245</v>
      </c>
      <c r="L1696" s="1">
        <f>[2]Summary!H58</f>
        <v>0.18180362326195179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1.5348091952158343</v>
      </c>
      <c r="L1697" s="1">
        <f>-[2]Summary!H59</f>
        <v>5.1894015737559984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0.35411515224008661</v>
      </c>
      <c r="L1698" s="1">
        <f>-[2]Summary!H60</f>
        <v>1.812551854001716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2.8328744201686458E-5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6.4423100307138407E-6</v>
      </c>
      <c r="L1701" s="1">
        <f>-[2]Summary!H63</f>
        <v>2.6106487159160157E-5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7.001969261556896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3.4702381144341139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1.3023341790452552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2.2293969680775265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5.176941769817787E-5</v>
      </c>
      <c r="L1707" s="1">
        <f t="shared" ref="L1707" si="1786">SUM(L1708:L1709)</f>
        <v>1.9015366081453203E-4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8.9333365759231946E-6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2.3756903314835737E-5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4.2836081122254674E-5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1.6639675749969629E-4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6.4423100307138407E-6</v>
      </c>
      <c r="L1710" s="1">
        <f t="shared" ref="L1710" si="1788">L1701</f>
        <v>2.6106487159160157E-5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787.26344206001204</v>
      </c>
      <c r="K1711" s="3">
        <f t="shared" si="1789"/>
        <v>783.07841499609742</v>
      </c>
      <c r="L1711" s="3">
        <f t="shared" ref="L1711" si="1790">SUM(L1712:L1713,L1730,L1739:L1740,L1741,L1742,L1747,L1750,,L1755:L1758,L1751)</f>
        <v>754.79830298721515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4.7033616135004497E-3</v>
      </c>
      <c r="K1712" s="1">
        <f t="shared" si="1792"/>
        <v>4.8860443967901294E-4</v>
      </c>
      <c r="L1712" s="1">
        <f t="shared" ref="L1712" si="1793">L21</f>
        <v>0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107.02120679912682</v>
      </c>
      <c r="K1713" s="1">
        <f t="shared" si="1792"/>
        <v>66.616378991093086</v>
      </c>
      <c r="L1713" s="1">
        <f t="shared" ref="L1713" si="1797">L22</f>
        <v>78.618845398392267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86.02569213574607</v>
      </c>
      <c r="K1714" s="1">
        <f t="shared" si="1792"/>
        <v>34.113661955487125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33.484945805526429</v>
      </c>
      <c r="K1715" s="1">
        <f t="shared" si="1792"/>
        <v>15.097295577602839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6.6085858145498869E-3</v>
      </c>
      <c r="K1716" s="1">
        <f t="shared" si="1792"/>
        <v>4.9804572070256947E-4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32.556474139922429</v>
      </c>
      <c r="K1717" s="1">
        <f t="shared" si="1792"/>
        <v>14.675985259094745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17.391934668126066</v>
      </c>
      <c r="K1718" s="1">
        <f t="shared" si="1792"/>
        <v>2.197482656380354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2.5857289363565883</v>
      </c>
      <c r="K1719" s="1">
        <f t="shared" si="1792"/>
        <v>2.1424004166884867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20.995514663380742</v>
      </c>
      <c r="K1720" s="1">
        <f t="shared" si="1792"/>
        <v>32.502717035605954</v>
      </c>
      <c r="L1720" s="1">
        <f t="shared" ref="L1720" si="1804">L29</f>
        <v>78.618845398392267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3.0618746117144724</v>
      </c>
      <c r="K1721" s="1">
        <f t="shared" si="1792"/>
        <v>3.0616603159168747</v>
      </c>
      <c r="L1721" s="1">
        <f t="shared" ref="L1721" si="1805">L30</f>
        <v>2.6504227006156356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1.4621749200675467</v>
      </c>
      <c r="K1722" s="1">
        <f t="shared" si="1792"/>
        <v>2.3886011340404369</v>
      </c>
      <c r="L1722" s="1">
        <f t="shared" ref="L1722" si="1806">L31</f>
        <v>0.19058886336853201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9.6758532407996896</v>
      </c>
      <c r="K1723" s="1">
        <f t="shared" si="1807"/>
        <v>21.921726581556037</v>
      </c>
      <c r="L1723" s="1">
        <f t="shared" ref="L1723" si="1808">L33</f>
        <v>29.893467149632812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3.0618746117144724</v>
      </c>
      <c r="K1724" s="1">
        <f t="shared" si="1807"/>
        <v>3.0616603159168747</v>
      </c>
      <c r="L1724" s="1">
        <f t="shared" ref="L1724" si="1809">L34</f>
        <v>2.6504227006156356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1.4621749200675467</v>
      </c>
      <c r="K1725" s="1">
        <f t="shared" si="1807"/>
        <v>2.3886011340404369</v>
      </c>
      <c r="L1725" s="1">
        <f t="shared" ref="L1725" si="1810">L35</f>
        <v>0.19058886336853201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11.319661422581053</v>
      </c>
      <c r="K1726" s="1">
        <f t="shared" si="1811"/>
        <v>10.580990454049921</v>
      </c>
      <c r="L1726" s="1">
        <f t="shared" ref="L1726" si="1812">L37</f>
        <v>48.725378248759455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11.319661422581053</v>
      </c>
      <c r="K1729" s="1">
        <f t="shared" si="1811"/>
        <v>10.580990454049921</v>
      </c>
      <c r="L1729" s="1">
        <f t="shared" ref="L1729" si="1815">L40</f>
        <v>48.725378248759455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53.75977100497623</v>
      </c>
      <c r="K1730" s="1">
        <f t="shared" si="1811"/>
        <v>15.838603377403521</v>
      </c>
      <c r="L1730" s="1">
        <f t="shared" ref="L1730" si="1816">L41</f>
        <v>1.2705727299778484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52.482574506209446</v>
      </c>
      <c r="K1731" s="1">
        <f t="shared" si="1811"/>
        <v>15.487740811150738</v>
      </c>
      <c r="L1731" s="1">
        <f t="shared" ref="L1731" si="1817">L42</f>
        <v>3.1368001581125606E-6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52.478267787207109</v>
      </c>
      <c r="K1732" s="1">
        <f t="shared" si="1811"/>
        <v>15.484699588984117</v>
      </c>
      <c r="L1732" s="1">
        <f t="shared" ref="L1732" si="1818">L43</f>
        <v>0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4.3067190023375343E-3</v>
      </c>
      <c r="K1733" s="1">
        <f t="shared" si="1811"/>
        <v>3.0412221666212451E-3</v>
      </c>
      <c r="L1733" s="1">
        <f t="shared" ref="L1733" si="1819">L44</f>
        <v>3.1368001581125606E-6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1.2771964987667879</v>
      </c>
      <c r="K1734" s="1">
        <f t="shared" si="1811"/>
        <v>0.35086256625278223</v>
      </c>
      <c r="L1734" s="1">
        <f t="shared" ref="L1734" si="1820">L45</f>
        <v>1.2705695931776904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0.35086256625278223</v>
      </c>
      <c r="L1735" s="1">
        <f t="shared" ref="L1735" si="1821">L46</f>
        <v>1.2705695931776904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0.35086256625278223</v>
      </c>
      <c r="L1736" s="1">
        <f t="shared" ref="L1736" si="1822">L47</f>
        <v>1.2705695931776904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0.74997360406971547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0.74997360406971547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190.48964512875682</v>
      </c>
      <c r="K1739" s="1">
        <f t="shared" si="1811"/>
        <v>190.47717269139923</v>
      </c>
      <c r="L1739" s="1">
        <f t="shared" ref="L1739" si="1825">L50</f>
        <v>126.803688973487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17.04695584948167</v>
      </c>
      <c r="K1740" s="1">
        <f t="shared" si="1826"/>
        <v>-1.9999988146420833</v>
      </c>
      <c r="L1740" s="1">
        <f t="shared" ref="L1740" si="1827">-L58+L51</f>
        <v>-2.0000005424577267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3.3208341670283104E-6</v>
      </c>
      <c r="L1741" s="1">
        <f t="shared" ref="L1741" si="1829">L56</f>
        <v>0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53.589483185223628</v>
      </c>
      <c r="K1742" s="1">
        <f t="shared" si="1830"/>
        <v>53.589502407610304</v>
      </c>
      <c r="L1742" s="1">
        <f t="shared" ref="L1742" si="1831">L3</f>
        <v>53.589508590550388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16.424569897975129</v>
      </c>
      <c r="K1743" s="1">
        <f t="shared" si="1830"/>
        <v>17.113642943688614</v>
      </c>
      <c r="L1743" s="1">
        <f t="shared" ref="L1743" si="1832">L4</f>
        <v>18.429672498613701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7.6690268840097424</v>
      </c>
      <c r="K1744" s="1">
        <f t="shared" si="1830"/>
        <v>7.6690272354692235</v>
      </c>
      <c r="L1744" s="1">
        <f t="shared" ref="L1744" si="1833">L5</f>
        <v>7.6690280658172298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4.8053857867222325</v>
      </c>
      <c r="K1745" s="1">
        <f t="shared" si="1830"/>
        <v>4.8053860244004456</v>
      </c>
      <c r="L1745" s="1">
        <f t="shared" ref="L1745" si="1834">L6</f>
        <v>4.8053857956811266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24.690500616516523</v>
      </c>
      <c r="K1746" s="1">
        <f t="shared" si="1830"/>
        <v>24.001446204052023</v>
      </c>
      <c r="L1746" s="1">
        <f t="shared" ref="L1746" si="1835">L7</f>
        <v>22.685422230438331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72.227044777354649</v>
      </c>
      <c r="K1747" s="1">
        <f t="shared" si="1830"/>
        <v>79.195697417541396</v>
      </c>
      <c r="L1747" s="1">
        <f t="shared" ref="L1747" si="1836">L8</f>
        <v>83.827975916420115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34.937590540999302</v>
      </c>
      <c r="K1748" s="1">
        <f t="shared" si="1830"/>
        <v>38.082489273757304</v>
      </c>
      <c r="L1748" s="1">
        <f t="shared" ref="L1748" si="1837">L9</f>
        <v>39.221629252583433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37.289454236355354</v>
      </c>
      <c r="K1749" s="1">
        <f t="shared" si="1830"/>
        <v>41.113208143784092</v>
      </c>
      <c r="L1749" s="1">
        <f t="shared" ref="L1749" si="1838">L10</f>
        <v>44.606346663836682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12.540434575812002</v>
      </c>
      <c r="K1750" s="1">
        <f t="shared" si="1830"/>
        <v>14.634123021186999</v>
      </c>
      <c r="L1750" s="1">
        <f t="shared" ref="L1750" si="1839">L11</f>
        <v>14.634136642715157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152.49165526419489</v>
      </c>
      <c r="K1751" s="1">
        <f t="shared" si="1830"/>
        <v>154.88224802703428</v>
      </c>
      <c r="L1751" s="1">
        <f t="shared" ref="L1751" si="1840">L12</f>
        <v>158.83687089225086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71.021496214535105</v>
      </c>
      <c r="K1752" s="1">
        <f t="shared" si="1841"/>
        <v>73.932876845571727</v>
      </c>
      <c r="L1752" s="1">
        <f t="shared" ref="L1752" si="1842">L13</f>
        <v>74.836059234919531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65.464910300261678</v>
      </c>
      <c r="K1753" s="1">
        <f t="shared" si="1841"/>
        <v>64.381742663864941</v>
      </c>
      <c r="L1753" s="1">
        <f t="shared" ref="L1753" si="1843">L14</f>
        <v>67.134923061831486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16.00524874939812</v>
      </c>
      <c r="K1754" s="1">
        <f t="shared" si="1841"/>
        <v>16.567628517597601</v>
      </c>
      <c r="L1754" s="1">
        <f t="shared" ref="L1754" si="1844">L15</f>
        <v>16.865888595499861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59.990444077122618</v>
      </c>
      <c r="K1755" s="1">
        <f t="shared" si="1841"/>
        <v>123.39194094728948</v>
      </c>
      <c r="L1755" s="1">
        <f t="shared" ref="L1755" si="1845">L16</f>
        <v>145.05428143635226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0.88477030607500795</v>
      </c>
      <c r="K1756" s="1">
        <f t="shared" si="1841"/>
        <v>0.88546719074306268</v>
      </c>
      <c r="L1756" s="1">
        <f t="shared" ref="L1756" si="1846">L17</f>
        <v>0.88547365480753637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67.217327730274206</v>
      </c>
      <c r="K1757" s="1">
        <f t="shared" si="1841"/>
        <v>85.553968870607889</v>
      </c>
      <c r="L1757" s="1">
        <f t="shared" ref="L1757" si="1847">L18</f>
        <v>93.196758815286657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1.2818943556358004E-2</v>
      </c>
      <c r="L1758" s="1">
        <f t="shared" ref="L1758" si="1848">L19</f>
        <v>8.0190479432808243E-2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37.244277637476813</v>
      </c>
      <c r="K1759" s="3">
        <f t="shared" si="1849"/>
        <v>56.98696266821743</v>
      </c>
      <c r="L1759" s="3">
        <f t="shared" ref="L1759" si="1850">SUM(L1760,L1762,L1766,L1770,L1786,L1793,L1801,L1803,L1811,L1815,L1809)</f>
        <v>62.845623912291821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2.3633379759628834</v>
      </c>
      <c r="K1760" s="1">
        <f t="shared" si="1851"/>
        <v>2.3633380128136547</v>
      </c>
      <c r="L1760" s="1">
        <f t="shared" si="1851"/>
        <v>1.6883825577277167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2.3633379759628834</v>
      </c>
      <c r="K1761" s="1">
        <f>'[2]Electricity and CHPs_CAP'!G$14</f>
        <v>2.3633380128136547</v>
      </c>
      <c r="L1761" s="1">
        <f>'[2]Electricity and CHPs_CAP'!H$14</f>
        <v>1.6883825577277167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16.836045707994312</v>
      </c>
      <c r="K1762" s="1">
        <f t="shared" si="1853"/>
        <v>16.973820435038284</v>
      </c>
      <c r="L1762" s="1">
        <f t="shared" ref="L1762" si="1854">SUM(L1763:L1765)</f>
        <v>17.41456843490387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7.4594064341064863</v>
      </c>
      <c r="K1763" s="1">
        <f>'[2]Electricity and CHPs_CAP'!G$15</f>
        <v>7.5971787361811067</v>
      </c>
      <c r="L1763" s="1">
        <f>'[2]Electricity and CHPs_CAP'!H$15</f>
        <v>7.6884282559608215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5.0168572705046808</v>
      </c>
      <c r="K1764" s="1">
        <f>'[2]Electricity and CHPs_CAP'!G$16</f>
        <v>5.0168596084993862</v>
      </c>
      <c r="L1764" s="1">
        <f>'[2]Electricity and CHPs_CAP'!H$16</f>
        <v>5.3663577061719643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4.3597820033831454</v>
      </c>
      <c r="K1765" s="1">
        <f>'[2]Electricity and CHPs_CAP'!G$17</f>
        <v>4.3597820903577924</v>
      </c>
      <c r="L1765" s="1">
        <f>'[2]Electricity and CHPs_CAP'!H$17</f>
        <v>4.3597824727710854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5.8945724488242611E-2</v>
      </c>
      <c r="K1766" s="1">
        <f t="shared" si="1855"/>
        <v>4.829128278683651E-2</v>
      </c>
      <c r="L1766" s="1">
        <f t="shared" ref="L1766" si="1856">SUM(L1767:L1769)</f>
        <v>1.3676546413317618E-3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4.8085188280807899E-2</v>
      </c>
      <c r="K1767" s="1">
        <f>'[2]Electricity and CHPs_CAP'!G$18</f>
        <v>4.805603548453509E-2</v>
      </c>
      <c r="L1767" s="1">
        <f>'[2]Electricity and CHPs_CAP'!H$18</f>
        <v>1.2620648227057996E-3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6.7818321069007276E-4</v>
      </c>
      <c r="K1768" s="1">
        <f>'[2]Electricity and CHPs_CAP'!G$28</f>
        <v>2.3524730230142403E-4</v>
      </c>
      <c r="L1768" s="1">
        <f>'[2]Electricity and CHPs_CAP'!H$28</f>
        <v>1.0558981862596221E-4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1.0182352996744635E-2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0.11260248578020117</v>
      </c>
      <c r="K1770" s="1">
        <f t="shared" si="1858"/>
        <v>0.11053677296477304</v>
      </c>
      <c r="L1770" s="1">
        <f t="shared" ref="L1770" si="1859">SUM(L1771:L1785)</f>
        <v>0.2345897768236338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4.7822167191112297E-6</v>
      </c>
      <c r="L1771" s="1">
        <f>'[2]Electricity and CHPs_CAP'!H$21</f>
        <v>4.4335545504897998E-4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2.6107963686323001E-4</v>
      </c>
      <c r="K1772" s="1">
        <f>'[2]Electricity and CHPs_CAP'!G$22</f>
        <v>1.0872244647303095E-3</v>
      </c>
      <c r="L1772" s="1">
        <f>'[2]Electricity and CHPs_CAP'!H$22</f>
        <v>6.6114080445435722E-2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2.4958627566987471E-2</v>
      </c>
      <c r="K1776" s="1">
        <f>'[2]Electricity and CHPs_CAP'!G$39</f>
        <v>2.2730748105181851E-2</v>
      </c>
      <c r="L1776" s="1">
        <f>'[2]Electricity and CHPs_CAP'!H$39</f>
        <v>4.6572036616048161E-2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7.4337956790490698E-4</v>
      </c>
      <c r="L1777" s="1">
        <f>'[2]Electricity and CHPs_CAP'!H$40</f>
        <v>3.6587665164691481E-2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2.5465362598920598E-4</v>
      </c>
      <c r="K1778" s="1">
        <f>'[2]Electricity and CHPs_CAP'!G$47</f>
        <v>2.5609987115729813E-4</v>
      </c>
      <c r="L1778" s="1">
        <f>'[2]Electricity and CHPs_CAP'!H$47</f>
        <v>1.2533917836748181E-4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5.4386141649269513E-4</v>
      </c>
      <c r="K1779" s="1">
        <f>'[2]Electricity and CHPs_CAP'!G$48</f>
        <v>2.0360985482747657E-4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1.4973346117100022E-3</v>
      </c>
      <c r="K1781" s="1">
        <f>'[2]Electricity and CHPs_CAP'!G$51</f>
        <v>5.8871331446196107E-4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8.4748178945846422E-2</v>
      </c>
      <c r="K1783" s="1">
        <f>'[2]Electricity and CHPs_CAP'!G$54</f>
        <v>8.4747287884364225E-2</v>
      </c>
      <c r="L1783" s="1">
        <f>'[2]Electricity and CHPs_CAP'!H$54</f>
        <v>8.4747299964041969E-2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3.3874997631213807E-4</v>
      </c>
      <c r="K1784" s="1">
        <f>'[2]Electricity and CHPs_CAP'!G$55</f>
        <v>1.7492768542590013E-4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0.34996787890863412</v>
      </c>
      <c r="K1786" s="1">
        <f t="shared" si="1862"/>
        <v>0.47084056363695875</v>
      </c>
      <c r="L1786" s="1">
        <f t="shared" ref="L1786" si="1863">SUM(L1787:L1792)</f>
        <v>0.46226800926832601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0.27948885925981187</v>
      </c>
      <c r="K1787" s="1">
        <f>'[2]Electricity and CHPs_CAP'!G$19</f>
        <v>0.2177846760961859</v>
      </c>
      <c r="L1787" s="1">
        <f>'[2]Electricity and CHPs_CAP'!H$19</f>
        <v>1.576116429677088E-4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0.136193289653328</v>
      </c>
      <c r="L1788" s="1">
        <f>'[2]Electricity and CHPs_CAP'!H$20</f>
        <v>0.34808885918047988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6.9925988427266314E-2</v>
      </c>
      <c r="K1789" s="1">
        <f>'[2]Electricity and CHPs_CAP'!G$26</f>
        <v>4.9920175686591975E-2</v>
      </c>
      <c r="L1789" s="1">
        <f>'[2]Electricity and CHPs_CAP'!H$26</f>
        <v>8.7835807588958897E-5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5.03302278316781E-2</v>
      </c>
      <c r="L1790" s="1">
        <f>'[2]Electricity and CHPs_CAP'!H$27</f>
        <v>8.1646046594920724E-2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5.5303122155594096E-4</v>
      </c>
      <c r="K1791" s="1">
        <f>'[2]Electricity and CHPs_CAP'!G$44</f>
        <v>2.5015671605026386E-4</v>
      </c>
      <c r="L1791" s="1">
        <f>'[2]Electricity and CHPs_CAP'!H$44</f>
        <v>1.0228193080582008E-4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1.6362037653124498E-2</v>
      </c>
      <c r="L1792" s="1">
        <f>'[2]Electricity and CHPs_CAP'!H$45</f>
        <v>3.2185374111562907E-2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0.20936628153667697</v>
      </c>
      <c r="K1793" s="1">
        <f t="shared" si="1865"/>
        <v>0.26396172990291944</v>
      </c>
      <c r="L1793" s="1">
        <f t="shared" ref="L1793" si="1866">SUM(L1794:L1800)</f>
        <v>0.38547354165493114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1.8779266621928088E-2</v>
      </c>
      <c r="K1794" s="1">
        <f>'[2]Electricity and CHPs_CAP'!G$25</f>
        <v>5.5911564232885715E-2</v>
      </c>
      <c r="L1794" s="1">
        <f>'[2]Electricity and CHPs_CAP'!H$25</f>
        <v>9.9703807453077511E-2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2.20451198894736E-4</v>
      </c>
      <c r="L1795" s="1">
        <f>'[2]Electricity and CHPs_CAP'!H$31</f>
        <v>0.12114429352539581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0.1431447149918425</v>
      </c>
      <c r="K1796" s="1">
        <f>'[2]Electricity and CHPs_CAP'!G$42</f>
        <v>0.11662024529200503</v>
      </c>
      <c r="L1796" s="1">
        <f>'[2]Electricity and CHPs_CAP'!H$42</f>
        <v>0.11444439257389502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3.5680988956945901E-2</v>
      </c>
      <c r="L1797" s="1">
        <f>'[2]Electricity and CHPs_CAP'!H$43</f>
        <v>4.9089484390911299E-2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3.6935322226621113E-4</v>
      </c>
      <c r="K1798" s="1">
        <f>'[2]Electricity and CHPs_CAP'!G$50</f>
        <v>3.9645453581155064E-4</v>
      </c>
      <c r="L1798" s="1">
        <f>'[2]Electricity and CHPs_CAP'!H$50</f>
        <v>1.452637822970043E-4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4.6872002857259912E-2</v>
      </c>
      <c r="K1799" s="1">
        <f>'[2]Electricity and CHPs_CAP'!G$53</f>
        <v>5.4971058854940524E-2</v>
      </c>
      <c r="L1799" s="1">
        <f>'[2]Electricity and CHPs_CAP'!H$53</f>
        <v>8.7406037619299978E-4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2.0094384338026968E-4</v>
      </c>
      <c r="K1800" s="1">
        <f>'[2]Electricity and CHPs_CAP'!G$56</f>
        <v>1.6096683143598613E-4</v>
      </c>
      <c r="L1800" s="1">
        <f>'[2]Electricity and CHPs_CAP'!H$56</f>
        <v>7.2239553161517376E-5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0.1470947784595818</v>
      </c>
      <c r="K1801" s="1">
        <f t="shared" si="1868"/>
        <v>0.14721372425212867</v>
      </c>
      <c r="L1801" s="1">
        <f t="shared" si="1868"/>
        <v>0.147215459479068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0.1470947784595818</v>
      </c>
      <c r="K1802" s="1">
        <f>'[2]Electricity and CHPs_CAP'!G$33</f>
        <v>0.14721372425212867</v>
      </c>
      <c r="L1802" s="1">
        <f>'[2]Electricity and CHPs_CAP'!H$33</f>
        <v>0.147215459479068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16.282504950469288</v>
      </c>
      <c r="K1803" s="1">
        <f t="shared" si="1869"/>
        <v>34.564362486591264</v>
      </c>
      <c r="L1803" s="1">
        <f t="shared" ref="L1803" si="1870">SUM(L1804:L1808)</f>
        <v>39.813007663027641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0.14615162314125807</v>
      </c>
      <c r="K1804" s="1">
        <f>'[2]Electricity and CHPs_CAP'!G$34</f>
        <v>7.1320770323957152</v>
      </c>
      <c r="L1804" s="1">
        <f>'[2]Electricity and CHPs_CAP'!H$34</f>
        <v>9.4795559880592499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5.9011149541323906</v>
      </c>
      <c r="K1805" s="1">
        <f>'[2]Electricity and CHPs_CAP'!G$35</f>
        <v>11.775187071310036</v>
      </c>
      <c r="L1805" s="1">
        <f>'[2]Electricity and CHPs_CAP'!H$35</f>
        <v>13.007134517401299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3.4021829605417517</v>
      </c>
      <c r="K1806" s="1">
        <f>'[2]Electricity and CHPs_CAP'!G$36</f>
        <v>3.5896180969576892</v>
      </c>
      <c r="L1806" s="1">
        <f>'[2]Electricity and CHPs_CAP'!H$36</f>
        <v>3.99631057329549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1.4090759633057881</v>
      </c>
      <c r="K1807" s="1">
        <f>'[2]Electricity and CHPs_CAP'!G$37</f>
        <v>1.48101547554694</v>
      </c>
      <c r="L1807" s="1">
        <f>'[2]Electricity and CHPs_CAP'!H$37</f>
        <v>1.635963090720701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5.4239794493480984</v>
      </c>
      <c r="K1808" s="1">
        <f>'[2]Electricity and CHPs_CAP'!G$38</f>
        <v>10.586464810380889</v>
      </c>
      <c r="L1808" s="1">
        <f>'[2]Electricity and CHPs_CAP'!H$38</f>
        <v>11.6940434935509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7.5023089232544195E-5</v>
      </c>
      <c r="L1809" s="1">
        <f>'[2]Electricity and CHPs_CAP'!H$32</f>
        <v>4.7645658421043274E-4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7.5023089232544195E-5</v>
      </c>
      <c r="L1810" s="1">
        <f t="shared" ref="L1810" si="1874">L1809</f>
        <v>4.7645658421043274E-4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9.4418794756831513E-4</v>
      </c>
      <c r="K1811" s="1">
        <f t="shared" si="1875"/>
        <v>3.7906563901564098E-2</v>
      </c>
      <c r="L1811" s="1">
        <f t="shared" ref="L1811" si="1876">SUM(L1812:L1814)</f>
        <v>3.0915258270595415E-2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1.2718124540834401E-2</v>
      </c>
      <c r="L1812" s="1">
        <f>'[2]Electricity and CHPs_CAP'!H$30</f>
        <v>1.2725315058564416E-2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6.38884001034666E-4</v>
      </c>
      <c r="K1813" s="1">
        <f>'[2]Electricity and CHPs_CAP'!G$46</f>
        <v>2.3952347354426893E-2</v>
      </c>
      <c r="L1813" s="1">
        <f>'[2]Electricity and CHPs_CAP'!H$46</f>
        <v>1.7400806312949848E-2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3.0530394653364914E-4</v>
      </c>
      <c r="K1814" s="1">
        <f>'[2]Electricity and CHPs_CAP'!G$57</f>
        <v>1.2360920063028075E-3</v>
      </c>
      <c r="L1814" s="1">
        <f>'[2]Electricity and CHPs_CAP'!H$57</f>
        <v>7.8913689908115335E-4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0.88346766592942771</v>
      </c>
      <c r="K1815" s="1">
        <f t="shared" si="1877"/>
        <v>2.0066160732398126</v>
      </c>
      <c r="L1815" s="1">
        <f t="shared" ref="L1815" si="1878">SUM(L1816:L1822)</f>
        <v>2.6673590999105019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9.9997890626540908E-2</v>
      </c>
      <c r="K1816" s="1">
        <f>'[2]Electricity and CHPs_CAP'!G$63</f>
        <v>9.9998406323088804E-2</v>
      </c>
      <c r="L1816" s="1">
        <f>'[2]Electricity and CHPs_CAP'!H$63</f>
        <v>9.9998745777208034E-2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1.2660144489774377E-2</v>
      </c>
      <c r="K1817" s="1">
        <f>'[2]Electricity and CHPs_CAP'!G$64</f>
        <v>0.48782876871667097</v>
      </c>
      <c r="L1817" s="1">
        <f>'[2]Electricity and CHPs_CAP'!H$64</f>
        <v>0.78406756162370306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9.9563681195915955E-3</v>
      </c>
      <c r="K1818" s="1">
        <f>'[2]Electricity and CHPs_CAP'!G$65</f>
        <v>0.24119729573063201</v>
      </c>
      <c r="L1818" s="1">
        <f>'[2]Electricity and CHPs_CAP'!H$65</f>
        <v>0.35096030067690814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0.1228181251046488</v>
      </c>
      <c r="K1819" s="1">
        <f>'[2]Electricity and CHPs_CAP'!G$66</f>
        <v>0.25393654295304136</v>
      </c>
      <c r="L1819" s="1">
        <f>'[2]Electricity and CHPs_CAP'!H$66</f>
        <v>0.30777051911666353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0.36055007731626543</v>
      </c>
      <c r="K1820" s="1">
        <f>'[2]Electricity and CHPs_CAP'!G$67</f>
        <v>0.39311604911046139</v>
      </c>
      <c r="L1820" s="1">
        <f>'[2]Electricity and CHPs_CAP'!H$67</f>
        <v>0.48115427881921136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5.1714293426022226E-2</v>
      </c>
      <c r="K1821" s="1">
        <f>'[2]Electricity and CHPs_CAP'!G$68</f>
        <v>5.7297482298933104E-2</v>
      </c>
      <c r="L1821" s="1">
        <f>'[2]Electricity and CHPs_CAP'!H$68</f>
        <v>6.9470632440307933E-2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0.2257707668465844</v>
      </c>
      <c r="K1822" s="1">
        <f>'[2]Electricity and CHPs_CAP'!G$69</f>
        <v>0.47324152810698483</v>
      </c>
      <c r="L1822" s="1">
        <f>'[2]Electricity and CHPs_CAP'!H$69</f>
        <v>0.5739370614564997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9.2560904909876225</v>
      </c>
      <c r="K1823" s="3">
        <f t="shared" si="1881"/>
        <v>8.8814356513344332</v>
      </c>
      <c r="L1823" s="3">
        <f t="shared" ref="L1823" si="1882">SUM(L1824,L1843)</f>
        <v>8.1825958800554623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7.5572084144101375</v>
      </c>
      <c r="K1824" s="1">
        <f t="shared" si="1883"/>
        <v>6.9797010664724395</v>
      </c>
      <c r="L1824" s="1">
        <f t="shared" ref="L1824" si="1884">SUM(L1825,L1828,L1830,L1833,L1835,L1837,L1839,L1841)</f>
        <v>6.1816992859750854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3.6717370510016476</v>
      </c>
      <c r="K1825" s="1">
        <f t="shared" si="1885"/>
        <v>4.1524784751389889</v>
      </c>
      <c r="L1825" s="1">
        <f t="shared" ref="L1825" si="1886">SUM(L1826:L1827)</f>
        <v>4.1560905972522066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2.1184535087739015E-2</v>
      </c>
      <c r="K1826" s="1" cm="1">
        <f t="array" ref="K1826">SUMPRODUCT(([2]OUT_FinalEnergyCons!$B$4:$B$10000="var_cap")*1,(ISNUMBER(SEARCH("RH*-SHELCBR",[2]OUT_FinalEnergyCons!$A$4:$A$10000)))*1,[2]OUT_FinalEnergyCons!I$4:I$10000)</f>
        <v>4.8546117051628604E-3</v>
      </c>
      <c r="L1826" s="1" cm="1">
        <f t="array" ref="L1826">SUMPRODUCT(([2]OUT_FinalEnergyCons!$B$4:$B$10000="var_cap")*1,(ISNUMBER(SEARCH("RH*-SHELCBR",[2]OUT_FinalEnergyCons!$A$4:$A$10000)))*1,[2]OUT_FinalEnergyCons!J$4:J$10000)</f>
        <v>2.3644165985827834E-3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3.6505525159139087</v>
      </c>
      <c r="K1827" s="1" cm="1">
        <f t="array" ref="K1827">SUMPRODUCT(([2]OUT_FinalEnergyCons!$B$4:$B$10000="var_cap")*1,ISNUMBER(SEARCH("RH*-SHELCHP",[2]OUT_FinalEnergyCons!$A$4:$A$10000))*1,[2]OUT_FinalEnergyCons!I$4:I$10000)</f>
        <v>4.1476238634338261</v>
      </c>
      <c r="L1827" s="1" cm="1">
        <f t="array" ref="L1827">SUMPRODUCT(([2]OUT_FinalEnergyCons!$B$4:$B$10000="var_cap")*1,ISNUMBER(SEARCH("RH*-SHELCHP",[2]OUT_FinalEnergyCons!$A$4:$A$10000))*1,[2]OUT_FinalEnergyCons!J$4:J$10000)</f>
        <v>4.1537261806536234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0.87498278807851437</v>
      </c>
      <c r="K1828" s="1">
        <f t="shared" si="1891"/>
        <v>0.30227061247363263</v>
      </c>
      <c r="L1828" s="1">
        <f t="shared" si="1891"/>
        <v>5.0853090941316591E-2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0.87498278807851437</v>
      </c>
      <c r="K1829" s="1" cm="1">
        <f t="array" ref="K1829">SUMPRODUCT(([2]OUT_FinalEnergyCons!$B$4:$B$10000="var_cap")*1, (ISNUMBER(SEARCH("RH*-SHLFOBR",[2]OUT_FinalEnergyCons!$A$4:$A$10000)))*1,[2]OUT_FinalEnergyCons!I$4:I$10000)</f>
        <v>0.30227061247363263</v>
      </c>
      <c r="L1829" s="1" cm="1">
        <f t="array" ref="L1829">SUMPRODUCT(([2]OUT_FinalEnergyCons!$B$4:$B$10000="var_cap")*1, (ISNUMBER(SEARCH("RH*-SHLFOBR",[2]OUT_FinalEnergyCons!$A$4:$A$10000)))*1,[2]OUT_FinalEnergyCons!J$4:J$10000)</f>
        <v>5.0853090941316591E-2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2.3489228822673751</v>
      </c>
      <c r="K1830" s="1">
        <f t="shared" si="1894"/>
        <v>2.0028085693446074</v>
      </c>
      <c r="L1830" s="1">
        <f t="shared" ref="L1830" si="1895">SUM(L1831:L1832)</f>
        <v>1.6773355031298058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1.0808036736044491</v>
      </c>
      <c r="K1831" s="1" cm="1">
        <f t="array" ref="K1831">SUMPRODUCT(([2]OUT_FinalEnergyCons!$B$4:$B$10000="var_cap")*1, (ISNUMBER(SEARCH("RH*-SHNGABR",[2]OUT_FinalEnergyCons!$A$4:$A$10000)))*1,[2]OUT_FinalEnergyCons!I$4:I$10000)</f>
        <v>0.4797019170939843</v>
      </c>
      <c r="L1831" s="1" cm="1">
        <f t="array" ref="L1831">SUMPRODUCT(([2]OUT_FinalEnergyCons!$B$4:$B$10000="var_cap")*1, (ISNUMBER(SEARCH("RH*-SHNGABR",[2]OUT_FinalEnergyCons!$A$4:$A$10000)))*1,[2]OUT_FinalEnergyCons!J$4:J$10000)</f>
        <v>0.25076644083785848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1.268119208662926</v>
      </c>
      <c r="K1832" s="1" cm="1">
        <f t="array" ref="K1832">SUMPRODUCT(([2]OUT_FinalEnergyCons!$B$4:$B$10000="var_cap")*1,ISNUMBER(SEARCH("RH*-SHngahp",[2]OUT_FinalEnergyCons!$A$4:$A$10000))*1,[2]OUT_FinalEnergyCons!I$4:I$10000)</f>
        <v>1.5231066522506231</v>
      </c>
      <c r="L1832" s="1" cm="1">
        <f t="array" ref="L1832">SUMPRODUCT(([2]OUT_FinalEnergyCons!$B$4:$B$10000="var_cap")*1,ISNUMBER(SEARCH("RH*-SHngahp",[2]OUT_FinalEnergyCons!$A$4:$A$10000))*1,[2]OUT_FinalEnergyCons!J$4:J$10000)</f>
        <v>1.4265690622919474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1.3251393826900059E-6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1.3251393826900059E-6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0.5912370594207228</v>
      </c>
      <c r="K1835" s="1">
        <f t="shared" si="1901"/>
        <v>0.48437425225713987</v>
      </c>
      <c r="L1835" s="1">
        <f t="shared" si="1901"/>
        <v>0.26614915471168454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0.5912370594207228</v>
      </c>
      <c r="K1836" s="1" cm="1">
        <f t="array" ref="K1836">SUMPRODUCT(([2]OUT_FinalEnergyCons!$B$4:$B$10000="var_cap")*1, (ISNUMBER(SEARCH("RH*-SHWODBR",[2]OUT_FinalEnergyCons!$A$4:$A$10000)))*1,[2]OUT_FinalEnergyCons!I$4:I$10000)</f>
        <v>0.48437425225713987</v>
      </c>
      <c r="L1836" s="1" cm="1">
        <f t="array" ref="L1836">SUMPRODUCT(([2]OUT_FinalEnergyCons!$B$4:$B$10000="var_cap")*1, (ISNUMBER(SEARCH("RH*-SHWODBR",[2]OUT_FinalEnergyCons!$A$4:$A$10000)))*1,[2]OUT_FinalEnergyCons!J$4:J$10000)</f>
        <v>0.26614915471168454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3.0778001774315542E-2</v>
      </c>
      <c r="K1837" s="1">
        <f t="shared" si="1904"/>
        <v>3.2423555463873675E-2</v>
      </c>
      <c r="L1837" s="1">
        <f t="shared" si="1904"/>
        <v>2.6657540819058436E-2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3.0778001774315542E-2</v>
      </c>
      <c r="K1838" s="1" cm="1">
        <f t="array" ref="K1838">SUMPRODUCT(([2]OUT_FinalEnergyCons!$B$4:$B$10000="var_cap")*1, (ISNUMBER(SEARCH("RH*-SHPLTBR",[2]OUT_FinalEnergyCons!$A$4:$A$10000)))*1,[2]OUT_FinalEnergyCons!I$4:I$10000)</f>
        <v>3.2423555463873675E-2</v>
      </c>
      <c r="L1838" s="1" cm="1">
        <f t="array" ref="L1838">SUMPRODUCT(([2]OUT_FinalEnergyCons!$B$4:$B$10000="var_cap")*1, (ISNUMBER(SEARCH("RH*-SHPLTBR",[2]OUT_FinalEnergyCons!$A$4:$A$10000)))*1,[2]OUT_FinalEnergyCons!J$4:J$10000)</f>
        <v>2.6657540819058436E-2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3.9549306728178718E-2</v>
      </c>
      <c r="K1839" s="1">
        <f t="shared" si="1907"/>
        <v>5.3456017941972645E-3</v>
      </c>
      <c r="L1839" s="1">
        <f t="shared" si="1907"/>
        <v>4.6133991210132366E-3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3.9549306728178718E-2</v>
      </c>
      <c r="K1840" s="1" cm="1">
        <f t="array" ref="K1840">SUMPRODUCT(([2]OUT_FinalEnergyCons!$B$4:$B$10000="var_cap")*1, (ISNUMBER(SEARCH("RH*-SHSOLBR",[2]OUT_FinalEnergyCons!$A$4:$A$10000)))*1,[2]OUT_FinalEnergyCons!I$4:I$10000)</f>
        <v>5.3456017941972645E-3</v>
      </c>
      <c r="L1840" s="1" cm="1">
        <f t="array" ref="L1840">SUMPRODUCT(([2]OUT_FinalEnergyCons!$B$4:$B$10000="var_cap")*1, (ISNUMBER(SEARCH("RH*-SHSOLBR",[2]OUT_FinalEnergyCons!$A$4:$A$10000)))*1,[2]OUT_FinalEnergyCons!J$4:J$10000)</f>
        <v>4.6133991210132366E-3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1.6988820765774857</v>
      </c>
      <c r="K1843" s="1">
        <f t="shared" ref="K1843:L1843" si="1917">SUM(K1844,K1847,K1849,K1852,K1854,K1856,K1858,K1860)</f>
        <v>1.901734584861994</v>
      </c>
      <c r="L1843" s="1">
        <f t="shared" si="1917"/>
        <v>2.0008965940803769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0.79800870207168428</v>
      </c>
      <c r="K1844" s="1">
        <f t="shared" ref="K1844:L1844" si="1923">SUM(K1845:K1846)</f>
        <v>0.9922213773647518</v>
      </c>
      <c r="L1844" s="1">
        <f t="shared" si="1923"/>
        <v>1.1632272552685083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0.12736646160914911</v>
      </c>
      <c r="K1845" s="1" cm="1">
        <f t="array" ref="K1845">SUMPRODUCT(([2]OUT_FinalEnergyCons!$B$4:$B$10000="var_cap")*1,(ISNUMBER(SEARCH("RH*-WHELCBR",[2]OUT_FinalEnergyCons!$A$4:$A$10000)))*1,[2]OUT_FinalEnergyCons!I$4:I$10000)</f>
        <v>0.13610347696779987</v>
      </c>
      <c r="L1845" s="1" cm="1">
        <f t="array" ref="L1845">SUMPRODUCT(([2]OUT_FinalEnergyCons!$B$4:$B$10000="var_cap")*1,(ISNUMBER(SEARCH("RH*-WHELCBR",[2]OUT_FinalEnergyCons!$A$4:$A$10000)))*1,[2]OUT_FinalEnergyCons!J$4:J$10000)</f>
        <v>0.11959424265987004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0.67064224046253518</v>
      </c>
      <c r="K1846" s="1" cm="1">
        <f t="array" ref="K1846">SUMPRODUCT(([2]OUT_FinalEnergyCons!$B$4:$B$10000="var_cap")*1,ISNUMBER(SEARCH("RH*-WHELCHP",[2]OUT_FinalEnergyCons!$A$4:$A$10000))*1,[2]OUT_FinalEnergyCons!I$4:I$10000)</f>
        <v>0.8561179003969519</v>
      </c>
      <c r="L1846" s="1" cm="1">
        <f t="array" ref="L1846">SUMPRODUCT(([2]OUT_FinalEnergyCons!$B$4:$B$10000="var_cap")*1,ISNUMBER(SEARCH("RH*-WHELCHP",[2]OUT_FinalEnergyCons!$A$4:$A$10000))*1,[2]OUT_FinalEnergyCons!J$4:J$10000)</f>
        <v>1.0436330126086384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9.9889091767472404E-2</v>
      </c>
      <c r="K1847" s="1">
        <f t="shared" ref="K1847:L1847" si="1931">K1848</f>
        <v>5.0145869476672413E-2</v>
      </c>
      <c r="L1847" s="1">
        <f t="shared" si="1931"/>
        <v>5.8402110643847004E-3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9.9889091767472404E-2</v>
      </c>
      <c r="K1848" s="1" cm="1">
        <f t="array" ref="K1848">SUMPRODUCT(([2]OUT_FinalEnergyCons!$B$4:$B$10000="var_cap")*1, (ISNUMBER(SEARCH("RH*-WHLFOBR",[2]OUT_FinalEnergyCons!$A$4:$A$10000)))*1,[2]OUT_FinalEnergyCons!I$4:I$10000)</f>
        <v>5.0145869476672413E-2</v>
      </c>
      <c r="L1848" s="1" cm="1">
        <f t="array" ref="L1848">SUMPRODUCT(([2]OUT_FinalEnergyCons!$B$4:$B$10000="var_cap")*1, (ISNUMBER(SEARCH("RH*-WHLFOBR",[2]OUT_FinalEnergyCons!$A$4:$A$10000)))*1,[2]OUT_FinalEnergyCons!J$4:J$10000)</f>
        <v>5.8402110643847004E-3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0.47551688145026488</v>
      </c>
      <c r="K1849" s="1">
        <f t="shared" ref="K1849:L1849" si="1938">SUM(K1850:K1851)</f>
        <v>0.5084923908641904</v>
      </c>
      <c r="L1849" s="1">
        <f t="shared" si="1938"/>
        <v>0.51338583679811767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0.16315738518414669</v>
      </c>
      <c r="K1850" s="1" cm="1">
        <f t="array" ref="K1850">SUMPRODUCT(([2]OUT_FinalEnergyCons!$B$4:$B$10000="var_cap")*1, (ISNUMBER(SEARCH("RH*-WHNGABR",[2]OUT_FinalEnergyCons!$A$4:$A$10000)))*1,[2]OUT_FinalEnergyCons!I$4:I$10000)</f>
        <v>0.10067609843788479</v>
      </c>
      <c r="L1850" s="1" cm="1">
        <f t="array" ref="L1850">SUMPRODUCT(([2]OUT_FinalEnergyCons!$B$4:$B$10000="var_cap")*1, (ISNUMBER(SEARCH("RH*-WHNGABR",[2]OUT_FinalEnergyCons!$A$4:$A$10000)))*1,[2]OUT_FinalEnergyCons!J$4:J$10000)</f>
        <v>5.7873614714021408E-2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0.3123594962661182</v>
      </c>
      <c r="K1851" s="1" cm="1">
        <f t="array" ref="K1851">SUMPRODUCT(([2]OUT_FinalEnergyCons!$B$4:$B$10000="var_cap")*1,ISNUMBER(SEARCH("RH*-WHngahp",[2]OUT_FinalEnergyCons!$A$4:$A$10000))*1,[2]OUT_FinalEnergyCons!I$4:I$10000)</f>
        <v>0.40781629242630557</v>
      </c>
      <c r="L1851" s="1" cm="1">
        <f t="array" ref="L1851">SUMPRODUCT(([2]OUT_FinalEnergyCons!$B$4:$B$10000="var_cap")*1,ISNUMBER(SEARCH("RH*-WHngahp",[2]OUT_FinalEnergyCons!$A$4:$A$10000))*1,[2]OUT_FinalEnergyCons!J$4:J$10000)</f>
        <v>0.45551222208409625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7.349070399100259E-2</v>
      </c>
      <c r="K1854" s="1">
        <f t="shared" ref="K1854:L1854" si="1953">K1855</f>
        <v>7.1506894916167241E-2</v>
      </c>
      <c r="L1854" s="1">
        <f t="shared" si="1953"/>
        <v>5.2663418396808902E-2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7.349070399100259E-2</v>
      </c>
      <c r="K1855" s="1" cm="1">
        <f t="array" ref="K1855">SUMPRODUCT(([2]OUT_FinalEnergyCons!$B$4:$B$10000="var_cap")*1, (ISNUMBER(SEARCH("RH*-WHWODBR",[2]OUT_FinalEnergyCons!$A$4:$A$10000)))*1,[2]OUT_FinalEnergyCons!I$4:I$10000)</f>
        <v>7.1506894916167241E-2</v>
      </c>
      <c r="L1855" s="1" cm="1">
        <f t="array" ref="L1855">SUMPRODUCT(([2]OUT_FinalEnergyCons!$B$4:$B$10000="var_cap")*1, (ISNUMBER(SEARCH("RH*-WHWODBR",[2]OUT_FinalEnergyCons!$A$4:$A$10000)))*1,[2]OUT_FinalEnergyCons!J$4:J$10000)</f>
        <v>5.2663418396808902E-2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7.8780332892271713E-3</v>
      </c>
      <c r="K1856" s="1">
        <f t="shared" ref="K1856:L1856" si="1960">K1857</f>
        <v>9.1352136987195975E-3</v>
      </c>
      <c r="L1856" s="1">
        <f t="shared" si="1960"/>
        <v>9.1566197378195775E-3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7.8780332892271713E-3</v>
      </c>
      <c r="K1857" s="1" cm="1">
        <f t="array" ref="K1857">SUMPRODUCT(([2]OUT_FinalEnergyCons!$B$4:$B$10000="var_cap")*1, (ISNUMBER(SEARCH("RH*-WHPLTBR",[2]OUT_FinalEnergyCons!$A$4:$A$10000)))*1,[2]OUT_FinalEnergyCons!I$4:I$10000)</f>
        <v>9.1352136987195975E-3</v>
      </c>
      <c r="L1857" s="1" cm="1">
        <f t="array" ref="L1857">SUMPRODUCT(([2]OUT_FinalEnergyCons!$B$4:$B$10000="var_cap")*1, (ISNUMBER(SEARCH("RH*-WHPLTBR",[2]OUT_FinalEnergyCons!$A$4:$A$10000)))*1,[2]OUT_FinalEnergyCons!J$4:J$10000)</f>
        <v>9.1566197378195775E-3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0.24409866400783428</v>
      </c>
      <c r="K1858" s="1">
        <f t="shared" ref="K1858:L1858" si="1967">K1859</f>
        <v>0.27023283854149266</v>
      </c>
      <c r="L1858" s="1">
        <f t="shared" si="1967"/>
        <v>0.2566232528147378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0.24409866400783428</v>
      </c>
      <c r="K1859" s="1" cm="1">
        <f t="array" ref="K1859">SUMPRODUCT(([2]OUT_FinalEnergyCons!$B$4:$B$10000="var_cap")*1, (ISNUMBER(SEARCH("RH*-WHSOLBR",[2]OUT_FinalEnergyCons!$A$4:$A$10000)))*1,[2]OUT_FinalEnergyCons!I$4:I$10000)</f>
        <v>0.27023283854149266</v>
      </c>
      <c r="L1859" s="1" cm="1">
        <f t="array" ref="L1859">SUMPRODUCT(([2]OUT_FinalEnergyCons!$B$4:$B$10000="var_cap")*1, (ISNUMBER(SEARCH("RH*-WHSOLBR",[2]OUT_FinalEnergyCons!$A$4:$A$10000)))*1,[2]OUT_FinalEnergyCons!J$4:J$10000)</f>
        <v>0.2566232528147378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4.1602520025451657</v>
      </c>
      <c r="K1862" s="17">
        <f t="shared" si="1976"/>
        <v>4.5559156508482506</v>
      </c>
      <c r="L1862" s="17">
        <f t="shared" ref="L1862" si="1977">SUM(L1863,L1866,L1869,L1873,L1875,L1877,L1879,L1881,L1883)</f>
        <v>4.1758245171590191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1.7105332427091078</v>
      </c>
      <c r="K1863" s="18">
        <f t="shared" si="1978"/>
        <v>2.0514058503348584</v>
      </c>
      <c r="L1863" s="18">
        <f t="shared" ref="L1863" si="1979">SUM(L1864:L1865)</f>
        <v>2.1968238674025882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1.3759246419827733</v>
      </c>
      <c r="K1864" s="1" cm="1">
        <f t="array" ref="K1864">SUMPRODUCT(([2]OUT_FinalEnergyCons!$B$4:$B$10000="Var_cap")*1,  (ISNUMBER(SEARCH("ITOT-SWHELCBR",[2]OUT_FinalEnergyCons!$A$4:$A$10000)))*1,[2]OUT_FinalEnergyCons!I$4:I$10000)</f>
        <v>1.4407964416659298</v>
      </c>
      <c r="L1864" s="1" cm="1">
        <f t="array" ref="L1864">SUMPRODUCT(([2]OUT_FinalEnergyCons!$B$4:$B$10000="Var_cap")*1,  (ISNUMBER(SEARCH("ITOT-SWHELCBR",[2]OUT_FinalEnergyCons!$A$4:$A$10000)))*1,[2]OUT_FinalEnergyCons!J$4:J$10000)</f>
        <v>1.5988710552188503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0.33460860072633442</v>
      </c>
      <c r="K1865" s="1" cm="1">
        <f t="array" ref="K1865">SUMPRODUCT(([2]OUT_FinalEnergyCons!$B$4:$B$10000="Var_cap")*1,  (ISNUMBER(SEARCH("ITOT-SWHELCHP",[2]OUT_FinalEnergyCons!$A$4:$A$10000)))*1,[2]OUT_FinalEnergyCons!I$4:I$10000)</f>
        <v>0.61060940866892843</v>
      </c>
      <c r="L1865" s="1" cm="1">
        <f t="array" ref="L1865">SUMPRODUCT(([2]OUT_FinalEnergyCons!$B$4:$B$10000="Var_cap")*1,  (ISNUMBER(SEARCH("ITOT-SWHELCHP",[2]OUT_FinalEnergyCons!$A$4:$A$10000)))*1,[2]OUT_FinalEnergyCons!J$4:J$10000)</f>
        <v>0.59795281218373808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0.27508021420913137</v>
      </c>
      <c r="K1866" s="18">
        <f t="shared" si="1981"/>
        <v>0.20279267807872217</v>
      </c>
      <c r="L1866" s="18">
        <f t="shared" ref="L1866" si="1982">SUM(L1867:L1868)</f>
        <v>1.5858253384844395E-2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0.27465924528805097</v>
      </c>
      <c r="K1867" s="1" cm="1">
        <f t="array" ref="K1867">SUMPRODUCT(([2]OUT_FinalEnergyCons!$B$4:$B$10000="Var_cap")*1,  (ISNUMBER(SEARCH("ITOT-SWHLFOBR",[2]OUT_FinalEnergyCons!$A$4:$A$10000)))*1,[2]OUT_FinalEnergyCons!I$4:I$10000)</f>
        <v>0.2027595138015521</v>
      </c>
      <c r="L1867" s="1" cm="1">
        <f t="array" ref="L1867">SUMPRODUCT(([2]OUT_FinalEnergyCons!$B$4:$B$10000="Var_cap")*1,  (ISNUMBER(SEARCH("ITOT-SWHLFOBR",[2]OUT_FinalEnergyCons!$A$4:$A$10000)))*1,[2]OUT_FinalEnergyCons!J$4:J$10000)</f>
        <v>1.5858253384844395E-2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4.2096892108038977E-4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3.3164277170057979E-5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0.52432145680137976</v>
      </c>
      <c r="K1869" s="18">
        <f t="shared" si="1985"/>
        <v>0.30798463828592915</v>
      </c>
      <c r="L1869" s="18">
        <f t="shared" ref="L1869" si="1986">SUM(L1870:L1871)</f>
        <v>7.9270265601146056E-2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0.52385235060600133</v>
      </c>
      <c r="K1870" s="1" cm="1">
        <f t="array" ref="K1870">SUMPRODUCT(([2]OUT_FinalEnergyCons!$B$4:$B$10000="Var_cap")*1,  (ISNUMBER(SEARCH("ITOT-SWHNGA*BR",[2]OUT_FinalEnergyCons!$A$4:$A$10000)))*1,[2]OUT_FinalEnergyCons!I$4:I$10000)</f>
        <v>0.30762841591798062</v>
      </c>
      <c r="L1870" s="1" cm="1">
        <f t="array" ref="L1870">SUMPRODUCT(([2]OUT_FinalEnergyCons!$B$4:$B$10000="Var_cap")*1,  (ISNUMBER(SEARCH("ITOT-SWHNGA*BR",[2]OUT_FinalEnergyCons!$A$4:$A$10000)))*1,[2]OUT_FinalEnergyCons!J$4:J$10000)</f>
        <v>7.9094654369172915E-2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4.6910619537841197E-4</v>
      </c>
      <c r="K1871" s="1" cm="1">
        <f t="array" ref="K1871">SUMPRODUCT(([2]OUT_FinalEnergyCons!$B$4:$B$10000="Var_cap")*1,  (ISNUMBER(SEARCH("ITOT-SWHNGAHP",[2]OUT_FinalEnergyCons!$A$4:$A$10000)))*1,[2]OUT_FinalEnergyCons!I$4:I$10000)</f>
        <v>3.5622236794850284E-4</v>
      </c>
      <c r="L1871" s="1" cm="1">
        <f t="array" ref="L1871">SUMPRODUCT(([2]OUT_FinalEnergyCons!$B$4:$B$10000="Var_cap")*1,  (ISNUMBER(SEARCH("ITOT-SWHNGAHP",[2]OUT_FinalEnergyCons!$A$4:$A$10000)))*1,[2]OUT_FinalEnergyCons!J$4:J$10000)</f>
        <v>1.7561123197313633E-4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0.1083507942930898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0.14654144259750529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0.27905806287755403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2.9141454866710159E-4</v>
      </c>
      <c r="K1873" s="1">
        <f t="shared" si="1987"/>
        <v>3.1263692990070996E-5</v>
      </c>
      <c r="L1873" s="1">
        <f t="shared" si="1987"/>
        <v>2.3240353166098797E-7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2.9141454866710159E-4</v>
      </c>
      <c r="K1874" s="1" cm="1">
        <f t="array" ref="K1874">SUMPRODUCT(([2]OUT_FinalEnergyCons!$B$4:$B$10000="Var_cap")*1,  (ISNUMBER(SEARCH("ITOT-SWHCOA*BR",[2]OUT_FinalEnergyCons!$A$4:$A$10000)))*1,[2]OUT_FinalEnergyCons!I$4:I$10000)</f>
        <v>3.1263692990070996E-5</v>
      </c>
      <c r="L1874" s="1" cm="1">
        <f t="array" ref="L1874">SUMPRODUCT(([2]OUT_FinalEnergyCons!$B$4:$B$10000="Var_cap")*1,  (ISNUMBER(SEARCH("ITOT-SWHCOA*BR",[2]OUT_FinalEnergyCons!$A$4:$A$10000)))*1,[2]OUT_FinalEnergyCons!J$4:J$10000)</f>
        <v>2.3240353166098797E-7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0.41124028771865212</v>
      </c>
      <c r="K1875" s="1">
        <f t="shared" si="1988"/>
        <v>0.53153024273128224</v>
      </c>
      <c r="L1875" s="1">
        <f t="shared" si="1988"/>
        <v>0.58588896411284297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0.41124028771865212</v>
      </c>
      <c r="K1876" s="1" cm="1">
        <f t="array" ref="K1876">SUMPRODUCT(([2]OUT_FinalEnergyCons!$B$4:$B$10000="Var_cap")*1,  (ISNUMBER(SEARCH("ITOT-SWHWOD*BR",[2]OUT_FinalEnergyCons!$A$4:$A$10000)))*1,[2]OUT_FinalEnergyCons!I$4:I$10000)</f>
        <v>0.53153024273128224</v>
      </c>
      <c r="L1876" s="1" cm="1">
        <f t="array" ref="L1876">SUMPRODUCT(([2]OUT_FinalEnergyCons!$B$4:$B$10000="Var_cap")*1,  (ISNUMBER(SEARCH("ITOT-SWHWOD*BR",[2]OUT_FinalEnergyCons!$A$4:$A$10000)))*1,[2]OUT_FinalEnergyCons!J$4:J$10000)</f>
        <v>0.58588896411284297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4.0673534376947013E-2</v>
      </c>
      <c r="K1877" s="1">
        <f t="shared" si="1989"/>
        <v>4.2731070384292198E-2</v>
      </c>
      <c r="L1877" s="1">
        <f t="shared" si="1989"/>
        <v>4.2647077907246464E-2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4.0673534376947013E-2</v>
      </c>
      <c r="K1878" s="1" cm="1">
        <f t="array" ref="K1878">SUMPRODUCT(([2]OUT_FinalEnergyCons!$B$4:$B$10000="Var_cap")*1,  (ISNUMBER(SEARCH("ITOT-SWHPLT*BR",[2]OUT_FinalEnergyCons!$A$4:$A$10000)))*1,[2]OUT_FinalEnergyCons!I$4:I$10000)</f>
        <v>4.2731070384292198E-2</v>
      </c>
      <c r="L1878" s="1" cm="1">
        <f t="array" ref="L1878">SUMPRODUCT(([2]OUT_FinalEnergyCons!$B$4:$B$10000="Var_cap")*1,  (ISNUMBER(SEARCH("ITOT-SWHPLT*BR",[2]OUT_FinalEnergyCons!$A$4:$A$10000)))*1,[2]OUT_FinalEnergyCons!J$4:J$10000)</f>
        <v>4.2647077907246464E-2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0.32794241566077703</v>
      </c>
      <c r="K1879" s="1">
        <f t="shared" si="1990"/>
        <v>0.34178182249924621</v>
      </c>
      <c r="L1879" s="1">
        <f t="shared" si="1990"/>
        <v>0.22483579365188508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0.32794241566077703</v>
      </c>
      <c r="K1880" s="1" cm="1">
        <f t="array" ref="K1880">SUMPRODUCT(([2]OUT_FinalEnergyCons!$B$4:$B$10000="Var_cap")*1,  (ISNUMBER(SEARCH("ITOT-SWHWST*BR",[2]OUT_FinalEnergyCons!$A$4:$A$10000)))*1,[2]OUT_FinalEnergyCons!I$4:I$10000)</f>
        <v>0.34178182249924621</v>
      </c>
      <c r="L1880" s="1" cm="1">
        <f t="array" ref="L1880">SUMPRODUCT(([2]OUT_FinalEnergyCons!$B$4:$B$10000="Var_cap")*1,  (ISNUMBER(SEARCH("ITOT-SWHWST*BR",[2]OUT_FinalEnergyCons!$A$4:$A$10000)))*1,[2]OUT_FinalEnergyCons!J$4:J$10000)</f>
        <v>0.22483579365188508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0.22110118035668858</v>
      </c>
      <c r="K1881" s="1">
        <f t="shared" si="1991"/>
        <v>0.22109912900927201</v>
      </c>
      <c r="L1881" s="1">
        <f t="shared" si="1991"/>
        <v>0.22687044835336001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0.22110118035668858</v>
      </c>
      <c r="K1882" s="1" cm="1">
        <f t="array" ref="K1882">SUMPRODUCT(([2]OUT_FinalEnergyCons!$B$4:$B$10000="Var_cap")*1, (ISNUMBER(SEARCH("ITOT-SWHSOLBR",[2]OUT_FinalEnergyCons!$A$4:$A$10000)))*1,[2]OUT_FinalEnergyCons!I$4:I$10000)</f>
        <v>0.22109912900927201</v>
      </c>
      <c r="L1882" s="1" cm="1">
        <f t="array" ref="L1882">SUMPRODUCT(([2]OUT_FinalEnergyCons!$B$4:$B$10000="Var_cap")*1, (ISNUMBER(SEARCH("ITOT-SWHSOLBR",[2]OUT_FinalEnergyCons!$A$4:$A$10000)))*1,[2]OUT_FinalEnergyCons!J$4:J$10000)</f>
        <v>0.22687044835336001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0.64906825616381403</v>
      </c>
      <c r="K1883" s="1">
        <f t="shared" si="1992"/>
        <v>0.85655895583165809</v>
      </c>
      <c r="L1883" s="1">
        <f t="shared" si="1992"/>
        <v>0.80362961434157365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0.64906825616381403</v>
      </c>
      <c r="K1884" s="1" cm="1">
        <f t="array" ref="K1884">SUMPRODUCT(([2]OUT_FinalEnergyCons!$B$4:$B$10000="Var_cap")*1, (ISNUMBER(SEARCH("ITOT-SWHH2BR",[2]OUT_FinalEnergyCons!$A$4:$A$10000)))*1,[2]OUT_FinalEnergyCons!I$4:I$10000)</f>
        <v>0.85655895583165809</v>
      </c>
      <c r="L1884" s="1" cm="1">
        <f t="array" ref="L1884">SUMPRODUCT(([2]OUT_FinalEnergyCons!$B$4:$B$10000="Var_cap")*1, (ISNUMBER(SEARCH("ITOT-SWHH2BR",[2]OUT_FinalEnergyCons!$A$4:$A$10000)))*1,[2]OUT_FinalEnergyCons!J$4:J$10000)</f>
        <v>0.80362961434157365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4.4646433091502304</v>
      </c>
      <c r="K1885" s="17">
        <f t="shared" si="1993"/>
        <v>4.5677258180333418</v>
      </c>
      <c r="L1885" s="17">
        <f t="shared" ref="L1885" si="1994">SUM(L1886,L1889,L1891,L1895,L1897,L1899,L1901)</f>
        <v>4.1787160708639508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0.9181024289552433</v>
      </c>
      <c r="K1886" s="1">
        <f t="shared" si="1995"/>
        <v>1.250451844433661</v>
      </c>
      <c r="L1886" s="1">
        <f t="shared" ref="L1886" si="1996">SUM(L1887:L1888)</f>
        <v>1.4520687404881869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2.2848519527311498E-2</v>
      </c>
      <c r="K1887" s="1" cm="1">
        <f t="array" ref="K1887">SUMPRODUCT(([2]OUT_FinalEnergyCons!$B$4:$B$10000="Var_cap")*1, (ISNUMBER(SEARCH("SCOM-SHELCBR",[2]OUT_FinalEnergyCons!$A$4:$A$10000)))*1,[2]OUT_FinalEnergyCons!I$4:I$10000)</f>
        <v>2.3435157655494383E-2</v>
      </c>
      <c r="L1887" s="1" cm="1">
        <f t="array" ref="L1887">SUMPRODUCT(([2]OUT_FinalEnergyCons!$B$4:$B$10000="Var_cap")*1, (ISNUMBER(SEARCH("SCOM-SHELCBR",[2]OUT_FinalEnergyCons!$A$4:$A$10000)))*1,[2]OUT_FinalEnergyCons!J$4:J$10000)</f>
        <v>1.6714027720860454E-2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0.89525390942793182</v>
      </c>
      <c r="K1888" s="1" cm="1">
        <f t="array" ref="K1888">SUMPRODUCT(([2]OUT_FinalEnergyCons!$B$4:$B$10000="Var_cap")*1, (ISNUMBER(SEARCH("SCOM-SHELCHP",[2]OUT_FinalEnergyCons!$A$4:$A$10000)))*1,[2]OUT_FinalEnergyCons!I$4:I$10000)</f>
        <v>1.2270166867781667</v>
      </c>
      <c r="L1888" s="1" cm="1">
        <f t="array" ref="L1888">SUMPRODUCT(([2]OUT_FinalEnergyCons!$B$4:$B$10000="Var_cap")*1, (ISNUMBER(SEARCH("SCOM-SHELCHP",[2]OUT_FinalEnergyCons!$A$4:$A$10000)))*1,[2]OUT_FinalEnergyCons!J$4:J$10000)</f>
        <v>1.4353547127673265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0.79833979012740752</v>
      </c>
      <c r="K1889" s="1">
        <f t="shared" si="1999"/>
        <v>0.34557237858635742</v>
      </c>
      <c r="L1889" s="1">
        <f t="shared" si="1999"/>
        <v>5.8378597787895295E-2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0.79833979012740752</v>
      </c>
      <c r="K1890" s="1" cm="1">
        <f t="array" ref="K1890">SUMPRODUCT(([2]OUT_FinalEnergyCons!$B$4:$B$10000="Var_cap")*1,(ISNUMBER(SEARCH("SCOM-SHLFOBR",[2]OUT_FinalEnergyCons!$A$4:$A$10000)))*1,[2]OUT_FinalEnergyCons!I$4:I$10000)</f>
        <v>0.34557237858635742</v>
      </c>
      <c r="L1890" s="1" cm="1">
        <f t="array" ref="L1890">SUMPRODUCT(([2]OUT_FinalEnergyCons!$B$4:$B$10000="Var_cap")*1,(ISNUMBER(SEARCH("SCOM-SHLFOBR",[2]OUT_FinalEnergyCons!$A$4:$A$10000)))*1,[2]OUT_FinalEnergyCons!J$4:J$10000)</f>
        <v>5.8378597787895295E-2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1.8298601851942369</v>
      </c>
      <c r="K1891" s="1">
        <f t="shared" si="2003"/>
        <v>1.3782133393383282</v>
      </c>
      <c r="L1891" s="1">
        <f t="shared" ref="L1891" si="2004">SUM(L1892:L1894)</f>
        <v>1.1122962146512179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1.1350605043001889</v>
      </c>
      <c r="K1892" s="1" cm="1">
        <f t="array" ref="K1892">SUMPRODUCT(([2]OUT_FinalEnergyCons!$B$4:$B$10000="Var_cap")*1, (ISNUMBER(SEARCH("SCOM-SHNGABR",[2]OUT_FinalEnergyCons!$A$4:$A$10000)))*1,[2]OUT_FinalEnergyCons!I$4:I$10000)</f>
        <v>0.5188248751757728</v>
      </c>
      <c r="L1892" s="1" cm="1">
        <f t="array" ref="L1892">SUMPRODUCT(([2]OUT_FinalEnergyCons!$B$4:$B$10000="Var_cap")*1, (ISNUMBER(SEARCH("SCOM-SHNGABR",[2]OUT_FinalEnergyCons!$A$4:$A$10000)))*1,[2]OUT_FinalEnergyCons!J$4:J$10000)</f>
        <v>0.22782008389216693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0.66744729937173419</v>
      </c>
      <c r="K1893" s="1" cm="1">
        <f t="array" ref="K1893">SUMPRODUCT(([2]OUT_FinalEnergyCons!$B$4:$B$10000="Var_cap")*1, (ISNUMBER(SEARCH("SCOM-SHngahp",[2]OUT_FinalEnergyCons!$A$4:$A$10000)))*1,[2]OUT_FinalEnergyCons!I$4:I$10000)</f>
        <v>0.85925488768397085</v>
      </c>
      <c r="L1893" s="1" cm="1">
        <f t="array" ref="L1893">SUMPRODUCT(([2]OUT_FinalEnergyCons!$B$4:$B$10000="Var_cap")*1, (ISNUMBER(SEARCH("SCOM-SHngahp",[2]OUT_FinalEnergyCons!$A$4:$A$10000)))*1,[2]OUT_FinalEnergyCons!J$4:J$10000)</f>
        <v>0.88436135713313035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2.735238152231385E-2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1.3357647858453574E-4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1.1477362592070499E-4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0.44309351088569471</v>
      </c>
      <c r="K1895" s="1">
        <f t="shared" si="2009"/>
        <v>0.37940396861926129</v>
      </c>
      <c r="L1895" s="1">
        <f t="shared" si="2009"/>
        <v>0.26988338442659615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0.44309351088569471</v>
      </c>
      <c r="K1896" s="1" cm="1">
        <f t="array" ref="K1896">SUMPRODUCT(([2]OUT_FinalEnergyCons!$B$4:$B$10000="Var_cap")*1, (ISNUMBER(SEARCH("SCOM-SHWODBR",[2]OUT_FinalEnergyCons!$A$4:$A$10000)))*1,[2]OUT_FinalEnergyCons!I$4:I$10000)</f>
        <v>0.37940396861926129</v>
      </c>
      <c r="L1896" s="1" cm="1">
        <f t="array" ref="L1896">SUMPRODUCT(([2]OUT_FinalEnergyCons!$B$4:$B$10000="Var_cap")*1, (ISNUMBER(SEARCH("SCOM-SHWODBR",[2]OUT_FinalEnergyCons!$A$4:$A$10000)))*1,[2]OUT_FinalEnergyCons!J$4:J$10000)</f>
        <v>0.26988338442659615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4.5120392758410302E-2</v>
      </c>
      <c r="K1897" s="1">
        <f t="shared" si="2012"/>
        <v>5.8627154682274606E-2</v>
      </c>
      <c r="L1897" s="1">
        <f t="shared" si="2012"/>
        <v>6.1490776642656661E-2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4.5120392758410302E-2</v>
      </c>
      <c r="K1898" s="1" cm="1">
        <f t="array" ref="K1898">SUMPRODUCT(([2]OUT_FinalEnergyCons!$B$4:$B$10000="Var_cap")*1,(ISNUMBER(SEARCH("SCOM-SHPLTBR",[2]OUT_FinalEnergyCons!$A$4:$A$10000)))*1,[2]OUT_FinalEnergyCons!I$4:I$10000)</f>
        <v>5.8627154682274606E-2</v>
      </c>
      <c r="L1898" s="1" cm="1">
        <f t="array" ref="L1898">SUMPRODUCT(([2]OUT_FinalEnergyCons!$B$4:$B$10000="Var_cap")*1,(ISNUMBER(SEARCH("SCOM-SHPLTBR",[2]OUT_FinalEnergyCons!$A$4:$A$10000)))*1,[2]OUT_FinalEnergyCons!J$4:J$10000)</f>
        <v>6.1490776642656661E-2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9.6010422075315113E-2</v>
      </c>
      <c r="K1899" s="1">
        <f t="shared" si="2015"/>
        <v>0.11004588769809323</v>
      </c>
      <c r="L1899" s="1">
        <f t="shared" si="2015"/>
        <v>0.11841951310377978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9.6010422075315113E-2</v>
      </c>
      <c r="K1900" s="1" cm="1">
        <f t="array" ref="K1900">SUMPRODUCT(([2]OUT_FinalEnergyCons!$B$4:$B$10000="Var_cap")*1, (ISNUMBER(SEARCH("SCOM-SHSOLBR",[2]OUT_FinalEnergyCons!$A$4:$A$10000)))*1,[2]OUT_FinalEnergyCons!I$4:I$10000)</f>
        <v>0.11004588769809323</v>
      </c>
      <c r="L1900" s="1" cm="1">
        <f t="array" ref="L1900">SUMPRODUCT(([2]OUT_FinalEnergyCons!$B$4:$B$10000="Var_cap")*1, (ISNUMBER(SEARCH("SCOM-SHSOLBR",[2]OUT_FinalEnergyCons!$A$4:$A$10000)))*1,[2]OUT_FinalEnergyCons!J$4:J$10000)</f>
        <v>0.11841951310377978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0.33411657915392307</v>
      </c>
      <c r="K1901" s="1">
        <f t="shared" si="2018"/>
        <v>1.0454112446753663</v>
      </c>
      <c r="L1901" s="1">
        <f t="shared" si="2018"/>
        <v>1.1061788437636184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0.33411657915392307</v>
      </c>
      <c r="K1902" s="1" cm="1">
        <f t="array" ref="K1902">SUMPRODUCT(([2]OUT_FinalEnergyCons!$B$4:$B$10000="Var_cap")*1, (ISNUMBER(SEARCH("SCOM-SHH2BR",[2]OUT_FinalEnergyCons!$A$4:$A$10000)))*1,[2]OUT_FinalEnergyCons!I$4:I$10000)</f>
        <v>1.0454112446753663</v>
      </c>
      <c r="L1902" s="1" cm="1">
        <f t="array" ref="L1902">SUMPRODUCT(([2]OUT_FinalEnergyCons!$B$4:$B$10000="Var_cap")*1, (ISNUMBER(SEARCH("SCOM-SHH2BR",[2]OUT_FinalEnergyCons!$A$4:$A$10000)))*1,[2]OUT_FinalEnergyCons!J$4:J$10000)</f>
        <v>1.1061788437636184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5.3796128095394815</v>
      </c>
      <c r="K1903" s="3">
        <f t="shared" si="2020"/>
        <v>5.5472740316015043</v>
      </c>
      <c r="L1903" s="3">
        <f t="shared" ref="L1903" si="2021">SUM(L1904:L1953)</f>
        <v>5.7557445673264507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0.28332104929634599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0.35157221859283105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0.37181424248464401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1.687288363075673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1.9160362976284502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1.9025558701085505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6.0429985961516247E-2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0.62383529898741674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0.99664817134921202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1.6856779178533883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1.7892793800456137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2.3058852467758464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5.1704829272746953E-4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3.0830323557545032E-4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5.7674531496437347E-5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2.6468490290193006E-3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1.3716931653625357E-3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3.6575393054765664E-4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0.68456436597876535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0.47894269113460869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0.10462512995255958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3.0911800235307704E-3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7.3719236374167124E-4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1.663143586999718E-4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5.2626990609280062E-4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3.1340822862160753E-4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5.8191442776587448E-5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2.0016985324204425E-3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1.5802631130500081E-3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4.2218102384519106E-4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0.49191597629408085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0.33607901156825909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7.2958294440284788E-2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1.4461346852809019E-3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7.8475755941454851E-4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1.7731173417326923E-4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2.6598467318860097E-6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2.9338021464473225E-6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2.5372359336830701E-6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2.4943172521145751E-6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2.5643663857292194E-6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2.48846916064434E-6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2.7958399492703809E-6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2.1737676288522538E-6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2.3315098322453801E-6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2.53657778974902E-6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2.6436620296071663E-6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2.8279788880858599E-6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5.6931889335841055E-4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5.9672860626043345E-5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7.3743243182628579E-2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9.4133869460050132E-3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4.6568126364184365E-2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2.105845235404909E-5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2.126180198248122E-3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2.3403264506667755E-5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6.0010226666210573E-2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7.9268446647077773E-3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3.1264239051666143E-2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2.8445517133741725E-3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4.7914406725864132E-2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5.2327410050465959E-3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9.3196419168873543E-2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1.139878263094945E-2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6.7066020345468201E-5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2.0655453196139699E-5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3.4887041401142998E-5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9.7454558582446399E-6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3.0741021895649603E-5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8.0273423004058405E-6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4.4097066788896897E-5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1.1274871811038901E-5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7.6427517166048013E-3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4.0505796872704419E-5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9.9475936998332834E-2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9.3049028435843503E-3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6.9819395004430663E-4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1.4731215483031344E-5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1.6730782712375369E-3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1.5419401229129025E-5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1.1888488652851902E-4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1.7643363916041989E-5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1.8103556425944885E-3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8.6720667877330294E-6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5.6450624587660808E-3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6.4340253844048473E-6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3.3847059475719059E-3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4.7867273431784546E-6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5.2843344485308201E-5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1.5795874207116399E-5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2.7856210911379699E-5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7.7146964192355301E-6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2.3821984369964201E-5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6.2156720815165998E-6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1.9533892462127899E-5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5.1682279985221603E-6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7.7363788712545278E-6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1.3323566843827542E-6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8.2273090251506846E-6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1.17788174983954E-6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8.7591172079009017E-6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1.2267690953896685E-6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8.7845184390740764E-6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1.3288007959773622E-6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7.019025130050446</v>
      </c>
      <c r="K1954" s="3">
        <f t="shared" si="2025"/>
        <v>7.2459450978221716</v>
      </c>
      <c r="L1954" s="3">
        <f t="shared" ref="L1954" si="2026">SUM(L1955:L1977)</f>
        <v>7.7135370249210435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2.6316874617501602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2.8754875304818812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3.0392918194081213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0.78808743020745797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0.81420775410581803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0.87060740645712398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3.4892020474007244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3.5554105073451998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3.8031822736523897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0.10980045422582137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8.1620400064111288E-4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3.6633988831537859E-4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5.0881410285258902E-5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3.7020441920530404E-5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3.49283772908892E-5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6.9234590369740014E-6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1.1369014598979992E-4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-4.393489087373995E-6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1.9328171307344302E-5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1.7469769067895005E-5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9.50507988745994E-6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4.3744715886302502E-6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2.1416158834991397E-5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-6.2615472655349995E-7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2.9901921763905501E-6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5.2072144804842086E-5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2.4864195358796004E-6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5.9004010157576399E-6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-1.471662173794695E-5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-1.13853290112336E-5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6.0285185419581605E-6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6.13030328490327E-6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2.9274943005050464</v>
      </c>
      <c r="K1978" s="3">
        <f t="shared" ref="K1978:L1978" si="2033">SUM(K1979:K2001)</f>
        <v>2.927713696455684</v>
      </c>
      <c r="L1978" s="3">
        <f t="shared" si="2033"/>
        <v>2.927580238169067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1.4093449800161901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1.408769980362943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1.4489929115239073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1.249636680510174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1.250172328690204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1.2174341458214142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0.26772519906212305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0.267339666064077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0.26037867512653701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3.96322132511475E-4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8.0679220209014537E-4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3.7147397477899601E-4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4.49623935634682E-5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2.21075796688933E-5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3.1570975006613699E-5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3.18315503522999E-5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3.66686714346075E-5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2.8323530789052298E-5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1.2833070391292004E-4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1.9093650185657298E-4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1.2635182176800301E-4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3.5167286980665012E-5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1.439001410892669E-4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9.7505092433852397E-5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7.938651983158401E-6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-1.49630949298981E-5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4.3672697334697932E-5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7.5380864161640195E-5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4.3336746263187896E-5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1.3868936399263971E-5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4.7780893884261491E-5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3.0726538665377599E-5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1.4954735861662899E-5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5.3160305713813598E-5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1.30862194183367E-5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5.4560298460777983E-5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2.94127034984992E-5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1.7137151698092898E-5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1.9436070104400363E-7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6.4623321732158694E-6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1.5637168497538397E-5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4.0544569992220202E-5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8.5313142131203292E-6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442.27919883434612</v>
      </c>
      <c r="K2002" s="3">
        <f t="shared" si="2036"/>
        <v>470.60215344563875</v>
      </c>
      <c r="L2002" s="3">
        <f t="shared" ref="L2002" si="2037">SUM(L2003:L2011)</f>
        <v>536.80731589163167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388.15882194950808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470.58721165387271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536.80633524177449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1.0615109263284899E-3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9.9170119612171067E-4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9.80649857227407E-4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28.3815268637698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4.2416397511403983E-3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0.14658140927589441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3.7789123168018995E-3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25.588135349960123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5.517995500560602E-3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3.0717509059067409E-3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4.11543001391396E-4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47.197759047673145</v>
      </c>
      <c r="K2012" s="3">
        <f t="shared" ref="K2012:L2012" si="2044">SUM(K2013:K2021)</f>
        <v>49.14065287346358</v>
      </c>
      <c r="L2012" s="3">
        <f t="shared" si="2044"/>
        <v>53.076011416563169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8.5053241841837401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27.291016406270298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53.073278780895301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1.7324239185304801E-3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1.6669635611940832E-3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1.5999594807913099E-3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3.0211893727869602E-3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2.6439064202605999E-3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1.6078235189457998E-4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38.673292535168898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21.834126672942514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3.91610029229573E-4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1.4388715029193999E-2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1.1198924269311574E-2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5.8028380594180701E-4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0.37913240509269486</v>
      </c>
      <c r="K2022" s="3">
        <f t="shared" ref="K2022:L2022" si="2052">SUM(K2023,K2027,K2030)</f>
        <v>4.8696387512726771</v>
      </c>
      <c r="L2022" s="3">
        <f t="shared" si="2052"/>
        <v>5.5446986824533342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0.34567252214347471</v>
      </c>
      <c r="K2023" s="1" cm="1">
        <f t="array" ref="K2023">SUMPRODUCT(ISNUMBER(SEARCH("SUP_ELCH2*",[2]OUT_SyntheticFuels!$C$4:$C$1000))*1,("Var_cap"=[2]OUT_SyntheticFuels!$B$4:$B$1000)*1,[2]OUT_SyntheticFuels!J$4:J$1000)</f>
        <v>4.7915446072947212</v>
      </c>
      <c r="L2023" s="1" cm="1">
        <f t="array" ref="L2023">SUMPRODUCT(ISNUMBER(SEARCH("SUP_ELCH2*",[2]OUT_SyntheticFuels!$C$4:$C$1000))*1,("Var_cap"=[2]OUT_SyntheticFuels!$B$4:$B$1000)*1,[2]OUT_SyntheticFuels!K$4:K$1000)</f>
        <v>5.4663514235362261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0.34564931909525987</v>
      </c>
      <c r="K2024" s="1">
        <f t="shared" ref="K2024:L2024" si="2060">K2023-K2025-K2026</f>
        <v>2.3826504863459972</v>
      </c>
      <c r="L2024" s="1">
        <f t="shared" si="2060"/>
        <v>2.9151476666607099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2.32030482148345E-5</v>
      </c>
      <c r="K2025" s="1" cm="1">
        <f t="array" ref="K2025">SUMPRODUCT(ISNUMBER(SEARCH("SUP_ELCH2*D",[2]OUT_SyntheticFuels!$C$4:$C$1000))*1,("Var_cap"=[2]OUT_SyntheticFuels!$B$4:$B$1000)*1,[2]OUT_SyntheticFuels!J$4:J$1000)</f>
        <v>2.39967649317652</v>
      </c>
      <c r="L2025" s="1" cm="1">
        <f t="array" ref="L2025">SUMPRODUCT(ISNUMBER(SEARCH("SUP_ELCH2*D",[2]OUT_SyntheticFuels!$C$4:$C$1000))*1,("Var_cap"=[2]OUT_SyntheticFuels!$B$4:$B$1000)*1,[2]OUT_SyntheticFuels!K$4:K$1000)</f>
        <v>2.53901269673415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9.2176277722041695E-3</v>
      </c>
      <c r="L2026" s="1" cm="1">
        <f t="array" ref="L2026">SUMPRODUCT(ISNUMBER(SEARCH("SUP_ELCH2*SOEC*",[2]OUT_SyntheticFuels!$C$4:$C$1000))*1,("Var_cap"=[2]OUT_SyntheticFuels!$B$4:$B$1000)*1,[2]OUT_SyntheticFuels!K$4:K$1000)</f>
        <v>1.2191060141366273E-2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1.5135964952599579E-6</v>
      </c>
      <c r="K2027" s="1">
        <f t="shared" ref="K2027:L2027" si="2066">SUM(K2028:K2029)</f>
        <v>2.4132171116877729E-6</v>
      </c>
      <c r="L2027" s="1">
        <f t="shared" si="2066"/>
        <v>2.8054711896551086E-4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1.5135964952599579E-6</v>
      </c>
      <c r="K2028" s="1" cm="1">
        <f t="array" ref="K2028">SUMPRODUCT(ISNUMBER(SEARCH("SUP_NGAH2",[2]OUT_SyntheticFuels!$C$4:$C$1000))*1,("Var_cap"=[2]OUT_SyntheticFuels!$B$4:$B$1000)*1,[2]OUT_SyntheticFuels!J$4:J$1000)-K2029</f>
        <v>1.89371966782733E-6</v>
      </c>
      <c r="L2028" s="1" cm="1">
        <f t="array" ref="L2028">SUMPRODUCT(ISNUMBER(SEARCH("SUP_NGAH2",[2]OUT_SyntheticFuels!$C$4:$C$1000))*1,("Var_cap"=[2]OUT_SyntheticFuels!$B$4:$B$1000)*1,[2]OUT_SyntheticFuels!K$4:K$1000)-L2029</f>
        <v>2.1590263366934071E-4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5.1949744386044296E-7</v>
      </c>
      <c r="L2029" s="1" cm="1">
        <f t="array" ref="L2029">SUMPRODUCT(ISNUMBER(SEARCH("SUP_NGAH2CCS",[2]OUT_SyntheticFuels!$C$4:$C$1000))*1,("Var_cap"=[2]OUT_SyntheticFuels!$B$4:$B$1000)*1,[2]OUT_SyntheticFuels!K$4:K$1000)</f>
        <v>6.4644485296170138E-5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3.3458369352724865E-2</v>
      </c>
      <c r="K2030" s="1">
        <f t="shared" ref="K2030:L2030" si="2072">SUM(K2031:K2032)</f>
        <v>7.8091730760844386E-2</v>
      </c>
      <c r="L2030" s="1">
        <f t="shared" si="2072"/>
        <v>7.8066711798143187E-2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3.3458369352724865E-2</v>
      </c>
      <c r="K2031" s="1" cm="1">
        <f t="array" ref="K2031">SUMPRODUCT(ISNUMBER(SEARCH("SUP_WODH2",[2]OUT_SyntheticFuels!$C$4:$C$1000))*1,("Var_cap"=[2]OUT_SyntheticFuels!$B$4:$B$1000)*1,[2]OUT_SyntheticFuels!J$4:J$1000)-K2032</f>
        <v>7.8091730760844386E-2</v>
      </c>
      <c r="L2031" s="1" cm="1">
        <f t="array" ref="L2031">SUMPRODUCT(ISNUMBER(SEARCH("SUP_WODH2",[2]OUT_SyntheticFuels!$C$4:$C$1000))*1,("Var_cap"=[2]OUT_SyntheticFuels!$B$4:$B$1000)*1,[2]OUT_SyntheticFuels!K$4:K$1000)-L2032</f>
        <v>7.8066711798143187E-2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1.4934298889738261E-4</v>
      </c>
      <c r="K2034" s="7" cm="1">
        <f t="array" ref="K2034">SUMPRODUCT(("CT_CWODBDS"=[2]OUT_SyntheticFuels!$C$4:$C$1000)*1,("Var_cap"=[2]OUT_SyntheticFuels!$B$4:$B$1000)*1,[2]OUT_SyntheticFuels!J$4:J$1000)</f>
        <v>1.3457085159476081E-4</v>
      </c>
      <c r="L2034" s="7" cm="1">
        <f t="array" ref="L2034">SUMPRODUCT(("CT_CWODBDS"=[2]OUT_SyntheticFuels!$C$4:$C$1000)*1,("Var_cap"=[2]OUT_SyntheticFuels!$B$4:$B$1000)*1,[2]OUT_SyntheticFuels!K$4:K$1000)</f>
        <v>1.1968322367316744E-4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7.1295982958900772E-5</v>
      </c>
      <c r="K2036" s="7" cm="1">
        <f t="array" ref="K2036">SUMPRODUCT(("CT_CWODETH"=[2]OUT_SyntheticFuels!$C$4:$C$1000)*1,("Var_cap"=[2]OUT_SyntheticFuels!$B$4:$B$1000)*1,[2]OUT_SyntheticFuels!J$4:J$1000)</f>
        <v>5.4379933991502427E-5</v>
      </c>
      <c r="L2036" s="7" cm="1">
        <f t="array" ref="L2036">SUMPRODUCT(("CT_CWODETH"=[2]OUT_SyntheticFuels!$C$4:$C$1000)*1,("Var_cap"=[2]OUT_SyntheticFuels!$B$4:$B$1000)*1,[2]OUT_SyntheticFuels!K$4:K$1000)</f>
        <v>3.2073704855170733E-5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0.16240725904385789</v>
      </c>
      <c r="K2038" s="7" cm="1">
        <f t="array" ref="K2038">SUMPRODUCT(("SUP_MNRBIO"=[2]OUT_SyntheticFuels!$C$4:$C$1000)*1,("Var_cap"=[2]OUT_SyntheticFuels!$B$4:$B$1000)*1,[2]OUT_SyntheticFuels!J$4:J$1000)</f>
        <v>0.18951536709951985</v>
      </c>
      <c r="L2038" s="7" cm="1">
        <f t="array" ref="L2038">SUMPRODUCT(("SUP_MNRBIO"=[2]OUT_SyntheticFuels!$C$4:$C$1000)*1,("Var_cap"=[2]OUT_SyntheticFuels!$B$4:$B$1000)*1,[2]OUT_SyntheticFuels!K$4:K$1000)</f>
        <v>0.18951436975749236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0.28884708991680164</v>
      </c>
      <c r="K2039" s="7" cm="1">
        <f t="array" ref="K2039">SUMPRODUCT(("SUP_WSTBIO"=[2]OUT_SyntheticFuels!$C$4:$C$1000)*1,("Var_cap"=[2]OUT_SyntheticFuels!$B$4:$B$1000)*1,[2]OUT_SyntheticFuels!J$4:J$1000)</f>
        <v>0.31763759768165006</v>
      </c>
      <c r="L2039" s="7" cm="1">
        <f t="array" ref="L2039">SUMPRODUCT(("SUP_WSTBIO"=[2]OUT_SyntheticFuels!$C$4:$C$1000)*1,("Var_cap"=[2]OUT_SyntheticFuels!$B$4:$B$1000)*1,[2]OUT_SyntheticFuels!K$4:K$1000)</f>
        <v>0.37191133599878601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3.7322639153583399E-3</v>
      </c>
      <c r="L2041" s="7" cm="1">
        <f t="array" ref="L2041">SUMPRODUCT(("SUP_WSTHTGBIO"=[2]OUT_SyntheticFuels!$C$4:$C$1000)*1,("Var_cap"=[2]OUT_SyntheticFuels!$B$4:$B$1000)*1,[2]OUT_SyntheticFuels!K$4:K$1000)</f>
        <v>4.3683732109970081E-3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6.1981322626232819E-5</v>
      </c>
      <c r="K2043" s="7" cm="1">
        <f t="array" ref="K2043">SUMPRODUCT(("SUP_WODBIO"=[2]OUT_SyntheticFuels!$C$4:$C$1000)*1,("Var_cap"=[2]OUT_SyntheticFuels!$B$4:$B$1000)*1,[2]OUT_SyntheticFuels!J$4:J$1000)</f>
        <v>8.5554214465603467E-5</v>
      </c>
      <c r="L2043" s="7" cm="1">
        <f t="array" ref="L2043">SUMPRODUCT(("SUP_WODBIO"=[2]OUT_SyntheticFuels!$C$4:$C$1000)*1,("Var_cap"=[2]OUT_SyntheticFuels!$B$4:$B$1000)*1,[2]OUT_SyntheticFuels!K$4:K$1000)</f>
        <v>7.3513018954978252E-5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0.18689695804307616</v>
      </c>
      <c r="K2045" s="7" cm="1">
        <f t="array" ref="K2045">SUMPRODUCT(("SUP_BIONGA"=[2]OUT_SyntheticFuels!$C$4:$C$1000)*1,("Var_cap"=[2]OUT_SyntheticFuels!$B$4:$B$1000)*1,[2]OUT_SyntheticFuels!J$4:J$1000)</f>
        <v>0.21254737600447265</v>
      </c>
      <c r="L2045" s="7" cm="1">
        <f t="array" ref="L2045">SUMPRODUCT(("SUP_BIONGA"=[2]OUT_SyntheticFuels!$C$4:$C$1000)*1,("Var_cap"=[2]OUT_SyntheticFuels!$B$4:$B$1000)*1,[2]OUT_SyntheticFuels!K$4:K$1000)</f>
        <v>0.20394984899623375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0.11759549010576759</v>
      </c>
      <c r="K2046" s="7" cm="1">
        <f t="array" ref="K2046">SUMPRODUCT(("CT_CWODPLT"=[2]OUT_SyntheticFuels!$C$4:$C$1000)*1,("Var_cap"=[2]OUT_SyntheticFuels!$B$4:$B$1000)*1,[2]OUT_SyntheticFuels!J$4:J$1000)</f>
        <v>0.1343880413899568</v>
      </c>
      <c r="L2046" s="7" cm="1">
        <f t="array" ref="L2046">SUMPRODUCT(("CT_CWODPLT"=[2]OUT_SyntheticFuels!$C$4:$C$1000)*1,("Var_cap"=[2]OUT_SyntheticFuels!$B$4:$B$1000)*1,[2]OUT_SyntheticFuels!K$4:K$1000)</f>
        <v>0.1281349076898019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3.1879581914079153E-6</v>
      </c>
      <c r="K2047" s="7" cm="1">
        <f t="array" ref="K2047">SUMPRODUCT(("SUP_H2NGA"=[2]OUT_SyntheticFuels!$C$4:$C$1000)*1,("Var_cap"=[2]OUT_SyntheticFuels!$B$4:$B$1000)*1,[2]OUT_SyntheticFuels!J$4:J$1000)</f>
        <v>1.8761406570768653</v>
      </c>
      <c r="L2047" s="7" cm="1">
        <f t="array" ref="L2047">SUMPRODUCT(("SUP_H2NGA"=[2]OUT_SyntheticFuels!$C$4:$C$1000)*1,("Var_cap"=[2]OUT_SyntheticFuels!$B$4:$B$1000)*1,[2]OUT_SyntheticFuels!K$4:K$1000)</f>
        <v>2.3819211706600485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5.8255652329981206E-6</v>
      </c>
      <c r="K2048" s="7" cm="1">
        <f t="array" ref="K2048">SUMPRODUCT(("SUP_H2DSL"=[2]OUT_SyntheticFuels!$C$4:$C$1000)*1,("Var_cap"=[2]OUT_SyntheticFuels!$B$4:$B$1000)*1,[2]OUT_SyntheticFuels!J$4:J$1000)</f>
        <v>3.2706433574918689E-2</v>
      </c>
      <c r="L2048" s="7" cm="1">
        <f t="array" ref="L2048">SUMPRODUCT(("SUP_H2DSL"=[2]OUT_SyntheticFuels!$C$4:$C$1000)*1,("Var_cap"=[2]OUT_SyntheticFuels!$B$4:$B$1000)*1,[2]OUT_SyntheticFuels!K$4:K$1000)</f>
        <v>0.16003267622763742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9.0813367555419006E-6</v>
      </c>
      <c r="K2049" s="7" cm="1">
        <f t="array" ref="K2049">SUMPRODUCT(("SUP_H2GSL"=[2]OUT_SyntheticFuels!$C$4:$C$1000)*1,("Var_cap"=[2]OUT_SyntheticFuels!$B$4:$B$1000)*1,[2]OUT_SyntheticFuels!J$4:J$1000)</f>
        <v>0.13536931994586862</v>
      </c>
      <c r="L2049" s="7" cm="1">
        <f t="array" ref="L2049">SUMPRODUCT(("SUP_H2GSL"=[2]OUT_SyntheticFuels!$C$4:$C$1000)*1,("Var_cap"=[2]OUT_SyntheticFuels!$B$4:$B$1000)*1,[2]OUT_SyntheticFuels!K$4:K$1000)</f>
        <v>0.13535827631712363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2.6367273472050647</v>
      </c>
      <c r="K2050" s="3">
        <f t="shared" si="2075"/>
        <v>22.426800739058205</v>
      </c>
      <c r="L2050" s="3">
        <f t="shared" ref="L2050" si="2076">SUM(L2051,L2053,L2057,L2061,L2077,L2084,L2092,L2094,L2102,L2106,L2100)</f>
        <v>21.489174379625943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0.24897553939517197</v>
      </c>
      <c r="L2051" s="1">
        <f t="shared" si="2079"/>
        <v>0.85934699610186172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0.24897553939517197</v>
      </c>
      <c r="L2052" s="1">
        <f>'[2]Electricity and CHPs_NCAP'!H$14</f>
        <v>0.85934699610186172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1.9106590688593039E-6</v>
      </c>
      <c r="K2053" s="1">
        <f t="shared" si="2081"/>
        <v>4.1210452764254362E-6</v>
      </c>
      <c r="L2053" s="1">
        <f t="shared" ref="L2053" si="2082">SUM(L2054:L2056)</f>
        <v>1.0532476301414671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7.7862501282273405E-7</v>
      </c>
      <c r="K2054" s="1">
        <f>'[2]Electricity and CHPs_NCAP'!G$15</f>
        <v>1.223836669882188E-6</v>
      </c>
      <c r="L2054" s="1">
        <f>'[2]Electricity and CHPs_NCAP'!H$15</f>
        <v>0.44914224837156264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1.036195086004522E-6</v>
      </c>
      <c r="K2055" s="1">
        <f>'[2]Electricity and CHPs_NCAP'!G$16</f>
        <v>2.7135675513836291E-6</v>
      </c>
      <c r="L2055" s="1">
        <f>'[2]Electricity and CHPs_NCAP'!H$16</f>
        <v>0.60410456541436031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9.5838970032047901E-8</v>
      </c>
      <c r="K2056" s="1">
        <f>'[2]Electricity and CHPs_NCAP'!G$17</f>
        <v>1.83641055159619E-7</v>
      </c>
      <c r="L2056" s="1">
        <f>'[2]Electricity and CHPs_NCAP'!H$17</f>
        <v>8.16355543991357E-7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2.46352711513195E-5</v>
      </c>
      <c r="K2057" s="1">
        <f t="shared" si="2083"/>
        <v>4.285741579893215E-5</v>
      </c>
      <c r="L2057" s="1">
        <f t="shared" ref="L2057" si="2084">SUM(L2058:L2060)</f>
        <v>6.0520680331465226E-5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1.27169905450341E-5</v>
      </c>
      <c r="K2058" s="1">
        <f>'[2]Electricity and CHPs_NCAP'!G$18</f>
        <v>2.8012468871089499E-6</v>
      </c>
      <c r="L2058" s="1">
        <f>'[2]Electricity and CHPs_NCAP'!H$18</f>
        <v>3.2742183812894299E-6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1.19182806062854E-5</v>
      </c>
      <c r="K2059" s="1">
        <f>'[2]Electricity and CHPs_NCAP'!G$28</f>
        <v>4.0056168911823199E-5</v>
      </c>
      <c r="L2059" s="1">
        <f>'[2]Electricity and CHPs_NCAP'!H$28</f>
        <v>5.7246461950175798E-5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6.833866361267317E-2</v>
      </c>
      <c r="K2061" s="1">
        <f t="shared" si="2085"/>
        <v>3.1919754760959262E-2</v>
      </c>
      <c r="L2061" s="1">
        <f t="shared" ref="L2061" si="2086">SUM(L2062:L2076)</f>
        <v>0.19627524794543291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9.9321410871788093E-6</v>
      </c>
      <c r="L2062" s="1">
        <f>'[2]Electricity and CHPs_NCAP'!H$21</f>
        <v>5.8611485428167003E-4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1.0841372795732699E-3</v>
      </c>
      <c r="K2063" s="1">
        <f>'[2]Electricity and CHPs_NCAP'!G$22</f>
        <v>8.9257812317926597E-6</v>
      </c>
      <c r="L2063" s="1">
        <f>'[2]Electricity and CHPs_NCAP'!H$22</f>
        <v>8.7873495378406899E-2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2.2919799763209799E-2</v>
      </c>
      <c r="K2067" s="1">
        <f>'[2]Electricity and CHPs_NCAP'!G$39</f>
        <v>6.4520530446111283E-7</v>
      </c>
      <c r="L2067" s="1">
        <f>'[2]Electricity and CHPs_NCAP'!H$39</f>
        <v>2.8463070806567105E-2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7.4337956790490698E-4</v>
      </c>
      <c r="L2068" s="1">
        <f>'[2]Electricity and CHPs_NCAP'!H$40</f>
        <v>3.5844464287603899E-2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2.5465362598920598E-4</v>
      </c>
      <c r="K2069" s="1">
        <f>'[2]Electricity and CHPs_NCAP'!G$47</f>
        <v>1.59466488662041E-6</v>
      </c>
      <c r="L2069" s="1">
        <f>'[2]Electricity and CHPs_NCAP'!H$47</f>
        <v>1.6649308120721001E-5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4.40800729439009E-2</v>
      </c>
      <c r="K2074" s="1">
        <f>'[2]Electricity and CHPs_NCAP'!G$54</f>
        <v>3.1155277400544301E-2</v>
      </c>
      <c r="L2074" s="1">
        <f>'[2]Electricity and CHPs_NCAP'!H$54</f>
        <v>4.34914533104526E-2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7.8639624366342809E-2</v>
      </c>
      <c r="K2077" s="1">
        <f t="shared" si="2087"/>
        <v>0.20295629563124004</v>
      </c>
      <c r="L2077" s="1">
        <f t="shared" ref="L2077" si="2088">SUM(L2078:L2083)</f>
        <v>0.25903504528815857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7.6090234114611605E-2</v>
      </c>
      <c r="K2078" s="1">
        <f>'[2]Electricity and CHPs_NCAP'!G$19</f>
        <v>7.3239350054763404E-8</v>
      </c>
      <c r="L2078" s="1">
        <f>'[2]Electricity and CHPs_NCAP'!H$19</f>
        <v>5.4027971944295199E-8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0.136193289653328</v>
      </c>
      <c r="L2079" s="1">
        <f>'[2]Electricity and CHPs_NCAP'!H$20</f>
        <v>0.211895609438049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2.54847945212309E-3</v>
      </c>
      <c r="K2080" s="1">
        <f>'[2]Electricity and CHPs_NCAP'!G$26</f>
        <v>7.0441222088806505E-5</v>
      </c>
      <c r="L2080" s="1">
        <f>'[2]Electricity and CHPs_NCAP'!H$26</f>
        <v>5.6663904967450698E-8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5.03302278316781E-2</v>
      </c>
      <c r="L2081" s="1">
        <f>'[2]Electricity and CHPs_NCAP'!H$27</f>
        <v>3.1315858686224399E-2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9.1079960810807895E-7</v>
      </c>
      <c r="K2082" s="1">
        <f>'[2]Electricity and CHPs_NCAP'!G$44</f>
        <v>2.26031670593289E-7</v>
      </c>
      <c r="L2082" s="1">
        <f>'[2]Electricity and CHPs_NCAP'!H$44</f>
        <v>8.3918136654175802E-8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1.6362037653124498E-2</v>
      </c>
      <c r="L2083" s="1">
        <f>'[2]Electricity and CHPs_NCAP'!H$45</f>
        <v>1.5823382553871598E-2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0.12765411138164856</v>
      </c>
      <c r="K2084" s="1">
        <f t="shared" si="2090"/>
        <v>0.10062927877006818</v>
      </c>
      <c r="L2084" s="1">
        <f t="shared" ref="L2084" si="2091">SUM(L2085:L2091)</f>
        <v>0.30833996995837293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1.7856132707955601E-2</v>
      </c>
      <c r="K2085" s="1">
        <f>'[2]Electricity and CHPs_NCAP'!G$25</f>
        <v>3.71709693818362E-2</v>
      </c>
      <c r="L2085" s="1">
        <f>'[2]Electricity and CHPs_NCAP'!H$25</f>
        <v>4.8090950762766101E-2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4.57853029016879E-4</v>
      </c>
      <c r="L2086" s="1">
        <f>'[2]Electricity and CHPs_NCAP'!H$31</f>
        <v>0.16309779694719601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6.33954755388524E-2</v>
      </c>
      <c r="K2087" s="1">
        <f>'[2]Electricity and CHPs_NCAP'!G$42</f>
        <v>1.89030341990215E-2</v>
      </c>
      <c r="L2087" s="1">
        <f>'[2]Electricity and CHPs_NCAP'!H$42</f>
        <v>7.3910131637790394E-2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3.5680988956945901E-2</v>
      </c>
      <c r="L2088" s="1">
        <f>'[2]Electricity and CHPs_NCAP'!H$43</f>
        <v>2.3194594539815799E-2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1.8840827780357468E-4</v>
      </c>
      <c r="K2089" s="1">
        <f>'[2]Electricity and CHPs_NCAP'!G$50</f>
        <v>8.4586943867470001E-5</v>
      </c>
      <c r="L2089" s="1">
        <f>'[2]Electricity and CHPs_NCAP'!H$50</f>
        <v>4.3042889493582933E-6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4.6142571807339994E-2</v>
      </c>
      <c r="K2090" s="1">
        <f>'[2]Electricity and CHPs_NCAP'!G$53</f>
        <v>8.3305120495165697E-3</v>
      </c>
      <c r="L2090" s="1">
        <f>'[2]Electricity and CHPs_NCAP'!H$53</f>
        <v>1.0113299390140801E-6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7.1523049696979306E-5</v>
      </c>
      <c r="K2091" s="1">
        <f>'[2]Electricity and CHPs_NCAP'!G$56</f>
        <v>1.3342098636549701E-6</v>
      </c>
      <c r="L2091" s="1">
        <f>'[2]Electricity and CHPs_NCAP'!H$56</f>
        <v>4.1180451916278503E-5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2.2990162421806001E-2</v>
      </c>
      <c r="K2092" s="1">
        <f t="shared" si="2092"/>
        <v>3.4984349917911798E-6</v>
      </c>
      <c r="L2092" s="1">
        <f t="shared" si="2092"/>
        <v>8.75106312390872E-2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2.2990162421806001E-2</v>
      </c>
      <c r="K2093" s="1">
        <f>'[2]Electricity and CHPs_NCAP'!G$33</f>
        <v>3.4984349917911798E-6</v>
      </c>
      <c r="L2093" s="1">
        <f>'[2]Electricity and CHPs_NCAP'!H$33</f>
        <v>8.75106312390872E-2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2.0879624514859039</v>
      </c>
      <c r="K2094" s="1">
        <f t="shared" si="2093"/>
        <v>20.209844980786773</v>
      </c>
      <c r="L2094" s="1">
        <f t="shared" ref="L2094" si="2094">SUM(L2095:L2099)</f>
        <v>17.001549648407789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1.7684574973488645E-3</v>
      </c>
      <c r="K2095" s="1">
        <f>'[2]Electricity and CHPs_NCAP'!G$34</f>
        <v>6.9859208810564093</v>
      </c>
      <c r="L2095" s="1">
        <f>'[2]Electricity and CHPs_NCAP'!H$34</f>
        <v>3.2183357745879251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0.79881048023579304</v>
      </c>
      <c r="K2096" s="1">
        <f>'[2]Electricity and CHPs_NCAP'!G$35</f>
        <v>6.58650241945013</v>
      </c>
      <c r="L2096" s="1">
        <f>'[2]Electricity and CHPs_NCAP'!H$35</f>
        <v>5.2321860411825902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0.40045639334907701</v>
      </c>
      <c r="K2097" s="1">
        <f>'[2]Electricity and CHPs_NCAP'!G$36</f>
        <v>0.77054948380663402</v>
      </c>
      <c r="L2097" s="1">
        <f>'[2]Electricity and CHPs_NCAP'!H$36</f>
        <v>2.393907573693939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0.15684403114273701</v>
      </c>
      <c r="K2098" s="1">
        <f>'[2]Electricity and CHPs_NCAP'!G$37</f>
        <v>0.29693647684581009</v>
      </c>
      <c r="L2098" s="1">
        <f>'[2]Electricity and CHPs_NCAP'!H$37</f>
        <v>1.1518537703200129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0.730083089260948</v>
      </c>
      <c r="K2099" s="1">
        <f>'[2]Electricity and CHPs_NCAP'!G$38</f>
        <v>5.5699357196277903</v>
      </c>
      <c r="L2099" s="1">
        <f>'[2]Electricity and CHPs_NCAP'!H$38</f>
        <v>5.0052664886233202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4.7922774656977398E-4</v>
      </c>
      <c r="L2100" s="1">
        <f>'[2]Electricity and CHPs_NCAP'!H$32</f>
        <v>1.4325747763407299E-7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4.7922774656977398E-4</v>
      </c>
      <c r="L2101" s="1">
        <f t="shared" ref="L2101" si="2096">L2100</f>
        <v>1.4325747763407299E-7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7.5169617771036004E-4</v>
      </c>
      <c r="K2102" s="1">
        <f t="shared" si="2097"/>
        <v>3.7023555862250535E-2</v>
      </c>
      <c r="L2102" s="1">
        <f t="shared" ref="L2102" si="2098">SUM(L2103:L2105)</f>
        <v>2.4045300407794757E-4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1.2718124540834401E-2</v>
      </c>
      <c r="L2103" s="1">
        <f>'[2]Electricity and CHPs_NCAP'!H$30</f>
        <v>7.3082156232997702E-6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6.38884001034666E-4</v>
      </c>
      <c r="K2104" s="1">
        <f>'[2]Electricity and CHPs_NCAP'!G$46</f>
        <v>2.3313543925237799E-2</v>
      </c>
      <c r="L2104" s="1">
        <f>'[2]Electricity and CHPs_NCAP'!H$46</f>
        <v>2.11363661883042E-4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1.12812176675694E-4</v>
      </c>
      <c r="K2105" s="1">
        <f>'[2]Electricity and CHPs_NCAP'!G$57</f>
        <v>9.9188739617833894E-4</v>
      </c>
      <c r="L2105" s="1">
        <f>'[2]Electricity and CHPs_NCAP'!H$57</f>
        <v>2.17811265716058E-5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0.25036409182875996</v>
      </c>
      <c r="K2106" s="1">
        <f t="shared" si="2099"/>
        <v>1.5949216292091035</v>
      </c>
      <c r="L2106" s="1">
        <f t="shared" ref="L2106" si="2100">SUM(L2107:L2113)</f>
        <v>1.7235680936018869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7.1086860325311396E-7</v>
      </c>
      <c r="K2107" s="1">
        <f>'[2]Electricity and CHPs_NCAP'!G$63</f>
        <v>1.0531149195532899E-6</v>
      </c>
      <c r="L2107" s="1">
        <f>'[2]Electricity and CHPs_NCAP'!H$63</f>
        <v>7.8356671837448097E-7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7.9178265102388401E-3</v>
      </c>
      <c r="K2108" s="1">
        <f>'[2]Electricity and CHPs_NCAP'!G$64</f>
        <v>0.47957345997532203</v>
      </c>
      <c r="L2108" s="1">
        <f>'[2]Electricity and CHPs_NCAP'!H$64</f>
        <v>0.54217031573006802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4.9781748769872902E-3</v>
      </c>
      <c r="K2109" s="1">
        <f>'[2]Electricity and CHPs_NCAP'!G$65</f>
        <v>0.23565625153870601</v>
      </c>
      <c r="L2109" s="1">
        <f>'[2]Electricity and CHPs_NCAP'!H$65</f>
        <v>0.23190449884820399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4.3664361100697699E-2</v>
      </c>
      <c r="K2110" s="1">
        <f>'[2]Electricity and CHPs_NCAP'!G$66</f>
        <v>0.20249124564187501</v>
      </c>
      <c r="L2110" s="1">
        <f>'[2]Electricity and CHPs_NCAP'!H$66</f>
        <v>0.19855789803784701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9.2312317145553602E-2</v>
      </c>
      <c r="K2111" s="1">
        <f>'[2]Electricity and CHPs_NCAP'!G$67</f>
        <v>0.26478682225476902</v>
      </c>
      <c r="L2111" s="1">
        <f>'[2]Electricity and CHPs_NCAP'!H$67</f>
        <v>0.33216334126561298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2.3138721042008398E-2</v>
      </c>
      <c r="K2112" s="1">
        <f>'[2]Electricity and CHPs_NCAP'!G$68</f>
        <v>3.2441875553133E-2</v>
      </c>
      <c r="L2112" s="1">
        <f>'[2]Electricity and CHPs_NCAP'!H$68</f>
        <v>4.91410947304547E-2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7.83519802846709E-2</v>
      </c>
      <c r="K2113" s="1">
        <f>'[2]Electricity and CHPs_NCAP'!G$69</f>
        <v>0.379970921130379</v>
      </c>
      <c r="L2113" s="1">
        <f>'[2]Electricity and CHPs_NCAP'!H$69</f>
        <v>0.369630161422982</v>
      </c>
      <c r="N2113" s="1"/>
    </row>
    <row r="2114" spans="2:14" x14ac:dyDescent="0.35">
      <c r="B2114" s="5" t="str">
        <f>SPS2_NUC_Mid!B1902</f>
        <v>SPS1</v>
      </c>
      <c r="C2114" s="5" t="str">
        <f>SPS2_NUC_Mid!C1902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3.1030564852725515</v>
      </c>
      <c r="K2114" s="3">
        <f t="shared" si="2101"/>
        <v>2.1232971478168037</v>
      </c>
      <c r="L2114" s="3">
        <f t="shared" ref="L2114" si="2102">SUM(L2115:L2164)</f>
        <v>4.5782149972751949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0.206712751092992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0.14123844638264699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0.29150141240281202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1.2415196251423199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0.65231436922028496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1.47955500897834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5.6009026483785501E-2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0.59939748311575902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0.79622364102898502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0.88244569452231802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0.73034077837406097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2.01092766479595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2.3107099357013E-4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1.4651702589591801E-3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0.41911024091856802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6.6624616859807702E-4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2.3314284158553299E-4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1.6912081251151401E-3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0.29225836127351201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7.1030030130619405E-4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9.9189987841898502E-7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1.72465601756866E-6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1.6608285669040401E-6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9.2962961849545195E-7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1.49099152934607E-6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1.7603546248478701E-6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7.8990253974741504E-7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1.2835776695524E-6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1.74021419705451E-6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9.35717885607899E-7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1.57149883554837E-6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2.1086717197515002E-6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SPS2_NUC_Mid!B1953</f>
        <v>SPS1</v>
      </c>
      <c r="C2165" s="5" t="str">
        <f>SPS2_NUC_Mid!C1953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4.1513253229504059</v>
      </c>
      <c r="K2165" s="3">
        <f t="shared" si="2109"/>
        <v>3.0922402189640472</v>
      </c>
      <c r="L2165" s="3">
        <f t="shared" ref="L2165" si="2110">SUM(L2166:L2188)</f>
        <v>6.0138439961781511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2.6198203205206103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0.25437397751483604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2.4520981501387502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0.69296892465918603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0.11906576163723399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0.68929956412612103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0.83727633531802503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2.7181341720271699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2.8721635682312399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1.01388581823255E-3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6.0517375135708807E-4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2.6245637628119901E-4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3.0892035062665501E-5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1.84442130728868E-5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2.0257305758977398E-5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1.1013916178435501E-4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5.4163506461698903E-5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1.27713875568582E-5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1.7039235354699499E-5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3.3622695687727401E-5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0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1.2020847361828299E-5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1.78975854583378E-5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2.1728467904772182</v>
      </c>
      <c r="K2189" s="3">
        <f t="shared" si="2113"/>
        <v>0.74687059055639859</v>
      </c>
      <c r="L2189" s="3">
        <f t="shared" ref="L2189" si="2114">SUM(L2190:L2212)</f>
        <v>2.2177155563643276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1.3843395657753899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2.32740732689092E-2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1.19443714624202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0.59599657192889399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0.64684839368367797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0.78845147395491499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0.191848114076862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7.5491551987214897E-2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0.234521214621211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3.4315367463810998E-4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6.0094662752925901E-4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2.6601467061070999E-4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3.2553695380589202E-5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1.5851277922978401E-5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1.79086716657221E-5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1.7617803945070998E-5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1.9050867489536397E-5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2.1798203904975001E-5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1.1558116755637199E-4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2.1150054128803199E-4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4.7454445131849305E-5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1.7781941357854602E-4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3.4291300442143299E-5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7.4413996136669903E-5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1.4273428737682401E-5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5.6274010832185799E-5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1.4954735861662899E-5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3.8205569852150694E-5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2.70212758814226E-5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2.4716040069129999E-5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1.2885870403315899E-5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1.5637168497538397E-5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2.4907401494681801E-5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244.35609294249008</v>
      </c>
      <c r="K2213" s="3">
        <f t="shared" si="2117"/>
        <v>200.9252504713551</v>
      </c>
      <c r="L2213" s="3">
        <f t="shared" ref="L2213" si="2118">SUM(L2214:L2222)</f>
        <v>393.16054218368743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244.35561015326297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200.924699308009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393.15992266918698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4.8278922709403408E-4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5.5116334609471595E-4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6.1951450042531701E-4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40.333976387984642</v>
      </c>
      <c r="K2223" s="3">
        <f t="shared" si="2119"/>
        <v>21.593277874532774</v>
      </c>
      <c r="L2223" s="3">
        <f t="shared" ref="L2223" si="2120">SUM(L2224:L2232)</f>
        <v>49.286636528608085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8.3528419868847799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21.586139682510101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49.285156564524101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1.6035773414022601E-3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6.8377872961836205E-4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1.4799640839835999E-3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2.57242969672551E-3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9.1619808132895302E-4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31.965368092584303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2.2315406708601901E-3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1.15903014774336E-2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3.3066745408646399E-3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SPS2_NUC_Mid!B1822</f>
        <v>SPS1</v>
      </c>
      <c r="C2233" s="5" t="str">
        <f>SPS2_NUC_Mid!C1822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3.2259897253322105</v>
      </c>
      <c r="K2233" s="3">
        <f t="shared" si="2121"/>
        <v>4.2685235145050955</v>
      </c>
      <c r="L2233" s="3">
        <f t="shared" ref="L2233" si="2122">SUM(L2234,L2253)</f>
        <v>3.9051723361011899</v>
      </c>
      <c r="N2233" s="1"/>
    </row>
    <row r="2234" spans="2:14" x14ac:dyDescent="0.35">
      <c r="B2234" s="5" t="str">
        <f>SPS2_NUC_Mid!B1822</f>
        <v>SPS1</v>
      </c>
      <c r="C2234" s="5" t="str">
        <f>SPS2_NUC_Mid!C1822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2.4996952907568892</v>
      </c>
      <c r="K2234" s="1">
        <f t="shared" si="2123"/>
        <v>3.3454386726235716</v>
      </c>
      <c r="L2234" s="1">
        <f t="shared" ref="L2234" si="2124">SUM(L2235,L2238,L2240,L2243,L2245,L2247,L2249,L2251)</f>
        <v>2.8569576555064669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1.6229379510257445</v>
      </c>
      <c r="K2235" s="1">
        <f t="shared" si="2125"/>
        <v>1.9376677119425063</v>
      </c>
      <c r="L2235" s="1">
        <f t="shared" ref="L2235" si="2126">SUM(L2236:L2237)</f>
        <v>2.0634000630001004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4.1841016809574406E-3</v>
      </c>
      <c r="K2236" s="1" cm="1">
        <f t="array" ref="K2236">SUMPRODUCT(([2]OUT_FinalEnergyCons!$B$4:$B$10000="var_ncap")*1,(ISNUMBER(SEARCH("RH*-SHELCBR",[2]OUT_FinalEnergyCons!$A$4:$A$10000)))*1,[2]OUT_FinalEnergyCons!I$4:I$10000)</f>
        <v>7.2923044002134291E-4</v>
      </c>
      <c r="L2236" s="1" cm="1">
        <f t="array" ref="L2236">SUMPRODUCT(([2]OUT_FinalEnergyCons!$B$4:$B$10000="var_ncap")*1,(ISNUMBER(SEARCH("RH*-SHELCBR",[2]OUT_FinalEnergyCons!$A$4:$A$10000)))*1,[2]OUT_FinalEnergyCons!J$4:J$10000)</f>
        <v>9.8477037811302333E-5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1.6187538493447871</v>
      </c>
      <c r="K2237" s="1" cm="1">
        <f t="array" ref="K2237">SUMPRODUCT(([2]OUT_FinalEnergyCons!$B$4:$B$10000="var_ncap")*1,ISNUMBER(SEARCH("RH*-SHELCHP",[2]OUT_FinalEnergyCons!$A$4:$A$10000))*1,[2]OUT_FinalEnergyCons!I$4:I$10000)</f>
        <v>1.936938481502485</v>
      </c>
      <c r="L2237" s="1" cm="1">
        <f t="array" ref="L2237">SUMPRODUCT(([2]OUT_FinalEnergyCons!$B$4:$B$10000="var_ncap")*1,ISNUMBER(SEARCH("RH*-SHELCHP",[2]OUT_FinalEnergyCons!$A$4:$A$10000))*1,[2]OUT_FinalEnergyCons!J$4:J$10000)</f>
        <v>2.063301585962289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7.6209317432266097E-2</v>
      </c>
      <c r="K2238" s="1">
        <f t="shared" si="2130"/>
        <v>0.21783309430631181</v>
      </c>
      <c r="L2238" s="1">
        <f t="shared" si="2130"/>
        <v>3.2955248084247901E-7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7.6209317432266097E-2</v>
      </c>
      <c r="K2239" s="1" cm="1">
        <f t="array" ref="K2239">SUMPRODUCT(([2]OUT_FinalEnergyCons!$B$4:$B$10000="var_ncap")*1, (ISNUMBER(SEARCH("RH*-SHLFOBR",[2]OUT_FinalEnergyCons!$A$4:$A$10000)))*1,[2]OUT_FinalEnergyCons!I$4:I$10000)</f>
        <v>0.21783309430631181</v>
      </c>
      <c r="L2239" s="1" cm="1">
        <f t="array" ref="L2239">SUMPRODUCT(([2]OUT_FinalEnergyCons!$B$4:$B$10000="var_ncap")*1, (ISNUMBER(SEARCH("RH*-SHLFOBR",[2]OUT_FinalEnergyCons!$A$4:$A$10000)))*1,[2]OUT_FinalEnergyCons!J$4:J$10000)</f>
        <v>3.2955248084247901E-7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0.43133135090061259</v>
      </c>
      <c r="K2240" s="1">
        <f t="shared" si="2131"/>
        <v>1.040577856280539</v>
      </c>
      <c r="L2240" s="1">
        <f t="shared" ref="L2240" si="2132">SUM(L2241:L2242)</f>
        <v>0.7607066888027475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0.19203092871824107</v>
      </c>
      <c r="K2241" s="1" cm="1">
        <f t="array" ref="K2241">SUMPRODUCT(([2]OUT_FinalEnergyCons!$B$4:$B$10000="var_ncap")*1, (ISNUMBER(SEARCH("RH*-SHNGABR",[2]OUT_FinalEnergyCons!$A$4:$A$10000)))*1,[2]OUT_FinalEnergyCons!I$4:I$10000)</f>
        <v>0.26254786542862835</v>
      </c>
      <c r="L2241" s="1" cm="1">
        <f t="array" ref="L2241">SUMPRODUCT(([2]OUT_FinalEnergyCons!$B$4:$B$10000="var_ncap")*1, (ISNUMBER(SEARCH("RH*-SHNGABR",[2]OUT_FinalEnergyCons!$A$4:$A$10000)))*1,[2]OUT_FinalEnergyCons!J$4:J$10000)</f>
        <v>2.0374816280217182E-6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0.23930042218237152</v>
      </c>
      <c r="K2242" s="1" cm="1">
        <f t="array" ref="K2242">SUMPRODUCT(([2]OUT_FinalEnergyCons!$B$4:$B$10000="var_ncap")*1,ISNUMBER(SEARCH("RH*-SHngahp",[2]OUT_FinalEnergyCons!$A$4:$A$10000))*1,[2]OUT_FinalEnergyCons!I$4:I$10000)</f>
        <v>0.77802999085191071</v>
      </c>
      <c r="L2242" s="1" cm="1">
        <f t="array" ref="L2242">SUMPRODUCT(([2]OUT_FinalEnergyCons!$B$4:$B$10000="var_ncap")*1,ISNUMBER(SEARCH("RH*-SHngahp",[2]OUT_FinalEnergyCons!$A$4:$A$10000))*1,[2]OUT_FinalEnergyCons!J$4:J$10000)</f>
        <v>0.76070465132111953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0.35930451481453379</v>
      </c>
      <c r="K2245" s="1">
        <f t="shared" si="2134"/>
        <v>0.121858040852852</v>
      </c>
      <c r="L2245" s="1">
        <f t="shared" si="2134"/>
        <v>2.5729454479244449E-2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0.35930451481453379</v>
      </c>
      <c r="K2246" s="1" cm="1">
        <f t="array" ref="K2246">SUMPRODUCT(([2]OUT_FinalEnergyCons!$B$4:$B$10000="var_ncap")*1, (ISNUMBER(SEARCH("RH*-SHWODBR",[2]OUT_FinalEnergyCons!$A$4:$A$10000)))*1,[2]OUT_FinalEnergyCons!I$4:I$10000)</f>
        <v>0.121858040852852</v>
      </c>
      <c r="L2246" s="1" cm="1">
        <f t="array" ref="L2246">SUMPRODUCT(([2]OUT_FinalEnergyCons!$B$4:$B$10000="var_ncap")*1, (ISNUMBER(SEARCH("RH*-SHWODBR",[2]OUT_FinalEnergyCons!$A$4:$A$10000)))*1,[2]OUT_FinalEnergyCons!J$4:J$10000)</f>
        <v>2.5729454479244449E-2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9.7641166282636891E-3</v>
      </c>
      <c r="K2247" s="1">
        <f t="shared" si="2135"/>
        <v>2.2336329506961343E-2</v>
      </c>
      <c r="L2247" s="1">
        <f t="shared" si="2135"/>
        <v>6.3179814713094935E-3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9.7641166282636891E-3</v>
      </c>
      <c r="K2248" s="1" cm="1">
        <f t="array" ref="K2248">SUMPRODUCT(([2]OUT_FinalEnergyCons!$B$4:$B$10000="var_ncap")*1, (ISNUMBER(SEARCH("RH*-SHPLTBR",[2]OUT_FinalEnergyCons!$A$4:$A$10000)))*1,[2]OUT_FinalEnergyCons!I$4:I$10000)</f>
        <v>2.2336329506961343E-2</v>
      </c>
      <c r="L2248" s="1" cm="1">
        <f t="array" ref="L2248">SUMPRODUCT(([2]OUT_FinalEnergyCons!$B$4:$B$10000="var_ncap")*1, (ISNUMBER(SEARCH("RH*-SHPLTBR",[2]OUT_FinalEnergyCons!$A$4:$A$10000)))*1,[2]OUT_FinalEnergyCons!J$4:J$10000)</f>
        <v>6.3179814713094935E-3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1.4803995546849825E-4</v>
      </c>
      <c r="K2249" s="1">
        <f t="shared" si="2136"/>
        <v>5.1656397344017092E-3</v>
      </c>
      <c r="L2249" s="1">
        <f t="shared" si="2136"/>
        <v>8.0313820058371284E-4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1.4803995546849825E-4</v>
      </c>
      <c r="K2250" s="1" cm="1">
        <f t="array" ref="K2250">SUMPRODUCT(([2]OUT_FinalEnergyCons!$B$4:$B$10000="var_ncap")*1, (ISNUMBER(SEARCH("RH*-SHSOLBR",[2]OUT_FinalEnergyCons!$A$4:$A$10000)))*1,[2]OUT_FinalEnergyCons!I$4:I$10000)</f>
        <v>5.1656397344017092E-3</v>
      </c>
      <c r="L2250" s="1" cm="1">
        <f t="array" ref="L2250">SUMPRODUCT(([2]OUT_FinalEnergyCons!$B$4:$B$10000="var_ncap")*1, (ISNUMBER(SEARCH("RH*-SHSOLBR",[2]OUT_FinalEnergyCons!$A$4:$A$10000)))*1,[2]OUT_FinalEnergyCons!J$4:J$10000)</f>
        <v>8.0313820058371284E-4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0.72629443457532139</v>
      </c>
      <c r="K2253" s="1">
        <f t="shared" si="2138"/>
        <v>0.92308484188152384</v>
      </c>
      <c r="L2253" s="1">
        <f t="shared" ref="L2253" si="2139">SUM(L2254,L2257,L2259,L2262,L2264,L2266,L2268,L2270)</f>
        <v>1.0482146805947232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0.39732229594061147</v>
      </c>
      <c r="K2254" s="1">
        <f t="shared" si="2140"/>
        <v>0.46215045135627197</v>
      </c>
      <c r="L2254" s="1">
        <f t="shared" ref="L2254" si="2141">SUM(L2255:L2256)</f>
        <v>0.65976512054876257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5.1613732572537499E-2</v>
      </c>
      <c r="K2255" s="1" cm="1">
        <f t="array" ref="K2255">SUMPRODUCT(([2]OUT_FinalEnergyCons!$B$4:$B$10000="var_ncap")*1,(ISNUMBER(SEARCH("RH*-WHELCBR",[2]OUT_FinalEnergyCons!$A$4:$A$10000)))*1,[2]OUT_FinalEnergyCons!I$4:I$10000)</f>
        <v>8.4490630419297996E-2</v>
      </c>
      <c r="L2255" s="1" cm="1">
        <f t="array" ref="L2255">SUMPRODUCT(([2]OUT_FinalEnergyCons!$B$4:$B$10000="var_ncap")*1,(ISNUMBER(SEARCH("RH*-WHELCBR",[2]OUT_FinalEnergyCons!$A$4:$A$10000)))*1,[2]OUT_FinalEnergyCons!J$4:J$10000)</f>
        <v>3.6445143999518599E-2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0.34570856336807398</v>
      </c>
      <c r="K2256" s="1" cm="1">
        <f t="array" ref="K2256">SUMPRODUCT(([2]OUT_FinalEnergyCons!$B$4:$B$10000="var_ncap")*1,ISNUMBER(SEARCH("RH*-WHELCHP",[2]OUT_FinalEnergyCons!$A$4:$A$10000))*1,[2]OUT_FinalEnergyCons!I$4:I$10000)</f>
        <v>0.37765982093697398</v>
      </c>
      <c r="L2256" s="1" cm="1">
        <f t="array" ref="L2256">SUMPRODUCT(([2]OUT_FinalEnergyCons!$B$4:$B$10000="var_ncap")*1,ISNUMBER(SEARCH("RH*-WHELCHP",[2]OUT_FinalEnergyCons!$A$4:$A$10000))*1,[2]OUT_FinalEnergyCons!J$4:J$10000)</f>
        <v>0.62331997654924398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2.0170643423385599E-2</v>
      </c>
      <c r="K2257" s="1">
        <f t="shared" si="2142"/>
        <v>2.9975491824380501E-2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2.0170643423385599E-2</v>
      </c>
      <c r="K2258" s="1" cm="1">
        <f t="array" ref="K2258">SUMPRODUCT(([2]OUT_FinalEnergyCons!$B$4:$B$10000="var_ncap")*1, (ISNUMBER(SEARCH("RH*-WHLFOBR",[2]OUT_FinalEnergyCons!$A$4:$A$10000)))*1,[2]OUT_FinalEnergyCons!I$4:I$10000)</f>
        <v>2.9975491824380501E-2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0.14603603485395711</v>
      </c>
      <c r="K2259" s="1">
        <f t="shared" si="2143"/>
        <v>0.25120207300676428</v>
      </c>
      <c r="L2259" s="1">
        <f t="shared" ref="L2259" si="2144">SUM(L2260:L2261)</f>
        <v>0.26930968796774107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5.0173333485405598E-2</v>
      </c>
      <c r="K2260" s="1" cm="1">
        <f t="array" ref="K2260">SUMPRODUCT(([2]OUT_FinalEnergyCons!$B$4:$B$10000="var_ncap")*1, (ISNUMBER(SEARCH("RH*-WHNGABR",[2]OUT_FinalEnergyCons!$A$4:$A$10000)))*1,[2]OUT_FinalEnergyCons!I$4:I$10000)</f>
        <v>5.05032663646343E-2</v>
      </c>
      <c r="L2260" s="1" cm="1">
        <f t="array" ref="L2260">SUMPRODUCT(([2]OUT_FinalEnergyCons!$B$4:$B$10000="var_ncap")*1, (ISNUMBER(SEARCH("RH*-WHNGABR",[2]OUT_FinalEnergyCons!$A$4:$A$10000)))*1,[2]OUT_FinalEnergyCons!J$4:J$10000)</f>
        <v>5.0487241007608495E-7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9.5862701368551503E-2</v>
      </c>
      <c r="K2261" s="1" cm="1">
        <f t="array" ref="K2261">SUMPRODUCT(([2]OUT_FinalEnergyCons!$B$4:$B$10000="var_ncap")*1,ISNUMBER(SEARCH("RH*-WHngahp",[2]OUT_FinalEnergyCons!$A$4:$A$10000))*1,[2]OUT_FinalEnergyCons!I$4:I$10000)</f>
        <v>0.20069880664213</v>
      </c>
      <c r="L2261" s="1" cm="1">
        <f t="array" ref="L2261">SUMPRODUCT(([2]OUT_FinalEnergyCons!$B$4:$B$10000="var_ncap")*1,ISNUMBER(SEARCH("RH*-WHngahp",[2]OUT_FinalEnergyCons!$A$4:$A$10000))*1,[2]OUT_FinalEnergyCons!J$4:J$10000)</f>
        <v>0.26930918309533097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2.1172906138068302E-2</v>
      </c>
      <c r="K2264" s="1">
        <f t="shared" si="2146"/>
        <v>4.19827403729972E-2</v>
      </c>
      <c r="L2264" s="1">
        <f t="shared" si="2146"/>
        <v>1.3239438997465099E-2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2.1172906138068302E-2</v>
      </c>
      <c r="K2265" s="1" cm="1">
        <f t="array" ref="K2265">SUMPRODUCT(([2]OUT_FinalEnergyCons!$B$4:$B$10000="var_ncap")*1, (ISNUMBER(SEARCH("RH*-WHWODBR",[2]OUT_FinalEnergyCons!$A$4:$A$10000)))*1,[2]OUT_FinalEnergyCons!I$4:I$10000)</f>
        <v>4.19827403729972E-2</v>
      </c>
      <c r="L2265" s="1" cm="1">
        <f t="array" ref="L2265">SUMPRODUCT(([2]OUT_FinalEnergyCons!$B$4:$B$10000="var_ncap")*1, (ISNUMBER(SEARCH("RH*-WHWODBR",[2]OUT_FinalEnergyCons!$A$4:$A$10000)))*1,[2]OUT_FinalEnergyCons!J$4:J$10000)</f>
        <v>1.3239438997465099E-2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4.5557042452559699E-3</v>
      </c>
      <c r="K2266" s="1">
        <f t="shared" si="2147"/>
        <v>4.5788696607899602E-3</v>
      </c>
      <c r="L2266" s="1">
        <f t="shared" si="2147"/>
        <v>3.9067981685524996E-3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4.5557042452559699E-3</v>
      </c>
      <c r="K2267" s="1" cm="1">
        <f t="array" ref="K2267">SUMPRODUCT(([2]OUT_FinalEnergyCons!$B$4:$B$10000="var_ncap")*1, (ISNUMBER(SEARCH("RH*-WHPLTBR",[2]OUT_FinalEnergyCons!$A$4:$A$10000)))*1,[2]OUT_FinalEnergyCons!I$4:I$10000)</f>
        <v>4.5788696607899602E-3</v>
      </c>
      <c r="L2267" s="1" cm="1">
        <f t="array" ref="L2267">SUMPRODUCT(([2]OUT_FinalEnergyCons!$B$4:$B$10000="var_ncap")*1, (ISNUMBER(SEARCH("RH*-WHPLTBR",[2]OUT_FinalEnergyCons!$A$4:$A$10000)))*1,[2]OUT_FinalEnergyCons!J$4:J$10000)</f>
        <v>3.9067981685524996E-3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0.137036849974043</v>
      </c>
      <c r="K2268" s="1">
        <f t="shared" si="2151"/>
        <v>0.13319521566032</v>
      </c>
      <c r="L2268" s="1">
        <f t="shared" si="2151"/>
        <v>0.10199363491220199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0.137036849974043</v>
      </c>
      <c r="K2269" s="1" cm="1">
        <f t="array" ref="K2269">SUMPRODUCT(([2]OUT_FinalEnergyCons!$B$4:$B$10000="var_ncap")*1, (ISNUMBER(SEARCH("RH*-WHSOLBR",[2]OUT_FinalEnergyCons!$A$4:$A$10000)))*1,[2]OUT_FinalEnergyCons!I$4:I$10000)</f>
        <v>0.13319521566032</v>
      </c>
      <c r="L2269" s="1" cm="1">
        <f t="array" ref="L2269">SUMPRODUCT(([2]OUT_FinalEnergyCons!$B$4:$B$10000="var_ncap")*1, (ISNUMBER(SEARCH("RH*-WHSOLBR",[2]OUT_FinalEnergyCons!$A$4:$A$10000)))*1,[2]OUT_FinalEnergyCons!J$4:J$10000)</f>
        <v>0.10199363491220199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2.3275000312229834</v>
      </c>
      <c r="K2272" s="17">
        <f t="shared" si="2153"/>
        <v>1.7472167507520695</v>
      </c>
      <c r="L2272" s="17">
        <f t="shared" ref="L2272" si="2154">SUM(L2273,L2276,L2279,L2283,L2285,L2287,L2289,L2291,L2293)</f>
        <v>2.0849679360703264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0.62030970899241178</v>
      </c>
      <c r="K2273" s="18">
        <f t="shared" si="2155"/>
        <v>0.95105982065196892</v>
      </c>
      <c r="L2273" s="18">
        <f t="shared" ref="L2273" si="2156">SUM(L2274:L2275)</f>
        <v>1.2442471178490719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0.56778770499730702</v>
      </c>
      <c r="K2274" s="1" cm="1">
        <f t="array" ref="K2274">SUMPRODUCT(([2]OUT_FinalEnergyCons!$B$4:$B$10000="var_ncap")*1,  (ISNUMBER(SEARCH("ITOT-SWHELCBR",[2]OUT_FinalEnergyCons!$A$4:$A$10000)))*1,[2]OUT_FinalEnergyCons!I$4:I$10000)</f>
        <v>0.53330634515263597</v>
      </c>
      <c r="L2274" s="1" cm="1">
        <f t="array" ref="L2274">SUMPRODUCT(([2]OUT_FinalEnergyCons!$B$4:$B$10000="var_ncap")*1,  (ISNUMBER(SEARCH("ITOT-SWHELCBR",[2]OUT_FinalEnergyCons!$A$4:$A$10000)))*1,[2]OUT_FinalEnergyCons!J$4:J$10000)</f>
        <v>0.97168285808058996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5.2522003995104802E-2</v>
      </c>
      <c r="K2275" s="1" cm="1">
        <f t="array" ref="K2275">SUMPRODUCT(([2]OUT_FinalEnergyCons!$B$4:$B$10000="var_ncap")*1,  (ISNUMBER(SEARCH("ITOT-SWHELCHP",[2]OUT_FinalEnergyCons!$A$4:$A$10000)))*1,[2]OUT_FinalEnergyCons!I$4:I$10000)</f>
        <v>0.417753475499333</v>
      </c>
      <c r="L2275" s="1" cm="1">
        <f t="array" ref="L2275">SUMPRODUCT(([2]OUT_FinalEnergyCons!$B$4:$B$10000="var_ncap")*1,  (ISNUMBER(SEARCH("ITOT-SWHELCHP",[2]OUT_FinalEnergyCons!$A$4:$A$10000)))*1,[2]OUT_FinalEnergyCons!J$4:J$10000)</f>
        <v>0.27256425976848198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0.17750837865041422</v>
      </c>
      <c r="K2276" s="18">
        <f t="shared" si="2157"/>
        <v>2.568538377440609E-2</v>
      </c>
      <c r="L2276" s="18">
        <f t="shared" ref="L2276" si="2158">SUM(L2277:L2278)</f>
        <v>1.863218034481252E-5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0.177094558397795</v>
      </c>
      <c r="K2277" s="1" cm="1">
        <f t="array" ref="K2277">SUMPRODUCT(([2]OUT_FinalEnergyCons!$B$4:$B$10000="var_ncap")*1,  (ISNUMBER(SEARCH("ITOT-SWHLFOBR",[2]OUT_FinalEnergyCons!$A$4:$A$10000)))*1,[2]OUT_FinalEnergyCons!I$4:I$10000)</f>
        <v>2.5661828727164201E-2</v>
      </c>
      <c r="L2277" s="1" cm="1">
        <f t="array" ref="L2277">SUMPRODUCT(([2]OUT_FinalEnergyCons!$B$4:$B$10000="var_ncap")*1,  (ISNUMBER(SEARCH("ITOT-SWHLFOBR",[2]OUT_FinalEnergyCons!$A$4:$A$10000)))*1,[2]OUT_FinalEnergyCons!J$4:J$10000)</f>
        <v>1.54573285186161E-5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4.13820252619222E-4</v>
      </c>
      <c r="K2278" s="1" cm="1">
        <f t="array" ref="K2278">SUMPRODUCT(([2]OUT_FinalEnergyCons!$B$4:$B$10000="var_ncap")*1,  (ISNUMBER(SEARCH("ITOT-SWHHFOBR",[2]OUT_FinalEnergyCons!$A$4:$A$10000)))*1,[2]OUT_FinalEnergyCons!I$4:I$10000)</f>
        <v>2.3555047241890102E-5</v>
      </c>
      <c r="L2278" s="1" cm="1">
        <f t="array" ref="L2278">SUMPRODUCT(([2]OUT_FinalEnergyCons!$B$4:$B$10000="var_ncap")*1,  (ISNUMBER(SEARCH("ITOT-SWHHFOBR",[2]OUT_FinalEnergyCons!$A$4:$A$10000)))*1,[2]OUT_FinalEnergyCons!J$4:J$10000)</f>
        <v>3.17485182619642E-6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0.19933506688568062</v>
      </c>
      <c r="K2279" s="18">
        <f t="shared" si="2159"/>
        <v>0.10804868601229507</v>
      </c>
      <c r="L2279" s="18">
        <f t="shared" ref="L2279" si="2160">SUM(L2280:L2281)</f>
        <v>5.1445226033812503E-5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0.19898439139382401</v>
      </c>
      <c r="K2280" s="1" cm="1">
        <f t="array" ref="K2280">SUMPRODUCT(([2]OUT_FinalEnergyCons!$B$4:$B$10000="var_ncap")*1,  (ISNUMBER(SEARCH("ITOT-SWHNGA*BR",[2]OUT_FinalEnergyCons!$A$4:$A$10000)))*1,[2]OUT_FinalEnergyCons!I$4:I$10000)</f>
        <v>0.10804113375864299</v>
      </c>
      <c r="L2280" s="1" cm="1">
        <f t="array" ref="L2280">SUMPRODUCT(([2]OUT_FinalEnergyCons!$B$4:$B$10000="var_ncap")*1,  (ISNUMBER(SEARCH("ITOT-SWHNGA*BR",[2]OUT_FinalEnergyCons!$A$4:$A$10000)))*1,[2]OUT_FinalEnergyCons!J$4:J$10000)</f>
        <v>2.6730563215300102E-5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3.5067549185661398E-4</v>
      </c>
      <c r="K2281" s="1" cm="1">
        <f t="array" ref="K2281">SUMPRODUCT(([2]OUT_FinalEnergyCons!$B$4:$B$10000="var_ncap")*1,  (ISNUMBER(SEARCH("ITOT-SWHNGAHP",[2]OUT_FinalEnergyCons!$A$4:$A$10000)))*1,[2]OUT_FinalEnergyCons!I$4:I$10000)</f>
        <v>7.5522536520758498E-6</v>
      </c>
      <c r="L2281" s="1" cm="1">
        <f t="array" ref="L2281">SUMPRODUCT(([2]OUT_FinalEnergyCons!$B$4:$B$10000="var_ncap")*1,  (ISNUMBER(SEARCH("ITOT-SWHNGAHP",[2]OUT_FinalEnergyCons!$A$4:$A$10000)))*1,[2]OUT_FinalEnergyCons!J$4:J$10000)</f>
        <v>2.4714662818512401E-5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7.2597099406815302E-2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6.9785997926141596E-2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0.197766452029944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2.7816408353012402E-4</v>
      </c>
      <c r="K2283" s="1">
        <f t="shared" si="2161"/>
        <v>5.7522177138918799E-6</v>
      </c>
      <c r="L2283" s="1">
        <f t="shared" si="2161"/>
        <v>9.2167879783485098E-7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2.7816408353012402E-4</v>
      </c>
      <c r="K2284" s="1" cm="1">
        <f t="array" ref="K2284">SUMPRODUCT(([2]OUT_FinalEnergyCons!$B$4:$B$10000="var_ncap")*1,  (ISNUMBER(SEARCH("ITOT-SWHCOA*BR",[2]OUT_FinalEnergyCons!$A$4:$A$10000)))*1,[2]OUT_FinalEnergyCons!I$4:I$10000)</f>
        <v>5.7522177138918799E-6</v>
      </c>
      <c r="L2284" s="1" cm="1">
        <f t="array" ref="L2284">SUMPRODUCT(([2]OUT_FinalEnergyCons!$B$4:$B$10000="var_ncap")*1,  (ISNUMBER(SEARCH("ITOT-SWHCOA*BR",[2]OUT_FinalEnergyCons!$A$4:$A$10000)))*1,[2]OUT_FinalEnergyCons!J$4:J$10000)</f>
        <v>9.2167879783485098E-7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0.30729204919054198</v>
      </c>
      <c r="K2285" s="1">
        <f t="shared" si="2162"/>
        <v>0.223012467286125</v>
      </c>
      <c r="L2285" s="1">
        <f t="shared" si="2162"/>
        <v>0.29410442128652398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0.30729204919054198</v>
      </c>
      <c r="K2286" s="1" cm="1">
        <f t="array" ref="K2286">SUMPRODUCT(([2]OUT_FinalEnergyCons!$B$4:$B$10000="var_ncap")*1,  (ISNUMBER(SEARCH("ITOT-SWHWOD*BR",[2]OUT_FinalEnergyCons!$A$4:$A$10000)))*1,[2]OUT_FinalEnergyCons!I$4:I$10000)</f>
        <v>0.223012467286125</v>
      </c>
      <c r="L2286" s="1" cm="1">
        <f t="array" ref="L2286">SUMPRODUCT(([2]OUT_FinalEnergyCons!$B$4:$B$10000="var_ncap")*1,  (ISNUMBER(SEARCH("ITOT-SWHWOD*BR",[2]OUT_FinalEnergyCons!$A$4:$A$10000)))*1,[2]OUT_FinalEnergyCons!J$4:J$10000)</f>
        <v>0.29410442128652398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2.8663372110701801E-2</v>
      </c>
      <c r="K2287" s="1">
        <f t="shared" si="2163"/>
        <v>1.4058451570093399E-2</v>
      </c>
      <c r="L2287" s="1">
        <f t="shared" si="2163"/>
        <v>2.0339696685854398E-2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2.8663372110701801E-2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1.4058451570093399E-2</v>
      </c>
      <c r="L2288" s="1" cm="1">
        <f t="array" ref="L2288">SUMPRODUCT(([2]OUT_FinalEnergyCons!$B$4:$B$10000="var_ncap")*1,  (ISNUMBER(SEARCH("ITOT-SWHPLT*BR",[2]OUT_FinalEnergyCons!$A$4:$A$10000)))*1,[2]OUT_FinalEnergyCons!J$4:J$10000)</f>
        <v>2.0339696685854398E-2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0.23473992311847899</v>
      </c>
      <c r="K2289" s="1">
        <f t="shared" si="2164"/>
        <v>0.107054181559366</v>
      </c>
      <c r="L2289" s="1">
        <f t="shared" si="2164"/>
        <v>4.7894687791554799E-2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0.23473992311847899</v>
      </c>
      <c r="K2290" s="1" cm="1">
        <f t="array" ref="K2290">SUMPRODUCT(([2]OUT_FinalEnergyCons!$B$4:$B$10000="var_ncap")*1,  (ISNUMBER(SEARCH("ITOT-SWHWST*BR",[2]OUT_FinalEnergyCons!$A$4:$A$10000)))*1,[2]OUT_FinalEnergyCons!I$4:I$10000)</f>
        <v>0.107054181559366</v>
      </c>
      <c r="L2290" s="1" cm="1">
        <f t="array" ref="L2290">SUMPRODUCT(([2]OUT_FinalEnergyCons!$B$4:$B$10000="var_ncap")*1,  (ISNUMBER(SEARCH("ITOT-SWHWST*BR",[2]OUT_FinalEnergyCons!$A$4:$A$10000)))*1,[2]OUT_FinalEnergyCons!J$4:J$10000)</f>
        <v>4.7894687791554799E-2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0.11030511202741</v>
      </c>
      <c r="K2291" s="1">
        <f t="shared" si="2165"/>
        <v>0.11079392760621699</v>
      </c>
      <c r="L2291" s="1">
        <f t="shared" si="2165"/>
        <v>9.9805108444239801E-2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0.11030511202741</v>
      </c>
      <c r="K2292" s="1" cm="1">
        <f t="array" ref="K2292">SUMPRODUCT(([2]OUT_FinalEnergyCons!$B$4:$B$10000="var_ncap")*1, (ISNUMBER(SEARCH("ITOT-SWHSOLBR",[2]OUT_FinalEnergyCons!$A$4:$A$10000)))*1,[2]OUT_FinalEnergyCons!I$4:I$10000)</f>
        <v>0.11079392760621699</v>
      </c>
      <c r="L2292" s="1" cm="1">
        <f t="array" ref="L2292">SUMPRODUCT(([2]OUT_FinalEnergyCons!$B$4:$B$10000="var_ncap")*1, (ISNUMBER(SEARCH("ITOT-SWHSOLBR",[2]OUT_FinalEnergyCons!$A$4:$A$10000)))*1,[2]OUT_FinalEnergyCons!J$4:J$10000)</f>
        <v>9.9805108444239801E-2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0.64906825616381403</v>
      </c>
      <c r="K2293" s="1">
        <f t="shared" si="2166"/>
        <v>0.20749808007388401</v>
      </c>
      <c r="L2293" s="1">
        <f t="shared" si="2166"/>
        <v>0.37850590492790498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0.64906825616381403</v>
      </c>
      <c r="K2294" s="1" cm="1">
        <f t="array" ref="K2294">SUMPRODUCT(([2]OUT_FinalEnergyCons!$B$4:$B$10000="var_ncap")*1, (ISNUMBER(SEARCH("ITOT-SWHH2BR",[2]OUT_FinalEnergyCons!$A$4:$A$10000)))*1,[2]OUT_FinalEnergyCons!I$4:I$10000)</f>
        <v>0.20749808007388401</v>
      </c>
      <c r="L2294" s="1" cm="1">
        <f t="array" ref="L2294">SUMPRODUCT(([2]OUT_FinalEnergyCons!$B$4:$B$10000="var_ncap")*1, (ISNUMBER(SEARCH("ITOT-SWHH2BR",[2]OUT_FinalEnergyCons!$A$4:$A$10000)))*1,[2]OUT_FinalEnergyCons!J$4:J$10000)</f>
        <v>0.37850590492790498</v>
      </c>
      <c r="N2294" s="1"/>
    </row>
    <row r="2295" spans="2:14" x14ac:dyDescent="0.35">
      <c r="B2295" s="9" t="str">
        <f>SPS2_NUC_Mid!B1813</f>
        <v>SPS1</v>
      </c>
      <c r="C2295" s="9" t="str">
        <f>SPS2_NUC_Mid!C1813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2.2847448874350818</v>
      </c>
      <c r="K2295" s="17">
        <f t="shared" si="2167"/>
        <v>1.8804568702288034</v>
      </c>
      <c r="L2295" s="17">
        <f t="shared" ref="L2295" si="2168">SUM(L2296,L2299,L2301,L2305,L2307,L2309,L2311)</f>
        <v>1.9353798350865281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0.59505111240672182</v>
      </c>
      <c r="K2296" s="1">
        <f t="shared" si="2171"/>
        <v>0.51802042688317962</v>
      </c>
      <c r="L2296" s="1">
        <f t="shared" ref="L2296" si="2172">SUM(L2297:L2298)</f>
        <v>0.82442337349829231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1.26200486402858E-2</v>
      </c>
      <c r="K2297" s="1" cm="1">
        <f t="array" ref="K2297">SUMPRODUCT(([2]OUT_FinalEnergyCons!$B$4:$B$10000="var_ncap")*1, (ISNUMBER(SEARCH("SCOM-SHELCBR",[2]OUT_FinalEnergyCons!$A$4:$A$10000)))*1,[2]OUT_FinalEnergyCons!I$4:I$10000)</f>
        <v>1.08164659174807E-2</v>
      </c>
      <c r="L2297" s="1" cm="1">
        <f t="array" ref="L2297">SUMPRODUCT(([2]OUT_FinalEnergyCons!$B$4:$B$10000="var_ncap")*1, (ISNUMBER(SEARCH("SCOM-SHELCBR",[2]OUT_FinalEnergyCons!$A$4:$A$10000)))*1,[2]OUT_FinalEnergyCons!J$4:J$10000)</f>
        <v>3.5284816113063202E-3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0.58243106376643605</v>
      </c>
      <c r="K2298" s="1" cm="1">
        <f t="array" ref="K2298">SUMPRODUCT(([2]OUT_FinalEnergyCons!$B$4:$B$10000="var_ncap")*1, (ISNUMBER(SEARCH("SCOM-SHELCHP",[2]OUT_FinalEnergyCons!$A$4:$A$10000)))*1,[2]OUT_FinalEnergyCons!I$4:I$10000)</f>
        <v>0.50720396096569897</v>
      </c>
      <c r="L2298" s="1" cm="1">
        <f t="array" ref="L2298">SUMPRODUCT(([2]OUT_FinalEnergyCons!$B$4:$B$10000="var_ncap")*1, (ISNUMBER(SEARCH("SCOM-SHELCHP",[2]OUT_FinalEnergyCons!$A$4:$A$10000)))*1,[2]OUT_FinalEnergyCons!J$4:J$10000)</f>
        <v>0.82089489188698594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0.34556551882552899</v>
      </c>
      <c r="K2299" s="1">
        <f t="shared" si="2173"/>
        <v>6.9902558227240504E-6</v>
      </c>
      <c r="L2299" s="1">
        <f t="shared" si="2173"/>
        <v>3.8286892668535798E-7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0.34556551882552899</v>
      </c>
      <c r="K2300" s="1" cm="1">
        <f t="array" ref="K2300">SUMPRODUCT(([2]OUT_FinalEnergyCons!$B$4:$B$10000="var_ncap")*1,(ISNUMBER(SEARCH("SCOM-SHLFOBR",[2]OUT_FinalEnergyCons!$A$4:$A$10000)))*1,[2]OUT_FinalEnergyCons!I$4:I$10000)</f>
        <v>6.9902558227240504E-6</v>
      </c>
      <c r="L2300" s="1" cm="1">
        <f t="array" ref="L2300">SUMPRODUCT(([2]OUT_FinalEnergyCons!$B$4:$B$10000="var_ncap")*1,(ISNUMBER(SEARCH("SCOM-SHLFOBR",[2]OUT_FinalEnergyCons!$A$4:$A$10000)))*1,[2]OUT_FinalEnergyCons!J$4:J$10000)</f>
        <v>3.8286892668535798E-7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0.64686952858310831</v>
      </c>
      <c r="K2301" s="1">
        <f t="shared" si="2175"/>
        <v>0.47451165982080828</v>
      </c>
      <c r="L2301" s="1">
        <f t="shared" ref="L2301" si="2176">SUM(L2302:L2304)</f>
        <v>0.49430863463569641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0.49123674907173998</v>
      </c>
      <c r="K2302" s="1" cm="1">
        <f t="array" ref="K2302">SUMPRODUCT(([2]OUT_FinalEnergyCons!$B$4:$B$10000="var_ncap")*1, (ISNUMBER(SEARCH("SCOM-SHNGABR",[2]OUT_FinalEnergyCons!$A$4:$A$10000)))*1,[2]OUT_FinalEnergyCons!I$4:I$10000)</f>
        <v>2.7589082043129601E-2</v>
      </c>
      <c r="L2302" s="1" cm="1">
        <f t="array" ref="L2302">SUMPRODUCT(([2]OUT_FinalEnergyCons!$B$4:$B$10000="var_ncap")*1, (ISNUMBER(SEARCH("SCOM-SHNGABR",[2]OUT_FinalEnergyCons!$A$4:$A$10000)))*1,[2]OUT_FinalEnergyCons!J$4:J$10000)</f>
        <v>9.2604364116265794E-6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0.15558579314837001</v>
      </c>
      <c r="K2303" s="1" cm="1">
        <f t="array" ref="K2303">SUMPRODUCT(([2]OUT_FinalEnergyCons!$B$4:$B$10000="var_ncap")*1, (ISNUMBER(SEARCH("SCOM-SHngahp",[2]OUT_FinalEnergyCons!$A$4:$A$10000)))*1,[2]OUT_FinalEnergyCons!I$4:I$10000)</f>
        <v>0.44683426862140702</v>
      </c>
      <c r="L2303" s="1" cm="1">
        <f t="array" ref="L2303">SUMPRODUCT(([2]OUT_FinalEnergyCons!$B$4:$B$10000="var_ncap")*1, (ISNUMBER(SEARCH("SCOM-SHngahp",[2]OUT_FinalEnergyCons!$A$4:$A$10000)))*1,[2]OUT_FinalEnergyCons!J$4:J$10000)</f>
        <v>0.494267120089116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4.69863629983801E-5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8.8309156271681099E-5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3.2254110168778099E-5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0.27209964968683598</v>
      </c>
      <c r="K2305" s="1">
        <f t="shared" si="2177"/>
        <v>9.8993511787647995E-2</v>
      </c>
      <c r="L2305" s="1">
        <f t="shared" si="2177"/>
        <v>8.29445369871529E-2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0.27209964968683598</v>
      </c>
      <c r="K2306" s="1" cm="1">
        <f t="array" ref="K2306">SUMPRODUCT(([2]OUT_FinalEnergyCons!$B$4:$B$10000="var_ncap")*1, (ISNUMBER(SEARCH("SCOM-SHWODBR",[2]OUT_FinalEnergyCons!$A$4:$A$10000)))*1,[2]OUT_FinalEnergyCons!I$4:I$10000)</f>
        <v>9.8993511787647995E-2</v>
      </c>
      <c r="L2306" s="1" cm="1">
        <f t="array" ref="L2306">SUMPRODUCT(([2]OUT_FinalEnergyCons!$B$4:$B$10000="var_ncap")*1, (ISNUMBER(SEARCH("SCOM-SHWODBR",[2]OUT_FinalEnergyCons!$A$4:$A$10000)))*1,[2]OUT_FinalEnergyCons!J$4:J$10000)</f>
        <v>8.29445369871529E-2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2.31439028027439E-2</v>
      </c>
      <c r="K2307" s="1">
        <f t="shared" si="2178"/>
        <v>3.5481677164890001E-2</v>
      </c>
      <c r="L2307" s="1">
        <f t="shared" si="2178"/>
        <v>2.5951394973616499E-2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2.31439028027439E-2</v>
      </c>
      <c r="K2308" s="1" cm="1">
        <f t="array" ref="K2308">SUMPRODUCT(([2]OUT_FinalEnergyCons!$B$4:$B$10000="var_ncap")*1,(ISNUMBER(SEARCH("SCOM-SHPLTBR",[2]OUT_FinalEnergyCons!$A$4:$A$10000)))*1,[2]OUT_FinalEnergyCons!I$4:I$10000)</f>
        <v>3.5481677164890001E-2</v>
      </c>
      <c r="L2308" s="1" cm="1">
        <f t="array" ref="L2308">SUMPRODUCT(([2]OUT_FinalEnergyCons!$B$4:$B$10000="var_ncap")*1,(ISNUMBER(SEARCH("SCOM-SHPLTBR",[2]OUT_FinalEnergyCons!$A$4:$A$10000)))*1,[2]OUT_FinalEnergyCons!J$4:J$10000)</f>
        <v>2.5951394973616499E-2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6.7898385942208095E-2</v>
      </c>
      <c r="K2309" s="1">
        <f t="shared" si="2179"/>
        <v>4.2146836106790903E-2</v>
      </c>
      <c r="L2309" s="1">
        <f t="shared" si="2179"/>
        <v>5.9111944629513302E-2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6.7898385942208095E-2</v>
      </c>
      <c r="K2310" s="1" cm="1">
        <f t="array" ref="K2310">SUMPRODUCT(([2]OUT_FinalEnergyCons!$B$4:$B$10000="var_ncap")*1, (ISNUMBER(SEARCH("SCOM-SHSOLBR",[2]OUT_FinalEnergyCons!$A$4:$A$10000)))*1,[2]OUT_FinalEnergyCons!I$4:I$10000)</f>
        <v>4.2146836106790903E-2</v>
      </c>
      <c r="L2310" s="1" cm="1">
        <f t="array" ref="L2310">SUMPRODUCT(([2]OUT_FinalEnergyCons!$B$4:$B$10000="var_ncap")*1, (ISNUMBER(SEARCH("SCOM-SHSOLBR",[2]OUT_FinalEnergyCons!$A$4:$A$10000)))*1,[2]OUT_FinalEnergyCons!J$4:J$10000)</f>
        <v>5.9111944629513302E-2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0.33411678918793503</v>
      </c>
      <c r="K2311" s="1">
        <f t="shared" si="2180"/>
        <v>0.711295768209664</v>
      </c>
      <c r="L2311" s="1">
        <f t="shared" si="2180"/>
        <v>0.44863956749333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0.33411678918793503</v>
      </c>
      <c r="K2312" s="1" cm="1">
        <f t="array" ref="K2312">SUMPRODUCT(([2]OUT_FinalEnergyCons!$B$4:$B$10000="var_ncap")*1, (ISNUMBER(SEARCH("SCOM-SHH2BR",[2]OUT_FinalEnergyCons!$A$4:$A$10000)))*1,[2]OUT_FinalEnergyCons!I$4:I$10000)</f>
        <v>0.711295768209664</v>
      </c>
      <c r="L2312" s="1" cm="1">
        <f t="array" ref="L2312">SUMPRODUCT(([2]OUT_FinalEnergyCons!$B$4:$B$10000="var_ncap")*1, (ISNUMBER(SEARCH("SCOM-SHH2BR",[2]OUT_FinalEnergyCons!$A$4:$A$10000)))*1,[2]OUT_FinalEnergyCons!J$4:J$10000)</f>
        <v>0.44863956749333</v>
      </c>
      <c r="N2312" s="1"/>
    </row>
    <row r="2313" spans="2:14" x14ac:dyDescent="0.35">
      <c r="B2313" s="5" t="str">
        <f>SPS2_NUC_Mid!B2021</f>
        <v>SPS1</v>
      </c>
      <c r="C2313" s="5" t="str">
        <f>SPS2_NUC_Mid!C2021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0.37855713525440737</v>
      </c>
      <c r="K2313" s="3">
        <f t="shared" si="2181"/>
        <v>4.4907786716709603</v>
      </c>
      <c r="L2313" s="3">
        <f t="shared" ref="L2313" si="2182">SUM(L2314,L2318,L2321)</f>
        <v>0.75147897274177633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0.34516876685251174</v>
      </c>
      <c r="K2314" s="1" cm="1">
        <f t="array" ref="K2314">SUMPRODUCT(ISNUMBER(SEARCH("SUP_ELCH2*",[2]OUT_SyntheticFuels!$C$4:$C$1000))*1,("var_ncap"=[2]OUT_SyntheticFuels!$B$4:$B$1000)*1,[2]OUT_SyntheticFuels!J$4:J$1000)</f>
        <v>4.4461428241094545</v>
      </c>
      <c r="L2314" s="1" cm="1">
        <f t="array" ref="L2314">SUMPRODUCT(ISNUMBER(SEARCH("SUP_ELCH2*",[2]OUT_SyntheticFuels!$C$4:$C$1000))*1,("var_ncap"=[2]OUT_SyntheticFuels!$B$4:$B$1000)*1,[2]OUT_SyntheticFuels!K$4:K$1000)</f>
        <v>0.7512003153974911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0.34515757439510197</v>
      </c>
      <c r="K2315" s="1">
        <f t="shared" si="2185"/>
        <v>2.0372719062089404</v>
      </c>
      <c r="L2315" s="1">
        <f t="shared" ref="L2315" si="2186">L2314-L2316-L2317</f>
        <v>0.60281889497673102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1.1192457409757E-5</v>
      </c>
      <c r="K2316" s="1" cm="1">
        <f t="array" ref="K2316">SUMPRODUCT(ISNUMBER(SEARCH("SUP_ELCH2*D",[2]OUT_SyntheticFuels!$C$4:$C$1000))*1,("var_ncap"=[2]OUT_SyntheticFuels!$B$4:$B$1000)*1,[2]OUT_SyntheticFuels!J$4:J$1000)</f>
        <v>2.3996532901283101</v>
      </c>
      <c r="L2316" s="1" cm="1">
        <f t="array" ref="L2316">SUMPRODUCT(ISNUMBER(SEARCH("SUP_ELCH2*D",[2]OUT_SyntheticFuels!$C$4:$C$1000))*1,("var_ncap"=[2]OUT_SyntheticFuels!$B$4:$B$1000)*1,[2]OUT_SyntheticFuels!K$4:K$1000)</f>
        <v>0.13934736459493499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9.2176277722041695E-3</v>
      </c>
      <c r="L2317" s="1" cm="1">
        <f t="array" ref="L2317">SUMPRODUCT(ISNUMBER(SEARCH("SUP_ELCH2*SOEC*",[2]OUT_SyntheticFuels!$C$4:$C$1000))*1,("var_ncap"=[2]OUT_SyntheticFuels!$B$4:$B$1000)*1,[2]OUT_SyntheticFuels!K$4:K$1000)</f>
        <v>9.0340558258250794E-3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1.5898483247090199E-6</v>
      </c>
      <c r="K2318" s="1">
        <f t="shared" si="2187"/>
        <v>2.2271894739189628E-6</v>
      </c>
      <c r="L2318" s="1">
        <f t="shared" ref="L2318" si="2188">SUM(L2319:L2320)</f>
        <v>2.7802862106414482E-4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1.5898483247090199E-6</v>
      </c>
      <c r="K2319" s="1" cm="1">
        <f t="array" ref="K2319">SUMPRODUCT(ISNUMBER(SEARCH("SUP_NGAH2",[2]OUT_SyntheticFuels!$C$4:$C$1000))*1,("var_ncap"=[2]OUT_SyntheticFuels!$B$4:$B$1000)*1,[2]OUT_SyntheticFuels!J$4:J$1000)-K2320</f>
        <v>1.7076920300585199E-6</v>
      </c>
      <c r="L2319" s="1" cm="1">
        <f t="array" ref="L2319">SUMPRODUCT(ISNUMBER(SEARCH("SUP_NGAH2",[2]OUT_SyntheticFuels!$C$4:$C$1000))*1,("var_ncap"=[2]OUT_SyntheticFuels!$B$4:$B$1000)*1,[2]OUT_SyntheticFuels!K$4:K$1000)-L2320</f>
        <v>2.1372744180792502E-4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5.1949744386044296E-7</v>
      </c>
      <c r="L2320" s="1" cm="1">
        <f t="array" ref="L2320">SUMPRODUCT(ISNUMBER(SEARCH("SUP_NGAH2CCS",[2]OUT_SyntheticFuels!$C$4:$C$1000))*1,("var_ncap"=[2]OUT_SyntheticFuels!$B$4:$B$1000)*1,[2]OUT_SyntheticFuels!K$4:K$1000)</f>
        <v>6.4301179256219805E-5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3.3386778553570903E-2</v>
      </c>
      <c r="K2321" s="1">
        <f t="shared" si="2189"/>
        <v>4.46336203720323E-2</v>
      </c>
      <c r="L2321" s="1">
        <f t="shared" ref="L2321" si="2190">SUM(L2322:L2323)</f>
        <v>6.2872322106291503E-7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3.3386778553570903E-2</v>
      </c>
      <c r="K2322" s="1" cm="1">
        <f t="array" ref="K2322">SUMPRODUCT(ISNUMBER(SEARCH("SUP_WODH2",[2]OUT_SyntheticFuels!$C$4:$C$1000))*1,("var_ncap"=[2]OUT_SyntheticFuels!$B$4:$B$1000)*1,[2]OUT_SyntheticFuels!J$4:J$1000)-K2323</f>
        <v>4.46336203720323E-2</v>
      </c>
      <c r="L2322" s="1" cm="1">
        <f t="array" ref="L2322">SUMPRODUCT(ISNUMBER(SEARCH("SUP_WODH2",[2]OUT_SyntheticFuels!$C$4:$C$1000))*1,("var_ncap"=[2]OUT_SyntheticFuels!$B$4:$B$1000)*1,[2]OUT_SyntheticFuels!K$4:K$1000)-L2323</f>
        <v>6.2872322106291503E-7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9.71969712287277E-5</v>
      </c>
      <c r="K2325" s="7" cm="1">
        <f t="array" ref="K2325">SUMPRODUCT(("CT_CWODBDS"=[2]OUT_SyntheticFuels!$C$4:$C$1000)*1,("var_ncap"=[2]OUT_SyntheticFuels!$B$4:$B$1000)*1,[2]OUT_SyntheticFuels!J$4:J$1000)</f>
        <v>3.6969469415672197E-5</v>
      </c>
      <c r="L2325" s="7" cm="1">
        <f t="array" ref="L2325">SUMPRODUCT(("CT_CWODBDS"=[2]OUT_SyntheticFuels!$C$4:$C$1000)*1,("var_ncap"=[2]OUT_SyntheticFuels!$B$4:$B$1000)*1,[2]OUT_SyntheticFuels!K$4:K$1000)</f>
        <v>5.6384604322881902E-6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5.8414800606094605E-7</v>
      </c>
      <c r="K2327" s="7" cm="1">
        <f t="array" ref="K2327">SUMPRODUCT(("CT_CWODETH"=[2]OUT_SyntheticFuels!$C$4:$C$1000)*1,("var_ncap"=[2]OUT_SyntheticFuels!$B$4:$B$1000)*1,[2]OUT_SyntheticFuels!J$4:J$1000)</f>
        <v>9.9054424000948005E-7</v>
      </c>
      <c r="L2327" s="7" cm="1">
        <f t="array" ref="L2327">SUMPRODUCT(("CT_CWODETH"=[2]OUT_SyntheticFuels!$C$4:$C$1000)*1,("var_ncap"=[2]OUT_SyntheticFuels!$B$4:$B$1000)*1,[2]OUT_SyntheticFuels!K$4:K$1000)</f>
        <v>3.0335601568668699E-5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8.9178404381367305E-6</v>
      </c>
      <c r="K2329" s="7" cm="1">
        <f t="array" ref="K2329">SUMPRODUCT(("SUP_MNRBIO"=[2]OUT_SyntheticFuels!$C$4:$C$1000)*1,("var_ncap"=[2]OUT_SyntheticFuels!$B$4:$B$1000)*1,[2]OUT_SyntheticFuels!J$4:J$1000)</f>
        <v>0.11388169084513999</v>
      </c>
      <c r="L2329" s="7" cm="1">
        <f t="array" ref="L2329">SUMPRODUCT(("SUP_MNRBIO"=[2]OUT_SyntheticFuels!$C$4:$C$1000)*1,("var_ncap"=[2]OUT_SyntheticFuels!$B$4:$B$1000)*1,[2]OUT_SyntheticFuels!K$4:K$1000)</f>
        <v>7.5626794514828399E-2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0.14469374598514101</v>
      </c>
      <c r="K2330" s="7" cm="1">
        <f t="array" ref="K2330">SUMPRODUCT(("SUP_WSTBIO"=[2]OUT_SyntheticFuels!$C$4:$C$1000)*1,("var_ncap"=[2]OUT_SyntheticFuels!$B$4:$B$1000)*1,[2]OUT_SyntheticFuels!J$4:J$1000)</f>
        <v>6.0867556705707503E-2</v>
      </c>
      <c r="L2330" s="7" cm="1">
        <f t="array" ref="L2330">SUMPRODUCT(("SUP_WSTBIO"=[2]OUT_SyntheticFuels!$C$4:$C$1000)*1,("var_ncap"=[2]OUT_SyntheticFuels!$B$4:$B$1000)*1,[2]OUT_SyntheticFuels!K$4:K$1000)</f>
        <v>0.170260317326382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3.7322639153583399E-3</v>
      </c>
      <c r="L2332" s="7" cm="1">
        <f t="array" ref="L2332">SUMPRODUCT(("SUP_WSTHTGBIO"=[2]OUT_SyntheticFuels!$C$4:$C$1000)*1,("var_ncap"=[2]OUT_SyntheticFuels!$B$4:$B$1000)*1,[2]OUT_SyntheticFuels!K$4:K$1000)</f>
        <v>6.3619717455628796E-4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1.6708672473919201E-5</v>
      </c>
      <c r="K2334" s="7" cm="1">
        <f t="array" ref="K2334">SUMPRODUCT(("SUP_WODBIO"=[2]OUT_SyntheticFuels!$C$4:$C$1000)*1,("var_ncap"=[2]OUT_SyntheticFuels!$B$4:$B$1000)*1,[2]OUT_SyntheticFuels!J$4:J$1000)</f>
        <v>4.5647277010768502E-5</v>
      </c>
      <c r="L2334" s="7" cm="1">
        <f t="array" ref="L2334">SUMPRODUCT(("SUP_WODBIO"=[2]OUT_SyntheticFuels!$C$4:$C$1000)*1,("var_ncap"=[2]OUT_SyntheticFuels!$B$4:$B$1000)*1,[2]OUT_SyntheticFuels!K$4:K$1000)</f>
        <v>1.48382703875205E-5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1.8678791184871601E-2</v>
      </c>
      <c r="K2336" s="7" cm="1">
        <f t="array" ref="K2336">SUMPRODUCT(("SUP_BIONGA"=[2]OUT_SyntheticFuels!$C$4:$C$1000)*1,("var_ncap"=[2]OUT_SyntheticFuels!$B$4:$B$1000)*1,[2]OUT_SyntheticFuels!J$4:J$1000)</f>
        <v>8.2334962834246003E-2</v>
      </c>
      <c r="L2336" s="7" cm="1">
        <f t="array" ref="L2336">SUMPRODUCT(("SUP_BIONGA"=[2]OUT_SyntheticFuels!$C$4:$C$1000)*1,("var_ncap"=[2]OUT_SyntheticFuels!$B$4:$B$1000)*1,[2]OUT_SyntheticFuels!K$4:K$1000)</f>
        <v>9.1040225530526195E-2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9.1224582453391998E-6</v>
      </c>
      <c r="K2337" s="7" cm="1">
        <f t="array" ref="K2337">SUMPRODUCT(("CT_CWODPLT"=[2]OUT_SyntheticFuels!$C$4:$C$1000)*1,("var_ncap"=[2]OUT_SyntheticFuels!$B$4:$B$1000)*1,[2]OUT_SyntheticFuels!J$4:J$1000)</f>
        <v>8.4133303367972603E-2</v>
      </c>
      <c r="L2337" s="7" cm="1">
        <f t="array" ref="L2337">SUMPRODUCT(("CT_CWODPLT"=[2]OUT_SyntheticFuels!$C$4:$C$1000)*1,("var_ncap"=[2]OUT_SyntheticFuels!$B$4:$B$1000)*1,[2]OUT_SyntheticFuels!K$4:K$1000)</f>
        <v>4.3995780066870598E-2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3.2859718601789501E-6</v>
      </c>
      <c r="K2338" s="7" cm="1">
        <f t="array" ref="K2338">SUMPRODUCT(("SUP_H2NGA"=[2]OUT_SyntheticFuels!$C$4:$C$1000)*1,("var_ncap"=[2]OUT_SyntheticFuels!$B$4:$B$1000)*1,[2]OUT_SyntheticFuels!J$4:J$1000)</f>
        <v>1.8761377866515301</v>
      </c>
      <c r="L2338" s="7" cm="1">
        <f t="array" ref="L2338">SUMPRODUCT(("SUP_H2NGA"=[2]OUT_SyntheticFuels!$C$4:$C$1000)*1,("var_ncap"=[2]OUT_SyntheticFuels!$B$4:$B$1000)*1,[2]OUT_SyntheticFuels!K$4:K$1000)</f>
        <v>0.50578221289790304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4.9859407964741404E-6</v>
      </c>
      <c r="K2339" s="7" cm="1">
        <f t="array" ref="K2339">SUMPRODUCT(("SUP_H2DSL"=[2]OUT_SyntheticFuels!$C$4:$C$1000)*1,("var_ncap"=[2]OUT_SyntheticFuels!$B$4:$B$1000)*1,[2]OUT_SyntheticFuels!J$4:J$1000)</f>
        <v>3.2700897935190897E-2</v>
      </c>
      <c r="L2339" s="7" cm="1">
        <f t="array" ref="L2339">SUMPRODUCT(("SUP_H2DSL"=[2]OUT_SyntheticFuels!$C$4:$C$1000)*1,("var_ncap"=[2]OUT_SyntheticFuels!$B$4:$B$1000)*1,[2]OUT_SyntheticFuels!K$4:K$1000)</f>
        <v>0.12733039028939899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7.6051833118275001E-6</v>
      </c>
      <c r="K2340" s="7" cm="1">
        <f t="array" ref="K2340">SUMPRODUCT(("SUP_H2GSL"=[2]OUT_SyntheticFuels!$C$4:$C$1000)*1,("var_ncap"=[2]OUT_SyntheticFuels!$B$4:$B$1000)*1,[2]OUT_SyntheticFuels!J$4:J$1000)</f>
        <v>0.135360205694565</v>
      </c>
      <c r="L2340" s="7" cm="1">
        <f t="array" ref="L2340">SUMPRODUCT(("SUP_H2GSL"=[2]OUT_SyntheticFuels!$C$4:$C$1000)*1,("var_ncap"=[2]OUT_SyntheticFuels!$B$4:$B$1000)*1,[2]OUT_SyntheticFuels!K$4:K$1000)</f>
        <v>9.2041333392580403E-7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564.86807072347312</v>
      </c>
      <c r="H3" s="3">
        <f t="shared" si="0"/>
        <v>531.55569481823545</v>
      </c>
    </row>
    <row r="4" spans="2:8" x14ac:dyDescent="0.35">
      <c r="B4" s="25" t="s">
        <v>1727</v>
      </c>
      <c r="C4" s="1">
        <f>SPS2_NUC_Mid!F763</f>
        <v>142.22068285386743</v>
      </c>
      <c r="D4" s="1">
        <f>SPS2_NUC_Mid!G763</f>
        <v>142.43487060158498</v>
      </c>
      <c r="E4" s="1">
        <f>SPS2_NUC_Mid!H763</f>
        <v>147.51305415580941</v>
      </c>
      <c r="F4" s="1">
        <f>SPS2_NUC_Mid!I763</f>
        <v>148.41977227486933</v>
      </c>
      <c r="G4" s="1">
        <f>SPS2_NUC_Mid!J763</f>
        <v>149.7677620818753</v>
      </c>
      <c r="H4" s="1">
        <f>SPS2_NUC_Mid!K763</f>
        <v>147.70041257866936</v>
      </c>
    </row>
    <row r="5" spans="2:8" x14ac:dyDescent="0.35">
      <c r="B5" s="25" t="s">
        <v>1728</v>
      </c>
      <c r="C5" s="1">
        <f>SPS2_NUC_Mid!F882</f>
        <v>140.10259811175644</v>
      </c>
      <c r="D5" s="1">
        <f>SPS2_NUC_Mid!G882</f>
        <v>136.76646895044979</v>
      </c>
      <c r="E5" s="1">
        <f>SPS2_NUC_Mid!H882</f>
        <v>132.76306201141824</v>
      </c>
      <c r="F5" s="1">
        <f>SPS2_NUC_Mid!I882</f>
        <v>121.47084718927252</v>
      </c>
      <c r="G5" s="1">
        <f>SPS2_NUC_Mid!J882</f>
        <v>115.16727535488306</v>
      </c>
      <c r="H5" s="1">
        <f>SPS2_NUC_Mid!K882</f>
        <v>108.55456710037984</v>
      </c>
    </row>
    <row r="6" spans="2:8" x14ac:dyDescent="0.35">
      <c r="B6" s="25" t="s">
        <v>1729</v>
      </c>
      <c r="C6" s="1">
        <f>SPS2_NUC_Mid!F972</f>
        <v>219.63038989360444</v>
      </c>
      <c r="D6" s="1">
        <f>SPS2_NUC_Mid!G972</f>
        <v>218.95224995715466</v>
      </c>
      <c r="E6" s="1">
        <f>SPS2_NUC_Mid!H972</f>
        <v>219.68116153295054</v>
      </c>
      <c r="F6" s="1">
        <f>SPS2_NUC_Mid!I972</f>
        <v>200.42837558919013</v>
      </c>
      <c r="G6" s="1">
        <f>SPS2_NUC_Mid!J972</f>
        <v>190.67231824049708</v>
      </c>
      <c r="H6" s="1">
        <f>SPS2_NUC_Mid!K972</f>
        <v>181.89084589224515</v>
      </c>
    </row>
    <row r="7" spans="2:8" x14ac:dyDescent="0.35">
      <c r="B7" s="25" t="s">
        <v>1730</v>
      </c>
      <c r="C7" s="1">
        <f>SPS2_NUC_Mid!F1136+SPS2_NUC_Mid!F1315+SPS2_NUC_Mid!F1399+SPS2_NUC_Mid!F1483+SPS2_NUC_Mid!F1490+SPS2_NUC_Mid!F1497+SPS2_NUC_Mid!F1546+SPS2_NUC_Mid!F1593+SPS2_NUC_Mid!F1640</f>
        <v>215.31392023948246</v>
      </c>
      <c r="D7" s="1">
        <f>SPS2_NUC_Mid!G1136+SPS2_NUC_Mid!G1315+SPS2_NUC_Mid!G1399+SPS2_NUC_Mid!G1483+SPS2_NUC_Mid!G1490+SPS2_NUC_Mid!G1497+SPS2_NUC_Mid!G1546+SPS2_NUC_Mid!G1593+SPS2_NUC_Mid!G1640</f>
        <v>205.89878767650029</v>
      </c>
      <c r="E7" s="1">
        <f>SPS2_NUC_Mid!H1136+SPS2_NUC_Mid!H1315+SPS2_NUC_Mid!H1399+SPS2_NUC_Mid!H1483+SPS2_NUC_Mid!H1490+SPS2_NUC_Mid!H1497+SPS2_NUC_Mid!H1546+SPS2_NUC_Mid!H1593+SPS2_NUC_Mid!H1640</f>
        <v>188.72701836243198</v>
      </c>
      <c r="F7" s="1">
        <f>SPS2_NUC_Mid!I1136+SPS2_NUC_Mid!I1315+SPS2_NUC_Mid!I1399+SPS2_NUC_Mid!I1483+SPS2_NUC_Mid!I1490+SPS2_NUC_Mid!I1497+SPS2_NUC_Mid!I1546+SPS2_NUC_Mid!I1593+SPS2_NUC_Mid!I1640</f>
        <v>142.43558248473093</v>
      </c>
      <c r="G7" s="1">
        <f>SPS2_NUC_Mid!J1136+SPS2_NUC_Mid!J1315+SPS2_NUC_Mid!J1399+SPS2_NUC_Mid!J1483+SPS2_NUC_Mid!J1490+SPS2_NUC_Mid!J1497+SPS2_NUC_Mid!J1546+SPS2_NUC_Mid!J1593+SPS2_NUC_Mid!J1640</f>
        <v>109.26071504621771</v>
      </c>
      <c r="H7" s="1">
        <f>SPS2_NUC_Mid!K1136+SPS2_NUC_Mid!K1315+SPS2_NUC_Mid!K1399+SPS2_NUC_Mid!K1483+SPS2_NUC_Mid!K1490+SPS2_NUC_Mid!K1497+SPS2_NUC_Mid!K1546+SPS2_NUC_Mid!K1593+SPS2_NUC_Mid!K1640</f>
        <v>93.409869246941042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531.34164911236201</v>
      </c>
      <c r="H8" s="3">
        <f t="shared" si="1"/>
        <v>645.55475428144337</v>
      </c>
    </row>
    <row r="9" spans="2:8" x14ac:dyDescent="0.35">
      <c r="B9" s="25" t="s">
        <v>1732</v>
      </c>
      <c r="C9" s="1">
        <f>SPS2_NUC_Mid!F291+SPS2_NUC_Mid!F409</f>
        <v>495.64127737409598</v>
      </c>
      <c r="D9" s="1">
        <f>SPS2_NUC_Mid!G291+SPS2_NUC_Mid!G409</f>
        <v>476.27630960831152</v>
      </c>
      <c r="E9" s="1">
        <f>SPS2_NUC_Mid!H291+SPS2_NUC_Mid!H409</f>
        <v>483.96899197505763</v>
      </c>
      <c r="F9" s="1">
        <f>SPS2_NUC_Mid!I291+SPS2_NUC_Mid!I409</f>
        <v>544.45136584650788</v>
      </c>
      <c r="G9" s="1">
        <f>SPS2_NUC_Mid!J291+SPS2_NUC_Mid!J409</f>
        <v>492.04816923421077</v>
      </c>
      <c r="H9" s="1">
        <f>SPS2_NUC_Mid!K291+SPS2_NUC_Mid!K409</f>
        <v>567.94943403686261</v>
      </c>
    </row>
    <row r="10" spans="2:8" x14ac:dyDescent="0.35">
      <c r="B10" s="25" t="s">
        <v>1733</v>
      </c>
      <c r="C10" s="1">
        <f>SPS2_NUC_Mid!F590+SPS2_NUC_Mid!F604+SPS2_NUC_Mid!F644</f>
        <v>19.470356694638745</v>
      </c>
      <c r="D10" s="1">
        <f>SPS2_NUC_Mid!G590+SPS2_NUC_Mid!G604+SPS2_NUC_Mid!G644</f>
        <v>28.307015976839406</v>
      </c>
      <c r="E10" s="1">
        <f>SPS2_NUC_Mid!H590+SPS2_NUC_Mid!H604+SPS2_NUC_Mid!H644</f>
        <v>31.966590453546335</v>
      </c>
      <c r="F10" s="1">
        <f>SPS2_NUC_Mid!I590+SPS2_NUC_Mid!I604+SPS2_NUC_Mid!I644</f>
        <v>31.916279769575141</v>
      </c>
      <c r="G10" s="1">
        <f>SPS2_NUC_Mid!J590+SPS2_NUC_Mid!J604+SPS2_NUC_Mid!J644</f>
        <v>25.696405254656579</v>
      </c>
      <c r="H10" s="1">
        <f>SPS2_NUC_Mid!K590+SPS2_NUC_Mid!K604+SPS2_NUC_Mid!K644</f>
        <v>29.245807815347693</v>
      </c>
    </row>
    <row r="11" spans="2:8" x14ac:dyDescent="0.35">
      <c r="B11" s="25" t="s">
        <v>1731</v>
      </c>
      <c r="C11" s="1">
        <f>SPS2_NUC_Mid!F679</f>
        <v>7.3349719996056804E-3</v>
      </c>
      <c r="D11" s="1">
        <f>SPS2_NUC_Mid!G679</f>
        <v>2.9548521685575584E-2</v>
      </c>
      <c r="E11" s="1">
        <f>SPS2_NUC_Mid!H679</f>
        <v>3.0094103811861984E-2</v>
      </c>
      <c r="F11" s="1">
        <f>SPS2_NUC_Mid!I679</f>
        <v>0.13868002671038823</v>
      </c>
      <c r="G11" s="1">
        <f>SPS2_NUC_Mid!J679</f>
        <v>13.597074623494716</v>
      </c>
      <c r="H11" s="1">
        <f>SPS2_NUC_Mid!K679</f>
        <v>48.359460659815291</v>
      </c>
    </row>
    <row r="12" spans="2:8" x14ac:dyDescent="0.35">
      <c r="B12" s="25" t="s">
        <v>1734</v>
      </c>
      <c r="C12" s="1">
        <f>SPS2_NUC_Mid!F1707</f>
        <v>0</v>
      </c>
      <c r="D12" s="1">
        <f>SPS2_NUC_Mid!G1707</f>
        <v>0</v>
      </c>
      <c r="E12" s="1">
        <f>SPS2_NUC_Mid!H1707</f>
        <v>0</v>
      </c>
      <c r="F12" s="1">
        <f>SPS2_NUC_Mid!I1707</f>
        <v>0</v>
      </c>
      <c r="G12" s="1">
        <f>SPS2_NUC_Mid!J1707</f>
        <v>0</v>
      </c>
      <c r="H12" s="1">
        <f>SPS2_NUC_Mid!K1707</f>
        <v>5.176941769817787E-5</v>
      </c>
    </row>
    <row r="13" spans="2:8" x14ac:dyDescent="0.35">
      <c r="B13" s="2" t="s">
        <v>1736</v>
      </c>
      <c r="C13" s="3">
        <f>SPS2_NUC_Mid!F2+SPS2_NUC_Mid!F20-SPS2_NUC_Mid!F57</f>
        <v>966.1586105473898</v>
      </c>
      <c r="D13" s="3">
        <f>SPS2_NUC_Mid!G2+SPS2_NUC_Mid!G20-SPS2_NUC_Mid!G57</f>
        <v>964.34809762371572</v>
      </c>
      <c r="E13" s="3">
        <f>SPS2_NUC_Mid!H2+SPS2_NUC_Mid!H20-SPS2_NUC_Mid!H57</f>
        <v>916.44483351942233</v>
      </c>
      <c r="F13" s="3">
        <f>SPS2_NUC_Mid!I2+SPS2_NUC_Mid!I20-SPS2_NUC_Mid!I57</f>
        <v>892.21411499393776</v>
      </c>
      <c r="G13" s="3">
        <f>SPS2_NUC_Mid!J2+SPS2_NUC_Mid!J20-SPS2_NUC_Mid!J57</f>
        <v>787.26344206001204</v>
      </c>
      <c r="H13" s="3">
        <f>SPS2_NUC_Mid!K2+SPS2_NUC_Mid!K20-SPS2_NUC_Mid!K57</f>
        <v>783.07841499609719</v>
      </c>
    </row>
    <row r="14" spans="2:8" x14ac:dyDescent="0.35">
      <c r="B14" s="25" t="s">
        <v>1737</v>
      </c>
      <c r="C14" s="1">
        <f>SPS2_NUC_Mid!F2</f>
        <v>301.55156848449508</v>
      </c>
      <c r="D14" s="1">
        <f>SPS2_NUC_Mid!G2</f>
        <v>298.76897526775628</v>
      </c>
      <c r="E14" s="1">
        <f>SPS2_NUC_Mid!H2</f>
        <v>338.20472514871244</v>
      </c>
      <c r="F14" s="1">
        <f>SPS2_NUC_Mid!I2</f>
        <v>444.85985993495387</v>
      </c>
      <c r="G14" s="1">
        <f>SPS2_NUC_Mid!J2</f>
        <v>418.94115991605702</v>
      </c>
      <c r="H14" s="1">
        <f>SPS2_NUC_Mid!K2</f>
        <v>512.14576682556969</v>
      </c>
    </row>
    <row r="15" spans="2:8" x14ac:dyDescent="0.35">
      <c r="B15" s="25" t="s">
        <v>19</v>
      </c>
      <c r="C15" s="1">
        <f>SPS2_NUC_Mid!F20</f>
        <v>781.77729874866941</v>
      </c>
      <c r="D15" s="1">
        <f>SPS2_NUC_Mid!G20</f>
        <v>700.48164129084591</v>
      </c>
      <c r="E15" s="1">
        <f>SPS2_NUC_Mid!H20</f>
        <v>650.19265407962757</v>
      </c>
      <c r="F15" s="1">
        <f>SPS2_NUC_Mid!I20</f>
        <v>500.05516870101371</v>
      </c>
      <c r="G15" s="1">
        <f>SPS2_NUC_Mid!J20</f>
        <v>405.00251165438942</v>
      </c>
      <c r="H15" s="1">
        <f>SPS2_NUC_Mid!K20</f>
        <v>298.12960342206742</v>
      </c>
    </row>
    <row r="16" spans="2:8" x14ac:dyDescent="0.35">
      <c r="B16" s="25" t="s">
        <v>24</v>
      </c>
      <c r="C16" s="1">
        <f>SPS2_NUC_Mid!F57</f>
        <v>117.17025668577485</v>
      </c>
      <c r="D16" s="1">
        <f>SPS2_NUC_Mid!G57</f>
        <v>34.90251893488643</v>
      </c>
      <c r="E16" s="1">
        <f>SPS2_NUC_Mid!H57</f>
        <v>71.952545708917654</v>
      </c>
      <c r="F16" s="1">
        <f>SPS2_NUC_Mid!I57</f>
        <v>52.700913642029796</v>
      </c>
      <c r="G16" s="1">
        <f>SPS2_NUC_Mid!J57</f>
        <v>36.680229510434422</v>
      </c>
      <c r="H16" s="1">
        <f>SPS2_NUC_Mid!K57</f>
        <v>27.196955251539851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6CB6A86B-3DE6-4009-9B26-63EBFA92B5C1}"/>
</file>

<file path=customXml/itemProps2.xml><?xml version="1.0" encoding="utf-8"?>
<ds:datastoreItem xmlns:ds="http://schemas.openxmlformats.org/officeDocument/2006/customXml" ds:itemID="{428447D0-D2BA-46D1-A134-C2D9CAB4A596}"/>
</file>

<file path=customXml/itemProps3.xml><?xml version="1.0" encoding="utf-8"?>
<ds:datastoreItem xmlns:ds="http://schemas.openxmlformats.org/officeDocument/2006/customXml" ds:itemID="{DD829297-D667-4792-8E21-D23216452BC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SPS2_NUC_Mid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